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JJL Clairmarais (62)\Révision 08_2023 du tonnage\"/>
    </mc:Choice>
  </mc:AlternateContent>
  <xr:revisionPtr revIDLastSave="0" documentId="13_ncr:1_{9316855A-DCBD-4B86-B222-D02AF985C660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J154" i="2" l="1"/>
  <c r="EY154" i="2"/>
  <c r="EW155" i="2"/>
  <c r="ED154" i="2"/>
  <c r="DI154" i="2"/>
  <c r="EA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D159" i="2"/>
  <c r="EC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ED160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R164" i="2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D165" i="2"/>
  <c r="CN165" i="2"/>
  <c r="FS166" i="2"/>
  <c r="EC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DG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D171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D174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I180" i="2" l="1"/>
  <c r="EY179" i="2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D184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HG186" i="2"/>
  <c r="EA186" i="2"/>
  <c r="ED185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HJ189" i="2"/>
  <c r="HH190" i="2"/>
  <c r="EW190" i="2"/>
  <c r="ED189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FQ193" i="2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HG194" i="2"/>
  <c r="EA194" i="2"/>
  <c r="ED193" i="2"/>
  <c r="EB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AA195" i="2"/>
  <c r="FQ195" i="2"/>
  <c r="HG195" i="2"/>
  <c r="EY194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G199" i="2" l="1"/>
  <c r="EV199" i="2"/>
  <c r="EY198" i="2"/>
  <c r="EW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J199" i="2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HH201" i="2"/>
  <c r="HG201" i="2"/>
  <c r="FS201" i="2"/>
  <c r="DI200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W202" i="2"/>
  <c r="EY201" i="2"/>
  <c r="ED201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32" i="2" a="1"/>
  <c r="FY32" i="2" s="1"/>
  <c r="FY146" i="2" a="1"/>
  <c r="FY146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78" i="2" a="1"/>
  <c r="EI178" i="2" s="1"/>
  <c r="DN137" i="2" a="1"/>
  <c r="DN137" i="2" s="1"/>
  <c r="DN152" i="2" a="1"/>
  <c r="DN152" i="2" s="1"/>
  <c r="DN50" i="2" a="1"/>
  <c r="DN50" i="2" s="1"/>
  <c r="DN115" i="2" a="1"/>
  <c r="DN115" i="2" s="1"/>
  <c r="DN66" i="2" a="1"/>
  <c r="DN66" i="2" s="1"/>
  <c r="DN123" i="2" a="1"/>
  <c r="DN12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88" i="2" a="1"/>
  <c r="FD188" i="2" s="1"/>
  <c r="FD44" i="2" a="1"/>
  <c r="FD44" i="2" s="1"/>
  <c r="FD189" i="2" a="1"/>
  <c r="FD189" i="2" s="1"/>
  <c r="FD64" i="2" a="1"/>
  <c r="FD64" i="2" s="1"/>
  <c r="FD167" i="2" a="1"/>
  <c r="FD167" i="2" s="1"/>
  <c r="FD107" i="2" a="1"/>
  <c r="FD107" i="2" s="1"/>
  <c r="FD160" i="2" a="1"/>
  <c r="FD160" i="2" s="1"/>
  <c r="FD19" i="2" a="1"/>
  <c r="FD19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6" i="2" a="1"/>
  <c r="EI36" i="2" s="1"/>
  <c r="EI34" i="2" a="1"/>
  <c r="EI34" i="2" s="1"/>
  <c r="EI16" i="2" a="1"/>
  <c r="EI16" i="2" s="1"/>
  <c r="EI35" i="2" a="1"/>
  <c r="EI35" i="2" s="1"/>
  <c r="EI37" i="2" a="1"/>
  <c r="EI37" i="2" s="1"/>
  <c r="DN168" i="2" a="1"/>
  <c r="DN168" i="2" s="1"/>
  <c r="DN135" i="2" a="1"/>
  <c r="DN135" i="2" s="1"/>
  <c r="DN16" i="2" a="1"/>
  <c r="DN16" i="2" s="1"/>
  <c r="DN55" i="2" a="1"/>
  <c r="DN55" i="2" s="1"/>
  <c r="DN190" i="2" a="1"/>
  <c r="DN190" i="2" s="1"/>
  <c r="DN6" i="2" a="1"/>
  <c r="DN6" i="2" s="1"/>
  <c r="DO6" i="2" s="1"/>
  <c r="DN30" i="2" a="1"/>
  <c r="DN30" i="2" s="1"/>
  <c r="BX107" i="2" a="1"/>
  <c r="BX107" i="2" s="1"/>
  <c r="FD82" i="2" a="1"/>
  <c r="FD82" i="2" s="1"/>
  <c r="HJ202" i="2"/>
  <c r="AX200" i="2"/>
  <c r="EY202" i="2" l="1"/>
  <c r="CS134" i="2" a="1"/>
  <c r="CS134" i="2" s="1"/>
  <c r="CS38" i="2" a="1"/>
  <c r="CS38" i="2" s="1"/>
  <c r="CS129" i="2" a="1"/>
  <c r="CS129" i="2" s="1"/>
  <c r="CS185" i="2" a="1"/>
  <c r="CS185" i="2" s="1"/>
  <c r="CS116" i="2" a="1"/>
  <c r="CS116" i="2" s="1"/>
  <c r="DN45" i="2" a="1"/>
  <c r="DN45" i="2" s="1"/>
  <c r="DN133" i="2" a="1"/>
  <c r="DN133" i="2" s="1"/>
  <c r="DN110" i="2" a="1"/>
  <c r="DN110" i="2" s="1"/>
  <c r="DN38" i="2" a="1"/>
  <c r="DN38" i="2" s="1"/>
  <c r="DN153" i="2" a="1"/>
  <c r="DN153" i="2" s="1"/>
  <c r="DN29" i="2" a="1"/>
  <c r="DN29" i="2" s="1"/>
  <c r="DN187" i="2" a="1"/>
  <c r="DN187" i="2" s="1"/>
  <c r="DN65" i="2" a="1"/>
  <c r="DN65" i="2" s="1"/>
  <c r="DN31" i="2" a="1"/>
  <c r="DN31" i="2" s="1"/>
  <c r="DN49" i="2" a="1"/>
  <c r="DN49" i="2" s="1"/>
  <c r="DN80" i="2" a="1"/>
  <c r="DN80" i="2" s="1"/>
  <c r="DN114" i="2" a="1"/>
  <c r="DN114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24" i="2" a="1"/>
  <c r="DN124" i="2" s="1"/>
  <c r="DN56" i="2" a="1"/>
  <c r="DN56" i="2" s="1"/>
  <c r="DN46" i="2" a="1"/>
  <c r="DN46" i="2" s="1"/>
  <c r="DN162" i="2" a="1"/>
  <c r="DN162" i="2" s="1"/>
  <c r="DN188" i="2" a="1"/>
  <c r="DN188" i="2" s="1"/>
  <c r="DN113" i="2" a="1"/>
  <c r="DN113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03" i="2" a="1"/>
  <c r="DN10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155" i="2" a="1"/>
  <c r="DN155" i="2" s="1"/>
  <c r="FD137" i="2" a="1"/>
  <c r="FD137" i="2" s="1"/>
  <c r="FD131" i="2" a="1"/>
  <c r="FD131" i="2" s="1"/>
  <c r="FD14" i="2" a="1"/>
  <c r="FD14" i="2" s="1"/>
  <c r="FD60" i="2" a="1"/>
  <c r="FD60" i="2" s="1"/>
  <c r="FD144" i="2" a="1"/>
  <c r="FD144" i="2" s="1"/>
  <c r="FR203" i="2"/>
  <c r="FD187" i="2" a="1"/>
  <c r="FD187" i="2" s="1"/>
  <c r="FD194" i="2" a="1"/>
  <c r="FD194" i="2" s="1"/>
  <c r="FD159" i="2" a="1"/>
  <c r="FD159" i="2" s="1"/>
  <c r="FD43" i="2" a="1"/>
  <c r="FD43" i="2" s="1"/>
  <c r="FD48" i="2" a="1"/>
  <c r="FD48" i="2" s="1"/>
  <c r="FD21" i="2" a="1"/>
  <c r="FD21" i="2" s="1"/>
  <c r="AH19" i="2" a="1"/>
  <c r="AH19" i="2" s="1"/>
  <c r="AH163" i="2" a="1"/>
  <c r="AH163" i="2" s="1"/>
  <c r="AH62" i="2" a="1"/>
  <c r="AH62" i="2" s="1"/>
  <c r="GT181" i="2" a="1"/>
  <c r="GT181" i="2" s="1"/>
  <c r="EI113" i="2" a="1"/>
  <c r="EI113" i="2" s="1"/>
  <c r="EI165" i="2" a="1"/>
  <c r="EI165" i="2" s="1"/>
  <c r="EI87" i="2" a="1"/>
  <c r="EI87" i="2" s="1"/>
  <c r="EI145" i="2" a="1"/>
  <c r="EI145" i="2" s="1"/>
  <c r="EI106" i="2" a="1"/>
  <c r="EI106" i="2" s="1"/>
  <c r="EI139" i="2" a="1"/>
  <c r="EI139" i="2" s="1"/>
  <c r="EI67" i="2" a="1"/>
  <c r="EI67" i="2" s="1"/>
  <c r="EI128" i="2" a="1"/>
  <c r="EI128" i="2" s="1"/>
  <c r="EI71" i="2" a="1"/>
  <c r="EI71" i="2" s="1"/>
  <c r="EI109" i="2" a="1"/>
  <c r="EI109" i="2" s="1"/>
  <c r="EI162" i="2" a="1"/>
  <c r="EI162" i="2" s="1"/>
  <c r="EI153" i="2" a="1"/>
  <c r="EI153" i="2" s="1"/>
  <c r="EI170" i="2" a="1"/>
  <c r="EI170" i="2" s="1"/>
  <c r="EI20" i="2" a="1"/>
  <c r="EI20" i="2" s="1"/>
  <c r="EI57" i="2" a="1"/>
  <c r="EI57" i="2" s="1"/>
  <c r="EI38" i="2" a="1"/>
  <c r="EI38" i="2" s="1"/>
  <c r="EI195" i="2" a="1"/>
  <c r="EI195" i="2" s="1"/>
  <c r="EI142" i="2" a="1"/>
  <c r="EI142" i="2" s="1"/>
  <c r="EI150" i="2" a="1"/>
  <c r="EI150" i="2" s="1"/>
  <c r="EI166" i="2" a="1"/>
  <c r="EI166" i="2" s="1"/>
  <c r="CS24" i="2" a="1"/>
  <c r="CS24" i="2" s="1"/>
  <c r="CS120" i="2" a="1"/>
  <c r="CS120" i="2" s="1"/>
  <c r="CS105" i="2" a="1"/>
  <c r="CS105" i="2" s="1"/>
  <c r="CS137" i="2" a="1"/>
  <c r="CS137" i="2" s="1"/>
  <c r="CS52" i="2" a="1"/>
  <c r="CS52" i="2" s="1"/>
  <c r="CS114" i="2" a="1"/>
  <c r="CS114" i="2" s="1"/>
  <c r="CS56" i="2" a="1"/>
  <c r="CS56" i="2" s="1"/>
  <c r="CS161" i="2" a="1"/>
  <c r="CS161" i="2" s="1"/>
  <c r="CS77" i="2" a="1"/>
  <c r="CS77" i="2" s="1"/>
  <c r="CS72" i="2" a="1"/>
  <c r="CS72" i="2" s="1"/>
  <c r="CS66" i="2" a="1"/>
  <c r="CS66" i="2" s="1"/>
  <c r="HH203" i="2"/>
  <c r="FY165" i="2" a="1"/>
  <c r="FY165" i="2" s="1"/>
  <c r="FY50" i="2" a="1"/>
  <c r="FY50" i="2" s="1"/>
  <c r="FY140" i="2" a="1"/>
  <c r="FY140" i="2" s="1"/>
  <c r="FY29" i="2" a="1"/>
  <c r="FY29" i="2" s="1"/>
  <c r="FY35" i="2" a="1"/>
  <c r="FY35" i="2" s="1"/>
  <c r="FY54" i="2" a="1"/>
  <c r="FY54" i="2" s="1"/>
  <c r="FY109" i="2" a="1"/>
  <c r="FY109" i="2" s="1"/>
  <c r="FY79" i="2" a="1"/>
  <c r="FY79" i="2" s="1"/>
  <c r="FY22" i="2" a="1"/>
  <c r="FY22" i="2" s="1"/>
  <c r="FY90" i="2" a="1"/>
  <c r="FY90" i="2" s="1"/>
  <c r="FY57" i="2" a="1"/>
  <c r="FY57" i="2" s="1"/>
  <c r="EI198" i="2" a="1"/>
  <c r="EI198" i="2" s="1"/>
  <c r="DN186" i="2" a="1"/>
  <c r="DN186" i="2" s="1"/>
  <c r="BC55" i="2" a="1"/>
  <c r="BC55" i="2" s="1"/>
  <c r="BC32" i="2" a="1"/>
  <c r="BC32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60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09" i="2" l="1"/>
  <c r="GZ200" i="2"/>
  <c r="GZ149" i="2"/>
  <c r="GZ141" i="2"/>
  <c r="GZ35" i="2"/>
  <c r="GZ196" i="2"/>
  <c r="GZ97" i="2"/>
  <c r="GZ29" i="2"/>
  <c r="GZ119" i="2"/>
  <c r="GZ111" i="2"/>
  <c r="GZ178" i="2"/>
  <c r="GZ125" i="2"/>
  <c r="GZ83" i="2"/>
  <c r="GZ73" i="2"/>
  <c r="GZ55" i="2"/>
  <c r="GZ14" i="2"/>
  <c r="GZ69" i="2"/>
  <c r="GZ50" i="2"/>
  <c r="GZ165" i="2"/>
  <c r="GZ156" i="2"/>
  <c r="GZ40" i="2"/>
  <c r="GZ197" i="2"/>
  <c r="GZ103" i="2"/>
  <c r="GZ25" i="2"/>
  <c r="GZ110" i="2"/>
  <c r="GZ167" i="2"/>
  <c r="GZ93" i="2"/>
  <c r="GZ91" i="2"/>
  <c r="GZ170" i="2"/>
  <c r="GZ120" i="2"/>
  <c r="GZ64" i="2"/>
  <c r="GZ89" i="2"/>
  <c r="GZ151" i="2"/>
  <c r="GZ5" i="2"/>
  <c r="GZ66" i="2"/>
  <c r="GZ108" i="2"/>
  <c r="GZ114" i="2"/>
  <c r="GZ13" i="2"/>
  <c r="GZ150" i="2"/>
  <c r="GZ54" i="2"/>
  <c r="GZ174" i="2"/>
  <c r="GZ17" i="2"/>
  <c r="GZ192" i="2"/>
  <c r="GZ107" i="2"/>
  <c r="GZ187" i="2"/>
  <c r="GZ177" i="2"/>
  <c r="GZ143" i="2"/>
  <c r="GZ137" i="2"/>
  <c r="GZ100" i="2"/>
  <c r="GZ129" i="2"/>
  <c r="GZ116" i="2"/>
  <c r="GZ85" i="2"/>
  <c r="GZ81" i="2"/>
  <c r="GZ105" i="2"/>
  <c r="GZ171" i="2"/>
  <c r="GZ62" i="2"/>
  <c r="GZ60" i="2"/>
  <c r="GZ155" i="2"/>
  <c r="GZ202" i="2"/>
  <c r="GZ142" i="2"/>
  <c r="GZ139" i="2"/>
  <c r="GZ8" i="2"/>
  <c r="GZ80" i="2"/>
  <c r="GZ169" i="2"/>
  <c r="GZ172" i="2"/>
  <c r="GZ195" i="2"/>
  <c r="GZ12" i="2"/>
  <c r="GZ185" i="2"/>
  <c r="GZ88" i="2"/>
  <c r="GZ180" i="2"/>
  <c r="GZ124" i="2"/>
  <c r="GZ96" i="2"/>
  <c r="GZ168" i="2"/>
  <c r="GZ161" i="2"/>
  <c r="GZ18" i="2"/>
  <c r="GZ71" i="2"/>
  <c r="GZ128" i="2"/>
  <c r="GZ32" i="2"/>
  <c r="GZ176" i="2"/>
  <c r="GZ158" i="2"/>
  <c r="GZ198" i="2"/>
  <c r="GZ99" i="2"/>
  <c r="GZ146" i="2"/>
  <c r="GZ157" i="2"/>
  <c r="GZ145" i="2"/>
  <c r="GZ27" i="2"/>
  <c r="GZ28" i="2"/>
  <c r="GZ140" i="2"/>
  <c r="GZ45" i="2"/>
  <c r="GZ191" i="2"/>
  <c r="GZ75" i="2"/>
  <c r="GZ184" i="2"/>
  <c r="GZ121" i="2"/>
  <c r="GZ10" i="2"/>
  <c r="GZ127" i="2"/>
  <c r="GZ65" i="2"/>
  <c r="GZ7" i="2"/>
  <c r="GZ34" i="2"/>
  <c r="GZ51" i="2"/>
  <c r="GZ182" i="2"/>
  <c r="GZ166" i="2"/>
  <c r="GZ9" i="2"/>
  <c r="GZ43" i="2"/>
  <c r="GZ201" i="2"/>
  <c r="GZ78" i="2"/>
  <c r="GZ74" i="2"/>
  <c r="GZ135" i="2"/>
  <c r="GZ53" i="2"/>
  <c r="GZ94" i="2"/>
  <c r="GZ190" i="2"/>
  <c r="GZ37" i="2"/>
  <c r="GZ52" i="2"/>
  <c r="GZ59" i="2"/>
  <c r="GZ95" i="2"/>
  <c r="GZ70" i="2"/>
  <c r="GZ68" i="2"/>
  <c r="GZ15" i="2"/>
  <c r="GZ144" i="2"/>
  <c r="GZ56" i="2"/>
  <c r="GZ57" i="2"/>
  <c r="GZ118" i="2"/>
  <c r="GZ175" i="2"/>
  <c r="GZ203" i="2"/>
  <c r="GZ41" i="2"/>
  <c r="GZ148" i="2"/>
  <c r="GZ47" i="2"/>
  <c r="GZ42" i="2"/>
  <c r="GZ131" i="2"/>
  <c r="GZ117" i="2"/>
  <c r="GZ61" i="2"/>
  <c r="GZ92" i="2"/>
  <c r="GZ16" i="2"/>
  <c r="GZ153" i="2"/>
  <c r="GZ188" i="2"/>
  <c r="GZ84" i="2"/>
  <c r="GZ90" i="2"/>
  <c r="GZ147" i="2"/>
  <c r="GZ72" i="2"/>
  <c r="GZ133" i="2"/>
  <c r="GZ136" i="2"/>
  <c r="GZ67" i="2"/>
  <c r="GZ159" i="2"/>
  <c r="GZ31" i="2"/>
  <c r="GZ24" i="2"/>
  <c r="GZ82" i="2"/>
  <c r="GZ79" i="2"/>
  <c r="GZ76" i="2"/>
  <c r="GZ126" i="2"/>
  <c r="GZ154" i="2"/>
  <c r="GZ152" i="2"/>
  <c r="GZ20" i="2"/>
  <c r="GZ102" i="2"/>
  <c r="GZ77" i="2"/>
  <c r="GZ48" i="2"/>
  <c r="GZ19" i="2"/>
  <c r="GZ36" i="2"/>
  <c r="GZ122" i="2"/>
  <c r="GZ11" i="2"/>
  <c r="GZ4" i="2"/>
  <c r="GZ39" i="2"/>
  <c r="GZ123" i="2"/>
  <c r="GZ193" i="2"/>
  <c r="GZ138" i="2"/>
  <c r="GZ134" i="2"/>
  <c r="GZ132" i="2"/>
  <c r="GZ162" i="2"/>
  <c r="GZ21" i="2"/>
  <c r="GZ164" i="2"/>
  <c r="GZ194" i="2"/>
  <c r="GZ199" i="2"/>
  <c r="GZ163" i="2"/>
  <c r="GZ23" i="2"/>
  <c r="GZ160" i="2"/>
  <c r="GZ189" i="2"/>
  <c r="GZ26" i="2"/>
  <c r="GZ44" i="2"/>
  <c r="GZ6" i="2"/>
  <c r="GZ113" i="2"/>
  <c r="GZ101" i="2"/>
  <c r="GZ106" i="2"/>
  <c r="GZ104" i="2"/>
  <c r="GZ98" i="2"/>
  <c r="GZ179" i="2"/>
  <c r="GZ86" i="2"/>
  <c r="GZ115" i="2"/>
  <c r="GZ130" i="2"/>
  <c r="GZ112" i="2"/>
  <c r="GZ181" i="2"/>
  <c r="GZ22" i="2"/>
  <c r="GZ63" i="2"/>
  <c r="GZ186" i="2"/>
  <c r="GZ183" i="2"/>
  <c r="GZ173" i="2"/>
  <c r="GZ87" i="2"/>
  <c r="GZ58" i="2"/>
  <c r="GZ46" i="2"/>
  <c r="GZ38" i="2"/>
  <c r="GZ30" i="2"/>
  <c r="GZ49" i="2"/>
  <c r="GZ33" i="2"/>
  <c r="GZ3" i="2"/>
  <c r="C15" i="4" s="1"/>
  <c r="E15" i="4" s="1"/>
  <c r="F15" i="4" s="1"/>
  <c r="G15" i="4" s="1"/>
  <c r="L15" i="4" s="1"/>
  <c r="FJ198" i="2"/>
  <c r="FJ42" i="2"/>
  <c r="FJ31" i="2"/>
  <c r="FJ54" i="2"/>
  <c r="FJ180" i="2"/>
  <c r="FJ35" i="2"/>
  <c r="FJ134" i="2"/>
  <c r="FJ43" i="2"/>
  <c r="FJ68" i="2"/>
  <c r="FJ169" i="2"/>
  <c r="FJ144" i="2"/>
  <c r="FJ22" i="2"/>
  <c r="FJ103" i="2"/>
  <c r="FJ162" i="2"/>
  <c r="FJ57" i="2"/>
  <c r="FJ18" i="2"/>
  <c r="FJ181" i="2"/>
  <c r="FJ141" i="2"/>
  <c r="FJ172" i="2"/>
  <c r="FJ139" i="2"/>
  <c r="FJ80" i="2"/>
  <c r="FJ130" i="2"/>
  <c r="FJ200" i="2"/>
  <c r="FJ49" i="2"/>
  <c r="FJ33" i="2"/>
  <c r="FJ173" i="2"/>
  <c r="FJ25" i="2"/>
  <c r="FJ109" i="2"/>
  <c r="FJ38" i="2"/>
  <c r="FJ125" i="2"/>
  <c r="FJ176" i="2"/>
  <c r="FJ98" i="2"/>
  <c r="FJ100" i="2"/>
  <c r="FJ129" i="2"/>
  <c r="FJ133" i="2"/>
  <c r="FJ12" i="2"/>
  <c r="FJ126" i="2"/>
  <c r="FJ186" i="2"/>
  <c r="FJ97" i="2"/>
  <c r="FJ63" i="2"/>
  <c r="FJ53" i="2"/>
  <c r="FJ50" i="2"/>
  <c r="FJ197" i="2"/>
  <c r="FJ37" i="2"/>
  <c r="FJ4" i="2"/>
  <c r="FJ76" i="2"/>
  <c r="FJ84" i="2"/>
  <c r="FJ155" i="2"/>
  <c r="FJ73" i="2"/>
  <c r="FJ81" i="2"/>
  <c r="FJ6" i="2"/>
  <c r="FJ189" i="2"/>
  <c r="FJ106" i="2"/>
  <c r="FJ9" i="2"/>
  <c r="FJ29" i="2"/>
  <c r="FJ114" i="2"/>
  <c r="FJ69" i="2"/>
  <c r="FJ72" i="2"/>
  <c r="FJ199" i="2"/>
  <c r="FJ158" i="2"/>
  <c r="FJ45" i="2"/>
  <c r="FJ136" i="2"/>
  <c r="FJ165" i="2"/>
  <c r="FJ79" i="2"/>
  <c r="FJ83" i="2"/>
  <c r="FJ86" i="2"/>
  <c r="FJ13" i="2"/>
  <c r="FJ34" i="2"/>
  <c r="FJ51" i="2"/>
  <c r="FJ5" i="2"/>
  <c r="FJ175" i="2"/>
  <c r="FJ118" i="2"/>
  <c r="FJ104" i="2"/>
  <c r="FJ127" i="2"/>
  <c r="FJ14" i="2"/>
  <c r="FJ123" i="2"/>
  <c r="FJ113" i="2"/>
  <c r="FJ110" i="2"/>
  <c r="FJ77" i="2"/>
  <c r="FJ168" i="2"/>
  <c r="FJ96" i="2"/>
  <c r="FJ184" i="2"/>
  <c r="FJ145" i="2"/>
  <c r="FJ19" i="2"/>
  <c r="FJ71" i="2"/>
  <c r="FJ16" i="2"/>
  <c r="FJ174" i="2"/>
  <c r="FJ192" i="2"/>
  <c r="FJ159" i="2"/>
  <c r="FJ183" i="2"/>
  <c r="FJ7" i="2"/>
  <c r="FJ28" i="2"/>
  <c r="FJ58" i="2"/>
  <c r="FJ64" i="2"/>
  <c r="FJ170" i="2"/>
  <c r="FJ89" i="2"/>
  <c r="FJ150" i="2"/>
  <c r="FJ32" i="2"/>
  <c r="FJ15" i="2"/>
  <c r="FJ105" i="2"/>
  <c r="FJ24" i="2"/>
  <c r="FJ11" i="2"/>
  <c r="FJ82" i="2"/>
  <c r="FJ128" i="2"/>
  <c r="FJ23" i="2"/>
  <c r="FJ67" i="2"/>
  <c r="FJ153" i="2"/>
  <c r="FJ94" i="2"/>
  <c r="FJ143" i="2"/>
  <c r="FJ121" i="2"/>
  <c r="FJ161" i="2"/>
  <c r="FJ154" i="2"/>
  <c r="FJ75" i="2"/>
  <c r="FJ39" i="2"/>
  <c r="FJ44" i="2"/>
  <c r="FJ115" i="2"/>
  <c r="FJ91" i="2"/>
  <c r="FJ147" i="2"/>
  <c r="FJ135" i="2"/>
  <c r="FJ56" i="2"/>
  <c r="FJ120" i="2"/>
  <c r="FJ99" i="2"/>
  <c r="FJ3" i="2"/>
  <c r="C13" i="4" s="1"/>
  <c r="E13" i="4" s="1"/>
  <c r="F13" i="4" s="1"/>
  <c r="G13" i="4" s="1"/>
  <c r="L13" i="4" s="1"/>
  <c r="FJ48" i="2"/>
  <c r="FJ47" i="2"/>
  <c r="FJ17" i="2"/>
  <c r="FJ8" i="2"/>
  <c r="FJ108" i="2"/>
  <c r="FJ195" i="2"/>
  <c r="FJ59" i="2"/>
  <c r="FJ142" i="2"/>
  <c r="FJ203" i="2"/>
  <c r="FJ85" i="2"/>
  <c r="FJ62" i="2"/>
  <c r="FJ78" i="2"/>
  <c r="FJ55" i="2"/>
  <c r="FJ90" i="2"/>
  <c r="FJ171" i="2"/>
  <c r="FJ117" i="2"/>
  <c r="FJ40" i="2"/>
  <c r="FJ116" i="2"/>
  <c r="FJ193" i="2"/>
  <c r="FJ152" i="2"/>
  <c r="FJ119" i="2"/>
  <c r="FJ185" i="2"/>
  <c r="FJ187" i="2"/>
  <c r="FJ132" i="2"/>
  <c r="FJ166" i="2"/>
  <c r="FJ88" i="2"/>
  <c r="FJ148" i="2"/>
  <c r="FJ177" i="2"/>
  <c r="FJ30" i="2"/>
  <c r="FJ201" i="2"/>
  <c r="FJ112" i="2"/>
  <c r="FJ188" i="2"/>
  <c r="FJ182" i="2"/>
  <c r="FJ191" i="2"/>
  <c r="FJ95" i="2"/>
  <c r="FJ149" i="2"/>
  <c r="FJ164" i="2"/>
  <c r="FJ137" i="2"/>
  <c r="FJ156" i="2"/>
  <c r="FJ70" i="2"/>
  <c r="FJ27" i="2"/>
  <c r="FJ52" i="2"/>
  <c r="FJ194" i="2"/>
  <c r="FJ140" i="2"/>
  <c r="FJ65" i="2"/>
  <c r="FJ21" i="2"/>
  <c r="FJ20" i="2"/>
  <c r="FJ10" i="2"/>
  <c r="FJ74" i="2"/>
  <c r="FJ101" i="2"/>
  <c r="FJ190" i="2"/>
  <c r="FJ93" i="2"/>
  <c r="FJ111" i="2"/>
  <c r="FJ151" i="2"/>
  <c r="FJ124" i="2"/>
  <c r="FJ46" i="2"/>
  <c r="FJ102" i="2"/>
  <c r="FJ146" i="2"/>
  <c r="FJ66" i="2"/>
  <c r="FJ179" i="2"/>
  <c r="FJ26" i="2"/>
  <c r="FJ92" i="2"/>
  <c r="FJ178" i="2"/>
  <c r="FJ163" i="2"/>
  <c r="FJ160" i="2"/>
  <c r="FJ131" i="2"/>
  <c r="FJ41" i="2"/>
  <c r="FJ167" i="2"/>
  <c r="FJ107" i="2"/>
  <c r="FJ61" i="2"/>
  <c r="FJ157" i="2"/>
  <c r="FJ138" i="2"/>
  <c r="FJ196" i="2"/>
  <c r="FJ202" i="2"/>
  <c r="FJ122" i="2"/>
  <c r="FJ36" i="2"/>
  <c r="FJ87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4" i="2" l="1"/>
  <c r="CY137" i="2"/>
  <c r="CY40" i="2"/>
  <c r="CY96" i="2"/>
  <c r="CY79" i="2"/>
  <c r="CY67" i="2"/>
  <c r="CY44" i="2"/>
  <c r="CY4" i="2"/>
  <c r="CY198" i="2"/>
  <c r="CY56" i="2"/>
  <c r="CY113" i="2"/>
  <c r="CY83" i="2"/>
  <c r="CY159" i="2"/>
  <c r="CY23" i="2"/>
  <c r="CY20" i="2"/>
  <c r="CY57" i="2"/>
  <c r="CY203" i="2"/>
  <c r="CY196" i="2"/>
  <c r="CY95" i="2"/>
  <c r="CY134" i="2"/>
  <c r="CY143" i="2"/>
  <c r="CY188" i="2"/>
  <c r="CY92" i="2"/>
  <c r="CY111" i="2"/>
  <c r="CY114" i="2"/>
  <c r="CY31" i="2"/>
  <c r="CY162" i="2"/>
  <c r="CY46" i="2"/>
  <c r="CY82" i="2"/>
  <c r="CY192" i="2"/>
  <c r="CY122" i="2"/>
  <c r="CY167" i="2"/>
  <c r="CY201" i="2"/>
  <c r="CY152" i="2"/>
  <c r="CY17" i="2"/>
  <c r="CY71" i="2"/>
  <c r="CY172" i="2"/>
  <c r="CY149" i="2"/>
  <c r="CY155" i="2"/>
  <c r="CY179" i="2"/>
  <c r="CY140" i="2"/>
  <c r="CY70" i="2"/>
  <c r="CY147" i="2"/>
  <c r="CY50" i="2"/>
  <c r="CY199" i="2"/>
  <c r="CY154" i="2"/>
  <c r="CY32" i="2"/>
  <c r="CY165" i="2"/>
  <c r="CY27" i="2"/>
  <c r="CY34" i="2"/>
  <c r="CY18" i="2"/>
  <c r="CY163" i="2"/>
  <c r="CY61" i="2"/>
  <c r="CY52" i="2"/>
  <c r="CY103" i="2"/>
  <c r="CY78" i="2"/>
  <c r="CY106" i="2"/>
  <c r="CY153" i="2"/>
  <c r="CY190" i="2"/>
  <c r="CY43" i="2"/>
  <c r="CY195" i="2"/>
  <c r="CY6" i="2"/>
  <c r="CY138" i="2"/>
  <c r="CY63" i="2"/>
  <c r="CY136" i="2"/>
  <c r="CY161" i="2"/>
  <c r="CY197" i="2"/>
  <c r="CY5" i="2"/>
  <c r="CY120" i="2"/>
  <c r="CY13" i="2"/>
  <c r="CY62" i="2"/>
  <c r="CY132" i="2"/>
  <c r="CY87" i="2"/>
  <c r="CY88" i="2"/>
  <c r="CY47" i="2"/>
  <c r="CY129" i="2"/>
  <c r="CY115" i="2"/>
  <c r="CY156" i="2"/>
  <c r="CY118" i="2"/>
  <c r="CY53" i="2"/>
  <c r="CY166" i="2"/>
  <c r="CY100" i="2"/>
  <c r="CY148" i="2"/>
  <c r="CY48" i="2"/>
  <c r="CY91" i="2"/>
  <c r="CY202" i="2"/>
  <c r="CY22" i="2"/>
  <c r="CY170" i="2"/>
  <c r="CY183" i="2"/>
  <c r="CY121" i="2"/>
  <c r="CY178" i="2"/>
  <c r="CY145" i="2"/>
  <c r="CY133" i="2"/>
  <c r="CY45" i="2"/>
  <c r="CY75" i="2"/>
  <c r="CY144" i="2"/>
  <c r="CY59" i="2"/>
  <c r="CY200" i="2"/>
  <c r="CY127" i="2"/>
  <c r="CY12" i="2"/>
  <c r="CY97" i="2"/>
  <c r="CY94" i="2"/>
  <c r="CY181" i="2"/>
  <c r="CY184" i="2"/>
  <c r="CY10" i="2"/>
  <c r="CY11" i="2"/>
  <c r="CY85" i="2"/>
  <c r="CY86" i="2"/>
  <c r="CY146" i="2"/>
  <c r="CY90" i="2"/>
  <c r="CY89" i="2"/>
  <c r="CY66" i="2"/>
  <c r="CY93" i="2"/>
  <c r="CY125" i="2"/>
  <c r="CY173" i="2"/>
  <c r="CY25" i="2"/>
  <c r="CY110" i="2"/>
  <c r="CY74" i="2"/>
  <c r="CY51" i="2"/>
  <c r="CY171" i="2"/>
  <c r="CY37" i="2"/>
  <c r="CY107" i="2"/>
  <c r="CY14" i="2"/>
  <c r="CY176" i="2"/>
  <c r="CY35" i="2"/>
  <c r="CY49" i="2"/>
  <c r="CY135" i="2"/>
  <c r="CY73" i="2"/>
  <c r="CY15" i="2"/>
  <c r="CY69" i="2"/>
  <c r="CY119" i="2"/>
  <c r="CY105" i="2"/>
  <c r="CY168" i="2"/>
  <c r="CY98" i="2"/>
  <c r="CY191" i="2"/>
  <c r="CY33" i="2"/>
  <c r="CY123" i="2"/>
  <c r="CY3" i="2"/>
  <c r="C10" i="4" s="1"/>
  <c r="E10" i="4" s="1"/>
  <c r="F10" i="4" s="1"/>
  <c r="G10" i="4" s="1"/>
  <c r="L10" i="4" s="1"/>
  <c r="CY104" i="2"/>
  <c r="CY194" i="2"/>
  <c r="CY128" i="2"/>
  <c r="CY180" i="2"/>
  <c r="CY30" i="2"/>
  <c r="CY54" i="2"/>
  <c r="CY65" i="2"/>
  <c r="CY177" i="2"/>
  <c r="CY175" i="2"/>
  <c r="CY124" i="2"/>
  <c r="CY189" i="2"/>
  <c r="CY39" i="2"/>
  <c r="CY21" i="2"/>
  <c r="CY151" i="2"/>
  <c r="CY169" i="2"/>
  <c r="CY42" i="2"/>
  <c r="CY60" i="2"/>
  <c r="CY117" i="2"/>
  <c r="CY108" i="2"/>
  <c r="CY36" i="2"/>
  <c r="CY80" i="2"/>
  <c r="CY186" i="2"/>
  <c r="CY142" i="2"/>
  <c r="CY101" i="2"/>
  <c r="CY102" i="2"/>
  <c r="CY72" i="2"/>
  <c r="CY99" i="2"/>
  <c r="CY29" i="2"/>
  <c r="CY131" i="2"/>
  <c r="CY141" i="2"/>
  <c r="CY187" i="2"/>
  <c r="CY19" i="2"/>
  <c r="CY160" i="2"/>
  <c r="CY28" i="2"/>
  <c r="CY8" i="2"/>
  <c r="CY185" i="2"/>
  <c r="CY126" i="2"/>
  <c r="CY182" i="2"/>
  <c r="CY130" i="2"/>
  <c r="CY64" i="2"/>
  <c r="CY41" i="2"/>
  <c r="CY116" i="2"/>
  <c r="CY164" i="2"/>
  <c r="CY81" i="2"/>
  <c r="CY193" i="2"/>
  <c r="CY109" i="2"/>
  <c r="CY9" i="2"/>
  <c r="CY26" i="2"/>
  <c r="CY157" i="2"/>
  <c r="CY58" i="2"/>
  <c r="CY77" i="2"/>
  <c r="CY84" i="2"/>
  <c r="CY68" i="2"/>
  <c r="CY38" i="2"/>
  <c r="CY174" i="2"/>
  <c r="CY16" i="2"/>
  <c r="CY7" i="2"/>
  <c r="CY55" i="2"/>
  <c r="CY76" i="2"/>
  <c r="CY139" i="2"/>
  <c r="CY112" i="2"/>
  <c r="CY150" i="2"/>
  <c r="CY158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0" i="2"/>
  <c r="GE194" i="2"/>
  <c r="GE79" i="2"/>
  <c r="GE133" i="2"/>
  <c r="GE170" i="2"/>
  <c r="GE41" i="2"/>
  <c r="GE3" i="2"/>
  <c r="C14" i="4" s="1"/>
  <c r="E14" i="4" s="1"/>
  <c r="F14" i="4" s="1"/>
  <c r="G14" i="4" s="1"/>
  <c r="L14" i="4" s="1"/>
  <c r="GE172" i="2"/>
  <c r="GE78" i="2"/>
  <c r="GE108" i="2"/>
  <c r="GE168" i="2"/>
  <c r="GE173" i="2"/>
  <c r="GE93" i="2"/>
  <c r="GE29" i="2"/>
  <c r="GE20" i="2"/>
  <c r="GE131" i="2"/>
  <c r="GE61" i="2"/>
  <c r="GE75" i="2"/>
  <c r="GE97" i="2"/>
  <c r="GE107" i="2"/>
  <c r="GE80" i="2"/>
  <c r="GE105" i="2"/>
  <c r="GE66" i="2"/>
  <c r="GE31" i="2"/>
  <c r="GE86" i="2"/>
  <c r="GE167" i="2"/>
  <c r="GE43" i="2"/>
  <c r="GE12" i="2"/>
  <c r="GE203" i="2"/>
  <c r="GE19" i="2"/>
  <c r="GE73" i="2"/>
  <c r="GE145" i="2"/>
  <c r="GE124" i="2"/>
  <c r="GE71" i="2"/>
  <c r="GE92" i="2"/>
  <c r="GE70" i="2"/>
  <c r="GE60" i="2"/>
  <c r="GE10" i="2"/>
  <c r="GE59" i="2"/>
  <c r="GE152" i="2"/>
  <c r="GE58" i="2"/>
  <c r="GE16" i="2"/>
  <c r="GE162" i="2"/>
  <c r="GE200" i="2"/>
  <c r="GE154" i="2"/>
  <c r="GE14" i="2"/>
  <c r="GE158" i="2"/>
  <c r="GE42" i="2"/>
  <c r="GE99" i="2"/>
  <c r="GE140" i="2"/>
  <c r="GE115" i="2"/>
  <c r="GE199" i="2"/>
  <c r="GE180" i="2"/>
  <c r="GE101" i="2"/>
  <c r="GE119" i="2"/>
  <c r="GE74" i="2"/>
  <c r="GE64" i="2"/>
  <c r="GE202" i="2"/>
  <c r="GE201" i="2"/>
  <c r="GE8" i="2"/>
  <c r="GE142" i="2"/>
  <c r="GE51" i="2"/>
  <c r="GE157" i="2"/>
  <c r="GE153" i="2"/>
  <c r="GE163" i="2"/>
  <c r="GE192" i="2"/>
  <c r="GE34" i="2"/>
  <c r="GE169" i="2"/>
  <c r="GE165" i="2"/>
  <c r="GE110" i="2"/>
  <c r="GE83" i="2"/>
  <c r="GE5" i="2"/>
  <c r="GE53" i="2"/>
  <c r="GE150" i="2"/>
  <c r="GE190" i="2"/>
  <c r="GE22" i="2"/>
  <c r="GE155" i="2"/>
  <c r="GE179" i="2"/>
  <c r="GE160" i="2"/>
  <c r="GE106" i="2"/>
  <c r="GE102" i="2"/>
  <c r="GE171" i="2"/>
  <c r="GE50" i="2"/>
  <c r="GE183" i="2"/>
  <c r="GE85" i="2"/>
  <c r="GE109" i="2"/>
  <c r="GE176" i="2"/>
  <c r="GE49" i="2"/>
  <c r="GE197" i="2"/>
  <c r="GE113" i="2"/>
  <c r="GE65" i="2"/>
  <c r="GE135" i="2"/>
  <c r="GE177" i="2"/>
  <c r="GE175" i="2"/>
  <c r="GE181" i="2"/>
  <c r="GE32" i="2"/>
  <c r="GE13" i="2"/>
  <c r="GE23" i="2"/>
  <c r="GE52" i="2"/>
  <c r="GE104" i="2"/>
  <c r="GE146" i="2"/>
  <c r="GE188" i="2"/>
  <c r="GE72" i="2"/>
  <c r="GE28" i="2"/>
  <c r="GE182" i="2"/>
  <c r="GE82" i="2"/>
  <c r="GE9" i="2"/>
  <c r="GE40" i="2"/>
  <c r="GE95" i="2"/>
  <c r="GE166" i="2"/>
  <c r="GE174" i="2"/>
  <c r="GE149" i="2"/>
  <c r="GE123" i="2"/>
  <c r="GE117" i="2"/>
  <c r="GE44" i="2"/>
  <c r="GE45" i="2"/>
  <c r="GE186" i="2"/>
  <c r="GE15" i="2"/>
  <c r="GE24" i="2"/>
  <c r="GE191" i="2"/>
  <c r="GE147" i="2"/>
  <c r="GE68" i="2"/>
  <c r="GE84" i="2"/>
  <c r="GE69" i="2"/>
  <c r="GE116" i="2"/>
  <c r="GE126" i="2"/>
  <c r="GE156" i="2"/>
  <c r="GE178" i="2"/>
  <c r="GE26" i="2"/>
  <c r="GE88" i="2"/>
  <c r="GE89" i="2"/>
  <c r="GE54" i="2"/>
  <c r="GE185" i="2"/>
  <c r="GE90" i="2"/>
  <c r="GE103" i="2"/>
  <c r="GE187" i="2"/>
  <c r="GE33" i="2"/>
  <c r="GE132" i="2"/>
  <c r="GE184" i="2"/>
  <c r="GE137" i="2"/>
  <c r="GE193" i="2"/>
  <c r="GE138" i="2"/>
  <c r="GE141" i="2"/>
  <c r="GE77" i="2"/>
  <c r="GE18" i="2"/>
  <c r="GE120" i="2"/>
  <c r="GE38" i="2"/>
  <c r="GE112" i="2"/>
  <c r="GE27" i="2"/>
  <c r="GE17" i="2"/>
  <c r="GE144" i="2"/>
  <c r="GE55" i="2"/>
  <c r="GE39" i="2"/>
  <c r="GE63" i="2"/>
  <c r="GE56" i="2"/>
  <c r="GE121" i="2"/>
  <c r="GE195" i="2"/>
  <c r="GE148" i="2"/>
  <c r="GE136" i="2"/>
  <c r="GE94" i="2"/>
  <c r="GE47" i="2"/>
  <c r="GE67" i="2"/>
  <c r="GE151" i="2"/>
  <c r="GE62" i="2"/>
  <c r="GE36" i="2"/>
  <c r="GE48" i="2"/>
  <c r="GE118" i="2"/>
  <c r="GE57" i="2"/>
  <c r="GE21" i="2"/>
  <c r="GE189" i="2"/>
  <c r="GE7" i="2"/>
  <c r="GE161" i="2"/>
  <c r="GE122" i="2"/>
  <c r="GE111" i="2"/>
  <c r="GE6" i="2"/>
  <c r="GE81" i="2"/>
  <c r="GE76" i="2"/>
  <c r="GE100" i="2"/>
  <c r="GE37" i="2"/>
  <c r="GE128" i="2"/>
  <c r="GE25" i="2"/>
  <c r="GE143" i="2"/>
  <c r="GE46" i="2"/>
  <c r="GE198" i="2"/>
  <c r="GE139" i="2"/>
  <c r="GE35" i="2"/>
  <c r="GE114" i="2"/>
  <c r="GE134" i="2"/>
  <c r="GE30" i="2"/>
  <c r="GE196" i="2"/>
  <c r="GE98" i="2"/>
  <c r="GE96" i="2"/>
  <c r="GE91" i="2"/>
  <c r="GE125" i="2"/>
  <c r="GE127" i="2"/>
  <c r="GE129" i="2"/>
  <c r="GE87" i="2"/>
  <c r="GE4" i="2"/>
  <c r="GE164" i="2"/>
  <c r="GE15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<sst xmlns="http://schemas.openxmlformats.org/spreadsheetml/2006/main" count="1177" uniqueCount="325">
  <si>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</si>
  <si>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</si>
  <si>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</si>
  <si>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</si>
  <si>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</si>
  <si>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</si>
  <si>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</si>
  <si>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</si>
  <si>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</si>
  <si>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</si>
  <si>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</si>
  <si>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</si>
  <si>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</si>
  <si>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</si>
  <si>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</si>
  <si>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</si>
  <si>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</si>
  <si>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</si>
  <si>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</si>
  <si>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</si>
  <si>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</si>
  <si>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</si>
  <si>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</si>
  <si>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</si>
  <si>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</si>
  <si>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</si>
  <si>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</si>
  <si>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</si>
  <si>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</si>
  <si>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</si>
  <si>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</si>
  <si>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</si>
  <si>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</si>
  <si>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</si>
  <si>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</si>
  <si>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</si>
  <si>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</si>
  <si>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</si>
  <si>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</si>
  <si>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</si>
  <si>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</si>
  <si>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</si>
  <si>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</si>
  <si>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</si>
  <si>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</si>
  <si>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</si>
  <si>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</si>
  <si>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</si>
  <si>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</si>
  <si>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</si>
  <si>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</si>
  <si>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</si>
  <si>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</si>
  <si>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</si>
  <si>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</si>
  <si>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</si>
  <si>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</si>
  <si>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</si>
  <si>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</si>
  <si>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</si>
  <si>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</si>
  <si>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</si>
  <si>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</si>
  <si>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</si>
  <si>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</si>
  <si>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</si>
  <si>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</si>
  <si>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</si>
  <si>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</si>
  <si>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</si>
  <si>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</si>
  <si>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</si>
  <si>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</si>
  <si>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</si>
  <si>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</si>
  <si>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</si>
  <si>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</si>
  <si>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</si>
  <si>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</si>
  <si>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</si>
  <si>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</si>
  <si>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</si>
  <si>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</si>
  <si>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</si>
  <si>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</si>
  <si>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</si>
  <si>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</si>
  <si>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</si>
  <si>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</si>
  <si>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</si>
  <si>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</si>
  <si>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</si>
  <si>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</si>
  <si>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</si>
  <si>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</si>
  <si>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</si>
  <si>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</si>
  <si>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</si>
  <si>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</si>
  <si>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</si>
  <si>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</si>
  <si>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</si>
  <si>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</si>
  <si>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</si>
  <si>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</si>
  <si>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</si>
  <si>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</si>
  <si>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</si>
  <si>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</si>
  <si>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</si>
  <si>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</si>
  <si>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</si>
  <si>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</si>
  <si>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</si>
  <si>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</si>
  <si>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</si>
  <si>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</si>
  <si>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</si>
  <si>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</si>
  <si>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</si>
  <si>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</si>
  <si>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</si>
  <si>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</si>
  <si>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</si>
  <si>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</si>
  <si>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</si>
  <si>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</si>
  <si>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</si>
  <si>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</si>
  <si>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</si>
  <si>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</si>
  <si>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</si>
  <si>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</si>
  <si>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</si>
  <si>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</si>
  <si>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</si>
  <si>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</si>
  <si>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</si>
  <si>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</si>
  <si>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</si>
  <si>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</si>
  <si>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</si>
  <si>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</si>
  <si>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</si>
  <si>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</si>
  <si>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</si>
  <si>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</si>
  <si>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</si>
  <si>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</si>
  <si>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</si>
  <si>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</si>
  <si>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</si>
  <si>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</si>
  <si>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</si>
  <si>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</si>
  <si>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</si>
  <si>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</si>
  <si>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</si>
  <si>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</si>
  <si>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</si>
  <si>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</si>
  <si>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</si>
  <si>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</si>
  <si>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</si>
  <si>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</si>
  <si>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</si>
  <si>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</si>
  <si>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</si>
  <si>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</si>
  <si>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</si>
  <si>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</si>
  <si>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</si>
  <si>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</si>
  <si>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</si>
  <si>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</si>
  <si>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</si>
  <si>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</si>
  <si>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</si>
  <si>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</si>
  <si>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</si>
  <si>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</si>
  <si>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</si>
  <si>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</si>
  <si>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</si>
  <si>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</si>
  <si>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</si>
  <si>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</si>
  <si>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</si>
  <si>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</si>
  <si>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</si>
  <si>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</si>
  <si>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</si>
  <si>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</si>
  <si>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</si>
  <si>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</si>
  <si>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</si>
  <si>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</si>
  <si>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</si>
  <si>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</si>
  <si>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</si>
  <si>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</si>
  <si>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</si>
  <si>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</si>
  <si>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</si>
  <si>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</si>
  <si>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</si>
  <si>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</si>
  <si>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</si>
  <si>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</si>
  <si>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</si>
  <si>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</si>
  <si>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</si>
  <si>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</si>
  <si>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</si>
  <si>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</si>
  <si>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</si>
  <si>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</si>
  <si>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</si>
  <si>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</si>
  <si>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</si>
  <si>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</si>
  <si>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</si>
  <si>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</si>
  <si>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</si>
  <si>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</si>
  <si>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</si>
  <si>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</si>
  <si>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</si>
  <si>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</si>
  <si>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</si>
  <si>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</si>
  <si>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</si>
  <si>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</si>
  <si>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</si>
  <si>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</si>
  <si>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</si>
  <si>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</si>
  <si>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</si>
  <si>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</si>
  <si>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</si>
  <si>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</si>
  <si>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</si>
  <si>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</si>
  <si>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</si>
  <si>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</si>
  <si>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</si>
  <si>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</si>
  <si>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</si>
  <si>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</si>
  <si>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</si>
  <si>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</si>
  <si>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</si>
  <si>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</si>
  <si>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</si>
  <si>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</si>
  <si>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</si>
  <si>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</si>
  <si>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</si>
  <si>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</si>
  <si>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</si>
  <si>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</si>
  <si>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</si>
  <si>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</si>
  <si>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</si>
  <si>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</si>
  <si>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</si>
  <si>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</si>
  <si>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</si>
  <si>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</si>
  <si>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</si>
  <si>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</si>
  <si>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</si>
  <si>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</si>
  <si>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</si>
  <si>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</si>
  <si>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</si>
  <si>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</si>
  <si>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</si>
  <si>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</si>
  <si>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</si>
  <si>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</si>
  <si>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</si>
  <si>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</si>
  <si>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</si>
  <si>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</si>
  <si>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</si>
  <si>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</si>
  <si>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</si>
  <si>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</si>
  <si>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</si>
  <si>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</si>
  <si>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</si>
  <si>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</si>
  <si>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</si>
  <si>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</si>
  <si>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</si>
  <si>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</si>
  <si>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</si>
  <si>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</si>
  <si>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</si>
  <si>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</si>
  <si>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</si>
  <si>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</si>
  <si>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</si>
  <si>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</si>
  <si>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</si>
  <si>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</si>
  <si>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</si>
  <si>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</si>
  <si>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</si>
  <si>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</si>
  <si>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</si>
  <si>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</si>
  <si>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</si>
  <si>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</si>
  <si>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</si>
  <si>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</si>
  <si>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</si>
  <si>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</si>
  <si>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</si>
  <si>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</si>
  <si>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</si>
  <si>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</si>
  <si>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</si>
  <si>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Cette surface sera boisée par un mélange d'essences d'arbre fruitiers, le bouleau a été sélectionné comme équivalent le plus proche pour représenter ces essences.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</si>
</sst>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29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0" fillId="0" borderId="7" xfId="0" applyFont="1" applyBorder="1" applyProtection="1">
      <protection hidden="1"/>
    </xf>
    <xf numFmtId="0" fontId="30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1" fillId="21" borderId="54" xfId="0" applyNumberFormat="1" applyFont="1" applyFill="1" applyBorder="1" applyAlignment="1" applyProtection="1">
      <alignment horizontal="center" vertical="center"/>
      <protection locked="0"/>
    </xf>
    <xf numFmtId="1" fontId="31" fillId="21" borderId="54" xfId="0" applyNumberFormat="1" applyFont="1" applyFill="1" applyBorder="1" applyAlignment="1" applyProtection="1">
      <alignment horizontal="center" vertical="center"/>
      <protection locked="0"/>
    </xf>
    <xf numFmtId="0" fontId="32" fillId="21" borderId="1" xfId="0" applyFont="1" applyFill="1" applyBorder="1" applyAlignment="1" applyProtection="1">
      <alignment horizontal="center" wrapText="1"/>
      <protection locked="0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1" xfId="0" applyFont="1" applyFill="1" applyBorder="1" applyAlignment="1" applyProtection="1">
      <alignment horizontal="center"/>
      <protection locked="0"/>
    </xf>
    <xf numFmtId="0" fontId="32" fillId="21" borderId="55" xfId="0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168" fontId="31" fillId="21" borderId="54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0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2.6519655211592874</c:v>
                </c:pt>
                <c:pt idx="2">
                  <c:v>3.2610223314459752</c:v>
                </c:pt>
                <c:pt idx="3">
                  <c:v>4.0104905158163051</c:v>
                </c:pt>
                <c:pt idx="4">
                  <c:v>4.9328564726428068</c:v>
                </c:pt>
                <c:pt idx="5">
                  <c:v>6.068147991440398</c:v>
                </c:pt>
                <c:pt idx="6">
                  <c:v>7.4656903389318279</c:v>
                </c:pt>
                <c:pt idx="7">
                  <c:v>9.1862724344194735</c:v>
                </c:pt>
                <c:pt idx="8">
                  <c:v>11.304819130811806</c:v>
                </c:pt>
                <c:pt idx="9">
                  <c:v>13.913688152008866</c:v>
                </c:pt>
                <c:pt idx="10">
                  <c:v>17.126738071781514</c:v>
                </c:pt>
                <c:pt idx="11">
                  <c:v>21.084348102790369</c:v>
                </c:pt>
                <c:pt idx="12">
                  <c:v>25.959612940843225</c:v>
                </c:pt>
                <c:pt idx="13">
                  <c:v>31.965988387315338</c:v>
                </c:pt>
                <c:pt idx="14">
                  <c:v>39.366728311080898</c:v>
                </c:pt>
                <c:pt idx="15">
                  <c:v>48.486533626988098</c:v>
                </c:pt>
                <c:pt idx="16">
                  <c:v>59.725932966858835</c:v>
                </c:pt>
                <c:pt idx="17">
                  <c:v>73.579037059713301</c:v>
                </c:pt>
                <c:pt idx="18">
                  <c:v>90.655460033245092</c:v>
                </c:pt>
                <c:pt idx="19">
                  <c:v>111.70738771533587</c:v>
                </c:pt>
                <c:pt idx="20">
                  <c:v>137.66300398229683</c:v>
                </c:pt>
                <c:pt idx="21">
                  <c:v>139.86706331239944</c:v>
                </c:pt>
                <c:pt idx="22">
                  <c:v>153.07440627470763</c:v>
                </c:pt>
                <c:pt idx="23">
                  <c:v>166.25463305956598</c:v>
                </c:pt>
                <c:pt idx="24">
                  <c:v>179.41019776275084</c:v>
                </c:pt>
                <c:pt idx="25">
                  <c:v>192.54316466070134</c:v>
                </c:pt>
                <c:pt idx="26">
                  <c:v>158.20312733333313</c:v>
                </c:pt>
                <c:pt idx="27">
                  <c:v>175.02761536134474</c:v>
                </c:pt>
                <c:pt idx="28">
                  <c:v>191.81411712876402</c:v>
                </c:pt>
                <c:pt idx="29">
                  <c:v>208.56642615430928</c:v>
                </c:pt>
                <c:pt idx="30">
                  <c:v>225.28767604319731</c:v>
                </c:pt>
                <c:pt idx="31">
                  <c:v>194.0010672384883</c:v>
                </c:pt>
                <c:pt idx="32">
                  <c:v>213.65866040016559</c:v>
                </c:pt>
                <c:pt idx="33">
                  <c:v>233.27460027305116</c:v>
                </c:pt>
                <c:pt idx="34">
                  <c:v>252.85288210026226</c:v>
                </c:pt>
                <c:pt idx="35">
                  <c:v>272.39683147829243</c:v>
                </c:pt>
                <c:pt idx="36">
                  <c:v>241.9804968286094</c:v>
                </c:pt>
                <c:pt idx="37">
                  <c:v>262.26703366253628</c:v>
                </c:pt>
                <c:pt idx="38">
                  <c:v>282.51816051208363</c:v>
                </c:pt>
                <c:pt idx="39">
                  <c:v>302.73677181781744</c:v>
                </c:pt>
                <c:pt idx="40">
                  <c:v>322.92534379451826</c:v>
                </c:pt>
                <c:pt idx="41">
                  <c:v>292.99240696074895</c:v>
                </c:pt>
                <c:pt idx="42">
                  <c:v>313.55567069110168</c:v>
                </c:pt>
                <c:pt idx="43">
                  <c:v>334.08903883375007</c:v>
                </c:pt>
                <c:pt idx="44">
                  <c:v>354.59460634776502</c:v>
                </c:pt>
                <c:pt idx="45">
                  <c:v>375.07420618051674</c:v>
                </c:pt>
                <c:pt idx="46">
                  <c:v>344.52504925832596</c:v>
                </c:pt>
                <c:pt idx="47">
                  <c:v>364.29860280650678</c:v>
                </c:pt>
                <c:pt idx="48">
                  <c:v>384.04871588248369</c:v>
                </c:pt>
                <c:pt idx="49">
                  <c:v>403.77676289014676</c:v>
                </c:pt>
                <c:pt idx="50">
                  <c:v>423.48397302905886</c:v>
                </c:pt>
                <c:pt idx="51">
                  <c:v>391.58377731754803</c:v>
                </c:pt>
                <c:pt idx="52">
                  <c:v>409.870253510586</c:v>
                </c:pt>
                <c:pt idx="53">
                  <c:v>428.1391190250547</c:v>
                </c:pt>
                <c:pt idx="54">
                  <c:v>446.39123070522641</c:v>
                </c:pt>
                <c:pt idx="55">
                  <c:v>464.62736964269283</c:v>
                </c:pt>
                <c:pt idx="56">
                  <c:v>431.36127413252484</c:v>
                </c:pt>
                <c:pt idx="57">
                  <c:v>448.1797816290819</c:v>
                </c:pt>
                <c:pt idx="58">
                  <c:v>464.98478623960131</c:v>
                </c:pt>
                <c:pt idx="59">
                  <c:v>481.77684446495124</c:v>
                </c:pt>
                <c:pt idx="60">
                  <c:v>498.55647086626527</c:v>
                </c:pt>
                <c:pt idx="61">
                  <c:v>464.2699471814667</c:v>
                </c:pt>
                <c:pt idx="62">
                  <c:v>479.99105490653511</c:v>
                </c:pt>
                <c:pt idx="63">
                  <c:v>495.70122118881324</c:v>
                </c:pt>
                <c:pt idx="64">
                  <c:v>511.40084148822439</c:v>
                </c:pt>
                <c:pt idx="65">
                  <c:v>527.09028501417208</c:v>
                </c:pt>
                <c:pt idx="66">
                  <c:v>491.77468328265195</c:v>
                </c:pt>
                <c:pt idx="67">
                  <c:v>506.40662874127952</c:v>
                </c:pt>
                <c:pt idx="68">
                  <c:v>521.02963842518272</c:v>
                </c:pt>
                <c:pt idx="69">
                  <c:v>535.64399835878714</c:v>
                </c:pt>
                <c:pt idx="70">
                  <c:v>550.24997769212484</c:v>
                </c:pt>
                <c:pt idx="71">
                  <c:v>513.89756085284455</c:v>
                </c:pt>
                <c:pt idx="72">
                  <c:v>527.44674775244675</c:v>
                </c:pt>
                <c:pt idx="73">
                  <c:v>540.9886077852442</c:v>
                </c:pt>
                <c:pt idx="74">
                  <c:v>554.52335013925483</c:v>
                </c:pt>
                <c:pt idx="75">
                  <c:v>568.05117296149115</c:v>
                </c:pt>
                <c:pt idx="76">
                  <c:v>531.01109674664542</c:v>
                </c:pt>
                <c:pt idx="77">
                  <c:v>543.83861192085692</c:v>
                </c:pt>
                <c:pt idx="78">
                  <c:v>556.65977724898164</c:v>
                </c:pt>
                <c:pt idx="79">
                  <c:v>569.4747595509881</c:v>
                </c:pt>
                <c:pt idx="80">
                  <c:v>582.28371752891621</c:v>
                </c:pt>
                <c:pt idx="81">
                  <c:v>544.55106389111097</c:v>
                </c:pt>
                <c:pt idx="82">
                  <c:v>556.65977724898164</c:v>
                </c:pt>
                <c:pt idx="83">
                  <c:v>568.76297556535803</c:v>
                </c:pt>
                <c:pt idx="84">
                  <c:v>580.86079271099538</c:v>
                </c:pt>
                <c:pt idx="85">
                  <c:v>592.95335652703079</c:v>
                </c:pt>
                <c:pt idx="86">
                  <c:v>554.52335013925483</c:v>
                </c:pt>
                <c:pt idx="87">
                  <c:v>565.91565317360812</c:v>
                </c:pt>
                <c:pt idx="88">
                  <c:v>577.3031621395595</c:v>
                </c:pt>
                <c:pt idx="89">
                  <c:v>588.68598491201885</c:v>
                </c:pt>
                <c:pt idx="90">
                  <c:v>600.06422485487678</c:v>
                </c:pt>
                <c:pt idx="91">
                  <c:v>561.28811451546574</c:v>
                </c:pt>
                <c:pt idx="92">
                  <c:v>572.32170984162212</c:v>
                </c:pt>
                <c:pt idx="93">
                  <c:v>583.35086355242277</c:v>
                </c:pt>
                <c:pt idx="94">
                  <c:v>594.37567144551701</c:v>
                </c:pt>
                <c:pt idx="95">
                  <c:v>605.39622547563874</c:v>
                </c:pt>
                <c:pt idx="96">
                  <c:v>565.55971684392978</c:v>
                </c:pt>
                <c:pt idx="97">
                  <c:v>575.52417545438084</c:v>
                </c:pt>
                <c:pt idx="98">
                  <c:v>585.4850335942682</c:v>
                </c:pt>
                <c:pt idx="99">
                  <c:v>595.44236114883586</c:v>
                </c:pt>
                <c:pt idx="100">
                  <c:v>605.39622547563897</c:v>
                </c:pt>
                <c:pt idx="101">
                  <c:v>566.98343408818027</c:v>
                </c:pt>
                <c:pt idx="102">
                  <c:v>576.59158121605947</c:v>
                </c:pt>
                <c:pt idx="103">
                  <c:v>586.19638755057997</c:v>
                </c:pt>
                <c:pt idx="104">
                  <c:v>595.79791554499843</c:v>
                </c:pt>
                <c:pt idx="105">
                  <c:v>605.39622547563874</c:v>
                </c:pt>
                <c:pt idx="106">
                  <c:v>568.05117296149081</c:v>
                </c:pt>
                <c:pt idx="107">
                  <c:v>576.94737396741823</c:v>
                </c:pt>
                <c:pt idx="108">
                  <c:v>585.84071282237755</c:v>
                </c:pt>
                <c:pt idx="109">
                  <c:v>594.73123910211143</c:v>
                </c:pt>
                <c:pt idx="110">
                  <c:v>603.61900077928851</c:v>
                </c:pt>
                <c:pt idx="111">
                  <c:v>567.6952646693934</c:v>
                </c:pt>
                <c:pt idx="112">
                  <c:v>576.23578388225576</c:v>
                </c:pt>
                <c:pt idx="113">
                  <c:v>584.77366162583451</c:v>
                </c:pt>
                <c:pt idx="114">
                  <c:v>593.30894190652873</c:v>
                </c:pt>
                <c:pt idx="115">
                  <c:v>601.84166736128896</c:v>
                </c:pt>
                <c:pt idx="116">
                  <c:v>559.15205854563135</c:v>
                </c:pt>
                <c:pt idx="117">
                  <c:v>559.15205854563135</c:v>
                </c:pt>
                <c:pt idx="118">
                  <c:v>559.15205854563135</c:v>
                </c:pt>
                <c:pt idx="119">
                  <c:v>559.15205854563135</c:v>
                </c:pt>
                <c:pt idx="120">
                  <c:v>559.15205854563135</c:v>
                </c:pt>
                <c:pt idx="121">
                  <c:v>559.15205854563135</c:v>
                </c:pt>
                <c:pt idx="122">
                  <c:v>559.15205854563135</c:v>
                </c:pt>
                <c:pt idx="123">
                  <c:v>559.15205854563135</c:v>
                </c:pt>
                <c:pt idx="124">
                  <c:v>559.15205854563135</c:v>
                </c:pt>
                <c:pt idx="125">
                  <c:v>559.15205854563135</c:v>
                </c:pt>
                <c:pt idx="126">
                  <c:v>559.15205854563135</c:v>
                </c:pt>
                <c:pt idx="127">
                  <c:v>559.15205854563135</c:v>
                </c:pt>
                <c:pt idx="128">
                  <c:v>559.15205854563135</c:v>
                </c:pt>
                <c:pt idx="129">
                  <c:v>559.15205854563135</c:v>
                </c:pt>
                <c:pt idx="130">
                  <c:v>559.15205854563135</c:v>
                </c:pt>
                <c:pt idx="131">
                  <c:v>559.15205854563135</c:v>
                </c:pt>
                <c:pt idx="132">
                  <c:v>559.15205854563135</c:v>
                </c:pt>
                <c:pt idx="133">
                  <c:v>559.15205854563135</c:v>
                </c:pt>
                <c:pt idx="134">
                  <c:v>559.15205854563135</c:v>
                </c:pt>
                <c:pt idx="135">
                  <c:v>559.15205854563135</c:v>
                </c:pt>
                <c:pt idx="136">
                  <c:v>559.15205854563135</c:v>
                </c:pt>
                <c:pt idx="137">
                  <c:v>559.15205854563135</c:v>
                </c:pt>
                <c:pt idx="138">
                  <c:v>559.15205854563135</c:v>
                </c:pt>
                <c:pt idx="139">
                  <c:v>559.15205854563135</c:v>
                </c:pt>
                <c:pt idx="140">
                  <c:v>559.15205854563135</c:v>
                </c:pt>
                <c:pt idx="141">
                  <c:v>559.15205854563135</c:v>
                </c:pt>
                <c:pt idx="142">
                  <c:v>559.15205854563135</c:v>
                </c:pt>
                <c:pt idx="143">
                  <c:v>559.15205854563135</c:v>
                </c:pt>
                <c:pt idx="144">
                  <c:v>559.15205854563135</c:v>
                </c:pt>
                <c:pt idx="145">
                  <c:v>559.15205854563135</c:v>
                </c:pt>
                <c:pt idx="146">
                  <c:v>559.15205854563135</c:v>
                </c:pt>
                <c:pt idx="147">
                  <c:v>559.15205854563135</c:v>
                </c:pt>
                <c:pt idx="148">
                  <c:v>559.15205854563135</c:v>
                </c:pt>
                <c:pt idx="149">
                  <c:v>559.15205854563135</c:v>
                </c:pt>
                <c:pt idx="150">
                  <c:v>559.15205854563135</c:v>
                </c:pt>
                <c:pt idx="151">
                  <c:v>559.15205854563135</c:v>
                </c:pt>
                <c:pt idx="152">
                  <c:v>559.15205854563135</c:v>
                </c:pt>
                <c:pt idx="153">
                  <c:v>559.15205854563135</c:v>
                </c:pt>
                <c:pt idx="154">
                  <c:v>559.15205854563135</c:v>
                </c:pt>
                <c:pt idx="155">
                  <c:v>559.15205854563135</c:v>
                </c:pt>
                <c:pt idx="156">
                  <c:v>559.15205854563135</c:v>
                </c:pt>
                <c:pt idx="157">
                  <c:v>559.15205854563135</c:v>
                </c:pt>
                <c:pt idx="158">
                  <c:v>559.15205854563135</c:v>
                </c:pt>
                <c:pt idx="159">
                  <c:v>559.15205854563135</c:v>
                </c:pt>
                <c:pt idx="160">
                  <c:v>559.15205854563135</c:v>
                </c:pt>
                <c:pt idx="161">
                  <c:v>559.15205854563135</c:v>
                </c:pt>
                <c:pt idx="162">
                  <c:v>559.15205854563135</c:v>
                </c:pt>
                <c:pt idx="163">
                  <c:v>559.15205854563135</c:v>
                </c:pt>
                <c:pt idx="164">
                  <c:v>559.15205854563135</c:v>
                </c:pt>
                <c:pt idx="165">
                  <c:v>559.15205854563135</c:v>
                </c:pt>
                <c:pt idx="166">
                  <c:v>559.15205854563135</c:v>
                </c:pt>
                <c:pt idx="167">
                  <c:v>559.15205854563135</c:v>
                </c:pt>
                <c:pt idx="168">
                  <c:v>559.15205854563135</c:v>
                </c:pt>
                <c:pt idx="169">
                  <c:v>559.15205854563135</c:v>
                </c:pt>
                <c:pt idx="170">
                  <c:v>559.15205854563135</c:v>
                </c:pt>
                <c:pt idx="171">
                  <c:v>559.15205854563135</c:v>
                </c:pt>
                <c:pt idx="172">
                  <c:v>559.15205854563135</c:v>
                </c:pt>
                <c:pt idx="173">
                  <c:v>559.15205854563135</c:v>
                </c:pt>
                <c:pt idx="174">
                  <c:v>559.15205854563135</c:v>
                </c:pt>
                <c:pt idx="175">
                  <c:v>559.15205854563135</c:v>
                </c:pt>
                <c:pt idx="176">
                  <c:v>559.15205854563135</c:v>
                </c:pt>
                <c:pt idx="177">
                  <c:v>559.15205854563135</c:v>
                </c:pt>
                <c:pt idx="178">
                  <c:v>559.15205854563135</c:v>
                </c:pt>
                <c:pt idx="179">
                  <c:v>559.15205854563135</c:v>
                </c:pt>
                <c:pt idx="180">
                  <c:v>559.15205854563135</c:v>
                </c:pt>
                <c:pt idx="181">
                  <c:v>559.15205854563135</c:v>
                </c:pt>
                <c:pt idx="182">
                  <c:v>559.15205854563135</c:v>
                </c:pt>
                <c:pt idx="183">
                  <c:v>559.15205854563135</c:v>
                </c:pt>
                <c:pt idx="184">
                  <c:v>559.15205854563135</c:v>
                </c:pt>
                <c:pt idx="185">
                  <c:v>559.15205854563135</c:v>
                </c:pt>
                <c:pt idx="186">
                  <c:v>559.15205854563135</c:v>
                </c:pt>
                <c:pt idx="187">
                  <c:v>559.15205854563135</c:v>
                </c:pt>
                <c:pt idx="188">
                  <c:v>559.15205854563135</c:v>
                </c:pt>
                <c:pt idx="189">
                  <c:v>559.15205854563135</c:v>
                </c:pt>
                <c:pt idx="190">
                  <c:v>559.15205854563135</c:v>
                </c:pt>
                <c:pt idx="191">
                  <c:v>559.15205854563135</c:v>
                </c:pt>
                <c:pt idx="192">
                  <c:v>559.15205854563135</c:v>
                </c:pt>
                <c:pt idx="193">
                  <c:v>559.15205854563135</c:v>
                </c:pt>
                <c:pt idx="194">
                  <c:v>559.15205854563135</c:v>
                </c:pt>
                <c:pt idx="195">
                  <c:v>559.15205854563135</c:v>
                </c:pt>
                <c:pt idx="196">
                  <c:v>559.15205854563135</c:v>
                </c:pt>
                <c:pt idx="197">
                  <c:v>559.15205854563135</c:v>
                </c:pt>
                <c:pt idx="198">
                  <c:v>559.15205854563135</c:v>
                </c:pt>
                <c:pt idx="199">
                  <c:v>559.15205854563135</c:v>
                </c:pt>
                <c:pt idx="200">
                  <c:v>559.15205854563135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770.74918264325152</c:v>
                </c:pt>
                <c:pt idx="47">
                  <c:v>794.6804434861192</c:v>
                </c:pt>
                <c:pt idx="48">
                  <c:v>818.59714676160195</c:v>
                </c:pt>
                <c:pt idx="49">
                  <c:v>842.49977705174535</c:v>
                </c:pt>
                <c:pt idx="50">
                  <c:v>866.38878924101971</c:v>
                </c:pt>
                <c:pt idx="51">
                  <c:v>811.79875206098052</c:v>
                </c:pt>
                <c:pt idx="52">
                  <c:v>829.84716796681175</c:v>
                </c:pt>
                <c:pt idx="53">
                  <c:v>847.8876885854861</c:v>
                </c:pt>
                <c:pt idx="54">
                  <c:v>865.92050537441344</c:v>
                </c:pt>
                <c:pt idx="55">
                  <c:v>883.94580117605472</c:v>
                </c:pt>
                <c:pt idx="56">
                  <c:v>844.37391150362998</c:v>
                </c:pt>
                <c:pt idx="57">
                  <c:v>858.66145471369293</c:v>
                </c:pt>
                <c:pt idx="58">
                  <c:v>872.94423239314926</c:v>
                </c:pt>
                <c:pt idx="59">
                  <c:v>887.22233342614447</c:v>
                </c:pt>
                <c:pt idx="60">
                  <c:v>901.49584360554616</c:v>
                </c:pt>
                <c:pt idx="61">
                  <c:v>872.24191076199133</c:v>
                </c:pt>
                <c:pt idx="62">
                  <c:v>883.94580117605494</c:v>
                </c:pt>
                <c:pt idx="63">
                  <c:v>895.64659417172061</c:v>
                </c:pt>
                <c:pt idx="64">
                  <c:v>907.34433588355262</c:v>
                </c:pt>
                <c:pt idx="65">
                  <c:v>919.03907116057201</c:v>
                </c:pt>
                <c:pt idx="66">
                  <c:v>885.11601908790863</c:v>
                </c:pt>
                <c:pt idx="67">
                  <c:v>885.11601908790863</c:v>
                </c:pt>
                <c:pt idx="68">
                  <c:v>885.11601908790863</c:v>
                </c:pt>
                <c:pt idx="69">
                  <c:v>885.11601908790863</c:v>
                </c:pt>
                <c:pt idx="70">
                  <c:v>885.11601908790863</c:v>
                </c:pt>
                <c:pt idx="71">
                  <c:v>885.11601908790863</c:v>
                </c:pt>
                <c:pt idx="72">
                  <c:v>885.11601908790863</c:v>
                </c:pt>
                <c:pt idx="73">
                  <c:v>885.11601908790863</c:v>
                </c:pt>
                <c:pt idx="74">
                  <c:v>885.11601908790863</c:v>
                </c:pt>
                <c:pt idx="75">
                  <c:v>885.11601908790863</c:v>
                </c:pt>
                <c:pt idx="76">
                  <c:v>885.11601908790863</c:v>
                </c:pt>
                <c:pt idx="77">
                  <c:v>885.11601908790863</c:v>
                </c:pt>
                <c:pt idx="78">
                  <c:v>885.11601908790863</c:v>
                </c:pt>
                <c:pt idx="79">
                  <c:v>885.11601908790863</c:v>
                </c:pt>
                <c:pt idx="80">
                  <c:v>885.11601908790863</c:v>
                </c:pt>
                <c:pt idx="81">
                  <c:v>885.11601908790863</c:v>
                </c:pt>
                <c:pt idx="82">
                  <c:v>885.11601908790863</c:v>
                </c:pt>
                <c:pt idx="83">
                  <c:v>885.11601908790863</c:v>
                </c:pt>
                <c:pt idx="84">
                  <c:v>885.11601908790863</c:v>
                </c:pt>
                <c:pt idx="85">
                  <c:v>885.11601908790863</c:v>
                </c:pt>
                <c:pt idx="86">
                  <c:v>885.11601908790863</c:v>
                </c:pt>
                <c:pt idx="87">
                  <c:v>885.11601908790863</c:v>
                </c:pt>
                <c:pt idx="88">
                  <c:v>885.11601908790863</c:v>
                </c:pt>
                <c:pt idx="89">
                  <c:v>885.11601908790863</c:v>
                </c:pt>
                <c:pt idx="90">
                  <c:v>885.11601908790863</c:v>
                </c:pt>
                <c:pt idx="91">
                  <c:v>885.11601908790863</c:v>
                </c:pt>
                <c:pt idx="92">
                  <c:v>885.11601908790863</c:v>
                </c:pt>
                <c:pt idx="93">
                  <c:v>885.11601908790863</c:v>
                </c:pt>
                <c:pt idx="94">
                  <c:v>885.11601908790863</c:v>
                </c:pt>
                <c:pt idx="95">
                  <c:v>885.11601908790863</c:v>
                </c:pt>
                <c:pt idx="96">
                  <c:v>885.11601908790863</c:v>
                </c:pt>
                <c:pt idx="97">
                  <c:v>885.11601908790863</c:v>
                </c:pt>
                <c:pt idx="98">
                  <c:v>885.11601908790863</c:v>
                </c:pt>
                <c:pt idx="99">
                  <c:v>885.11601908790863</c:v>
                </c:pt>
                <c:pt idx="100">
                  <c:v>885.11601908790863</c:v>
                </c:pt>
                <c:pt idx="101">
                  <c:v>885.11601908790863</c:v>
                </c:pt>
                <c:pt idx="102">
                  <c:v>885.11601908790863</c:v>
                </c:pt>
                <c:pt idx="103">
                  <c:v>885.11601908790863</c:v>
                </c:pt>
                <c:pt idx="104">
                  <c:v>885.11601908790863</c:v>
                </c:pt>
                <c:pt idx="105">
                  <c:v>885.11601908790863</c:v>
                </c:pt>
                <c:pt idx="106">
                  <c:v>885.11601908790863</c:v>
                </c:pt>
                <c:pt idx="107">
                  <c:v>885.11601908790863</c:v>
                </c:pt>
                <c:pt idx="108">
                  <c:v>885.11601908790863</c:v>
                </c:pt>
                <c:pt idx="109">
                  <c:v>885.11601908790863</c:v>
                </c:pt>
                <c:pt idx="110">
                  <c:v>885.11601908790863</c:v>
                </c:pt>
                <c:pt idx="111">
                  <c:v>885.11601908790863</c:v>
                </c:pt>
                <c:pt idx="112">
                  <c:v>885.11601908790863</c:v>
                </c:pt>
                <c:pt idx="113">
                  <c:v>885.11601908790863</c:v>
                </c:pt>
                <c:pt idx="114">
                  <c:v>885.11601908790863</c:v>
                </c:pt>
                <c:pt idx="115">
                  <c:v>885.11601908790863</c:v>
                </c:pt>
                <c:pt idx="116">
                  <c:v>885.11601908790863</c:v>
                </c:pt>
                <c:pt idx="117">
                  <c:v>885.11601908790863</c:v>
                </c:pt>
                <c:pt idx="118">
                  <c:v>885.11601908790863</c:v>
                </c:pt>
                <c:pt idx="119">
                  <c:v>885.11601908790863</c:v>
                </c:pt>
                <c:pt idx="120">
                  <c:v>885.11601908790863</c:v>
                </c:pt>
                <c:pt idx="121">
                  <c:v>885.11601908790863</c:v>
                </c:pt>
                <c:pt idx="122">
                  <c:v>885.11601908790863</c:v>
                </c:pt>
                <c:pt idx="123">
                  <c:v>885.11601908790863</c:v>
                </c:pt>
                <c:pt idx="124">
                  <c:v>885.11601908790863</c:v>
                </c:pt>
                <c:pt idx="125">
                  <c:v>885.11601908790863</c:v>
                </c:pt>
                <c:pt idx="126">
                  <c:v>885.11601908790863</c:v>
                </c:pt>
                <c:pt idx="127">
                  <c:v>885.11601908790863</c:v>
                </c:pt>
                <c:pt idx="128">
                  <c:v>885.11601908790863</c:v>
                </c:pt>
                <c:pt idx="129">
                  <c:v>885.11601908790863</c:v>
                </c:pt>
                <c:pt idx="130">
                  <c:v>885.11601908790863</c:v>
                </c:pt>
                <c:pt idx="131">
                  <c:v>885.11601908790863</c:v>
                </c:pt>
                <c:pt idx="132">
                  <c:v>885.11601908790863</c:v>
                </c:pt>
                <c:pt idx="133">
                  <c:v>885.11601908790863</c:v>
                </c:pt>
                <c:pt idx="134">
                  <c:v>885.11601908790863</c:v>
                </c:pt>
                <c:pt idx="135">
                  <c:v>885.11601908790863</c:v>
                </c:pt>
                <c:pt idx="136">
                  <c:v>885.11601908790863</c:v>
                </c:pt>
                <c:pt idx="137">
                  <c:v>885.11601908790863</c:v>
                </c:pt>
                <c:pt idx="138">
                  <c:v>885.11601908790863</c:v>
                </c:pt>
                <c:pt idx="139">
                  <c:v>885.11601908790863</c:v>
                </c:pt>
                <c:pt idx="140">
                  <c:v>885.11601908790863</c:v>
                </c:pt>
                <c:pt idx="141">
                  <c:v>885.11601908790863</c:v>
                </c:pt>
                <c:pt idx="142">
                  <c:v>885.11601908790863</c:v>
                </c:pt>
                <c:pt idx="143">
                  <c:v>885.11601908790863</c:v>
                </c:pt>
                <c:pt idx="144">
                  <c:v>885.11601908790863</c:v>
                </c:pt>
                <c:pt idx="145">
                  <c:v>885.11601908790863</c:v>
                </c:pt>
                <c:pt idx="146">
                  <c:v>885.11601908790863</c:v>
                </c:pt>
                <c:pt idx="147">
                  <c:v>885.11601908790863</c:v>
                </c:pt>
                <c:pt idx="148">
                  <c:v>885.11601908790863</c:v>
                </c:pt>
                <c:pt idx="149">
                  <c:v>885.11601908790863</c:v>
                </c:pt>
                <c:pt idx="150">
                  <c:v>885.11601908790863</c:v>
                </c:pt>
                <c:pt idx="151">
                  <c:v>885.11601908790863</c:v>
                </c:pt>
                <c:pt idx="152">
                  <c:v>885.11601908790863</c:v>
                </c:pt>
                <c:pt idx="153">
                  <c:v>885.11601908790863</c:v>
                </c:pt>
                <c:pt idx="154">
                  <c:v>885.11601908790863</c:v>
                </c:pt>
                <c:pt idx="155">
                  <c:v>885.11601908790863</c:v>
                </c:pt>
                <c:pt idx="156">
                  <c:v>885.11601908790863</c:v>
                </c:pt>
                <c:pt idx="157">
                  <c:v>885.11601908790863</c:v>
                </c:pt>
                <c:pt idx="158">
                  <c:v>885.11601908790863</c:v>
                </c:pt>
                <c:pt idx="159">
                  <c:v>885.11601908790863</c:v>
                </c:pt>
                <c:pt idx="160">
                  <c:v>885.11601908790863</c:v>
                </c:pt>
                <c:pt idx="161">
                  <c:v>885.11601908790863</c:v>
                </c:pt>
                <c:pt idx="162">
                  <c:v>885.11601908790863</c:v>
                </c:pt>
                <c:pt idx="163">
                  <c:v>885.11601908790863</c:v>
                </c:pt>
                <c:pt idx="164">
                  <c:v>885.11601908790863</c:v>
                </c:pt>
                <c:pt idx="165">
                  <c:v>885.11601908790863</c:v>
                </c:pt>
                <c:pt idx="166">
                  <c:v>885.11601908790863</c:v>
                </c:pt>
                <c:pt idx="167">
                  <c:v>885.11601908790863</c:v>
                </c:pt>
                <c:pt idx="168">
                  <c:v>885.11601908790863</c:v>
                </c:pt>
                <c:pt idx="169">
                  <c:v>885.11601908790863</c:v>
                </c:pt>
                <c:pt idx="170">
                  <c:v>885.11601908790863</c:v>
                </c:pt>
                <c:pt idx="171">
                  <c:v>885.11601908790863</c:v>
                </c:pt>
                <c:pt idx="172">
                  <c:v>885.11601908790863</c:v>
                </c:pt>
                <c:pt idx="173">
                  <c:v>885.11601908790863</c:v>
                </c:pt>
                <c:pt idx="174">
                  <c:v>885.11601908790863</c:v>
                </c:pt>
                <c:pt idx="175">
                  <c:v>885.11601908790863</c:v>
                </c:pt>
                <c:pt idx="176">
                  <c:v>885.11601908790863</c:v>
                </c:pt>
                <c:pt idx="177">
                  <c:v>885.11601908790863</c:v>
                </c:pt>
                <c:pt idx="178">
                  <c:v>885.11601908790863</c:v>
                </c:pt>
                <c:pt idx="179">
                  <c:v>885.11601908790863</c:v>
                </c:pt>
                <c:pt idx="180">
                  <c:v>885.11601908790863</c:v>
                </c:pt>
                <c:pt idx="181">
                  <c:v>885.11601908790863</c:v>
                </c:pt>
                <c:pt idx="182">
                  <c:v>885.11601908790863</c:v>
                </c:pt>
                <c:pt idx="183">
                  <c:v>885.11601908790863</c:v>
                </c:pt>
                <c:pt idx="184">
                  <c:v>885.11601908790863</c:v>
                </c:pt>
                <c:pt idx="185">
                  <c:v>885.11601908790863</c:v>
                </c:pt>
                <c:pt idx="186">
                  <c:v>885.11601908790863</c:v>
                </c:pt>
                <c:pt idx="187">
                  <c:v>885.11601908790863</c:v>
                </c:pt>
                <c:pt idx="188">
                  <c:v>885.11601908790863</c:v>
                </c:pt>
                <c:pt idx="189">
                  <c:v>885.11601908790863</c:v>
                </c:pt>
                <c:pt idx="190">
                  <c:v>885.11601908790863</c:v>
                </c:pt>
                <c:pt idx="191">
                  <c:v>885.11601908790863</c:v>
                </c:pt>
                <c:pt idx="192">
                  <c:v>885.11601908790863</c:v>
                </c:pt>
                <c:pt idx="193">
                  <c:v>885.11601908790863</c:v>
                </c:pt>
                <c:pt idx="194">
                  <c:v>885.11601908790863</c:v>
                </c:pt>
                <c:pt idx="195">
                  <c:v>885.11601908790863</c:v>
                </c:pt>
                <c:pt idx="196">
                  <c:v>885.11601908790863</c:v>
                </c:pt>
                <c:pt idx="197">
                  <c:v>885.11601908790863</c:v>
                </c:pt>
                <c:pt idx="198">
                  <c:v>885.11601908790863</c:v>
                </c:pt>
                <c:pt idx="199">
                  <c:v>885.11601908790863</c:v>
                </c:pt>
                <c:pt idx="200">
                  <c:v>885.11601908790863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33.289354974370632</c:v>
                </c:pt>
                <c:pt idx="12">
                  <c:v>49.205665893571926</c:v>
                </c:pt>
                <c:pt idx="13">
                  <c:v>64.983393960011185</c:v>
                </c:pt>
                <c:pt idx="14">
                  <c:v>80.661435952614355</c:v>
                </c:pt>
                <c:pt idx="15">
                  <c:v>96.262045139603686</c:v>
                </c:pt>
                <c:pt idx="16">
                  <c:v>69.928557673965017</c:v>
                </c:pt>
                <c:pt idx="17">
                  <c:v>89.914543654715828</c:v>
                </c:pt>
                <c:pt idx="18">
                  <c:v>109.78863954070181</c:v>
                </c:pt>
                <c:pt idx="19">
                  <c:v>129.57406398795285</c:v>
                </c:pt>
                <c:pt idx="20">
                  <c:v>149.28630357695829</c:v>
                </c:pt>
                <c:pt idx="21">
                  <c:v>120.40812454265038</c:v>
                </c:pt>
                <c:pt idx="22">
                  <c:v>141.58075430337473</c:v>
                </c:pt>
                <c:pt idx="23">
                  <c:v>162.67735290343725</c:v>
                </c:pt>
                <c:pt idx="24">
                  <c:v>183.70918168109486</c:v>
                </c:pt>
                <c:pt idx="25">
                  <c:v>204.68470429512652</c:v>
                </c:pt>
                <c:pt idx="26">
                  <c:v>175.18997878840631</c:v>
                </c:pt>
                <c:pt idx="27">
                  <c:v>195.33725403815257</c:v>
                </c:pt>
                <c:pt idx="28">
                  <c:v>215.43623857870276</c:v>
                </c:pt>
                <c:pt idx="29">
                  <c:v>235.49207202192679</c:v>
                </c:pt>
                <c:pt idx="30">
                  <c:v>255.50894611772119</c:v>
                </c:pt>
                <c:pt idx="31">
                  <c:v>224.19805253054756</c:v>
                </c:pt>
                <c:pt idx="32">
                  <c:v>242.26251159741642</c:v>
                </c:pt>
                <c:pt idx="33">
                  <c:v>260.29633594452861</c:v>
                </c:pt>
                <c:pt idx="34">
                  <c:v>278.301946435746</c:v>
                </c:pt>
                <c:pt idx="35">
                  <c:v>296.28142501216269</c:v>
                </c:pt>
                <c:pt idx="36">
                  <c:v>263.11151589765069</c:v>
                </c:pt>
                <c:pt idx="37">
                  <c:v>279.14530320025654</c:v>
                </c:pt>
                <c:pt idx="38">
                  <c:v>295.1584377506797</c:v>
                </c:pt>
                <c:pt idx="39">
                  <c:v>311.15219769628214</c:v>
                </c:pt>
                <c:pt idx="40">
                  <c:v>327.1277190437109</c:v>
                </c:pt>
                <c:pt idx="41">
                  <c:v>291.78890217004903</c:v>
                </c:pt>
                <c:pt idx="42">
                  <c:v>305.54248465313009</c:v>
                </c:pt>
                <c:pt idx="43">
                  <c:v>319.28230720978155</c:v>
                </c:pt>
                <c:pt idx="44">
                  <c:v>333.00904545770453</c:v>
                </c:pt>
                <c:pt idx="45">
                  <c:v>346.72331475971595</c:v>
                </c:pt>
                <c:pt idx="46">
                  <c:v>325.16676002004442</c:v>
                </c:pt>
                <c:pt idx="47">
                  <c:v>337.20858844808726</c:v>
                </c:pt>
                <c:pt idx="48">
                  <c:v>349.24095205485236</c:v>
                </c:pt>
                <c:pt idx="49">
                  <c:v>361.26422296534025</c:v>
                </c:pt>
                <c:pt idx="50">
                  <c:v>373.27874650728057</c:v>
                </c:pt>
                <c:pt idx="51">
                  <c:v>357.07106927741569</c:v>
                </c:pt>
                <c:pt idx="52">
                  <c:v>367.41226056988808</c:v>
                </c:pt>
                <c:pt idx="53">
                  <c:v>377.74709948417603</c:v>
                </c:pt>
                <c:pt idx="54">
                  <c:v>388.07578438405852</c:v>
                </c:pt>
                <c:pt idx="55">
                  <c:v>398.39850220884642</c:v>
                </c:pt>
                <c:pt idx="56">
                  <c:v>384.7266032604951</c:v>
                </c:pt>
                <c:pt idx="57">
                  <c:v>393.37737346788646</c:v>
                </c:pt>
                <c:pt idx="58">
                  <c:v>402.02401961743959</c:v>
                </c:pt>
                <c:pt idx="59">
                  <c:v>410.66664296453746</c:v>
                </c:pt>
                <c:pt idx="60">
                  <c:v>419.30534015273264</c:v>
                </c:pt>
                <c:pt idx="61">
                  <c:v>407.04280051298906</c:v>
                </c:pt>
                <c:pt idx="62">
                  <c:v>414.28979501974953</c:v>
                </c:pt>
                <c:pt idx="63">
                  <c:v>421.53405540097515</c:v>
                </c:pt>
                <c:pt idx="64">
                  <c:v>428.77563530272056</c:v>
                </c:pt>
                <c:pt idx="65">
                  <c:v>436.01458640998993</c:v>
                </c:pt>
                <c:pt idx="66">
                  <c:v>424.3195927914519</c:v>
                </c:pt>
                <c:pt idx="67">
                  <c:v>430.72484017315429</c:v>
                </c:pt>
                <c:pt idx="68">
                  <c:v>437.12804107015182</c:v>
                </c:pt>
                <c:pt idx="69">
                  <c:v>443.5292297106912</c:v>
                </c:pt>
                <c:pt idx="70">
                  <c:v>449.92843925372921</c:v>
                </c:pt>
                <c:pt idx="71">
                  <c:v>437.68474556682258</c:v>
                </c:pt>
                <c:pt idx="72">
                  <c:v>443.5292297106912</c:v>
                </c:pt>
                <c:pt idx="73">
                  <c:v>449.37206399490168</c:v>
                </c:pt>
                <c:pt idx="74">
                  <c:v>455.21327291395437</c:v>
                </c:pt>
                <c:pt idx="75">
                  <c:v>461.05288028198464</c:v>
                </c:pt>
                <c:pt idx="76">
                  <c:v>449.37206399490168</c:v>
                </c:pt>
                <c:pt idx="77">
                  <c:v>454.37891309932866</c:v>
                </c:pt>
                <c:pt idx="78">
                  <c:v>459.38458309507376</c:v>
                </c:pt>
                <c:pt idx="79">
                  <c:v>464.38908865378454</c:v>
                </c:pt>
                <c:pt idx="80">
                  <c:v>469.39244410483212</c:v>
                </c:pt>
                <c:pt idx="81">
                  <c:v>454.10078588624373</c:v>
                </c:pt>
                <c:pt idx="82">
                  <c:v>454.10078588624373</c:v>
                </c:pt>
                <c:pt idx="83">
                  <c:v>454.10078588624373</c:v>
                </c:pt>
                <c:pt idx="84">
                  <c:v>454.10078588624373</c:v>
                </c:pt>
                <c:pt idx="85">
                  <c:v>454.10078588624373</c:v>
                </c:pt>
                <c:pt idx="86">
                  <c:v>454.10078588624373</c:v>
                </c:pt>
                <c:pt idx="87">
                  <c:v>454.10078588624373</c:v>
                </c:pt>
                <c:pt idx="88">
                  <c:v>454.10078588624373</c:v>
                </c:pt>
                <c:pt idx="89">
                  <c:v>454.10078588624373</c:v>
                </c:pt>
                <c:pt idx="90">
                  <c:v>454.10078588624373</c:v>
                </c:pt>
                <c:pt idx="91">
                  <c:v>454.10078588624373</c:v>
                </c:pt>
                <c:pt idx="92">
                  <c:v>454.10078588624373</c:v>
                </c:pt>
                <c:pt idx="93">
                  <c:v>454.10078588624373</c:v>
                </c:pt>
                <c:pt idx="94">
                  <c:v>454.10078588624373</c:v>
                </c:pt>
                <c:pt idx="95">
                  <c:v>454.10078588624373</c:v>
                </c:pt>
                <c:pt idx="96">
                  <c:v>454.10078588624373</c:v>
                </c:pt>
                <c:pt idx="97">
                  <c:v>454.10078588624373</c:v>
                </c:pt>
                <c:pt idx="98">
                  <c:v>454.10078588624373</c:v>
                </c:pt>
                <c:pt idx="99">
                  <c:v>454.10078588624373</c:v>
                </c:pt>
                <c:pt idx="100">
                  <c:v>454.10078588624373</c:v>
                </c:pt>
                <c:pt idx="101">
                  <c:v>454.10078588624373</c:v>
                </c:pt>
                <c:pt idx="102">
                  <c:v>454.10078588624373</c:v>
                </c:pt>
                <c:pt idx="103">
                  <c:v>454.10078588624373</c:v>
                </c:pt>
                <c:pt idx="104">
                  <c:v>454.10078588624373</c:v>
                </c:pt>
                <c:pt idx="105">
                  <c:v>454.10078588624373</c:v>
                </c:pt>
                <c:pt idx="106">
                  <c:v>454.10078588624373</c:v>
                </c:pt>
                <c:pt idx="107">
                  <c:v>454.10078588624373</c:v>
                </c:pt>
                <c:pt idx="108">
                  <c:v>454.10078588624373</c:v>
                </c:pt>
                <c:pt idx="109">
                  <c:v>454.10078588624373</c:v>
                </c:pt>
                <c:pt idx="110">
                  <c:v>454.10078588624373</c:v>
                </c:pt>
                <c:pt idx="111">
                  <c:v>454.10078588624373</c:v>
                </c:pt>
                <c:pt idx="112">
                  <c:v>454.10078588624373</c:v>
                </c:pt>
                <c:pt idx="113">
                  <c:v>454.10078588624373</c:v>
                </c:pt>
                <c:pt idx="114">
                  <c:v>454.10078588624373</c:v>
                </c:pt>
                <c:pt idx="115">
                  <c:v>454.10078588624373</c:v>
                </c:pt>
                <c:pt idx="116">
                  <c:v>454.10078588624373</c:v>
                </c:pt>
                <c:pt idx="117">
                  <c:v>454.10078588624373</c:v>
                </c:pt>
                <c:pt idx="118">
                  <c:v>454.10078588624373</c:v>
                </c:pt>
                <c:pt idx="119">
                  <c:v>454.10078588624373</c:v>
                </c:pt>
                <c:pt idx="120">
                  <c:v>454.10078588624373</c:v>
                </c:pt>
                <c:pt idx="121">
                  <c:v>454.10078588624373</c:v>
                </c:pt>
                <c:pt idx="122">
                  <c:v>454.10078588624373</c:v>
                </c:pt>
                <c:pt idx="123">
                  <c:v>454.10078588624373</c:v>
                </c:pt>
                <c:pt idx="124">
                  <c:v>454.10078588624373</c:v>
                </c:pt>
                <c:pt idx="125">
                  <c:v>454.10078588624373</c:v>
                </c:pt>
                <c:pt idx="126">
                  <c:v>454.10078588624373</c:v>
                </c:pt>
                <c:pt idx="127">
                  <c:v>454.10078588624373</c:v>
                </c:pt>
                <c:pt idx="128">
                  <c:v>454.10078588624373</c:v>
                </c:pt>
                <c:pt idx="129">
                  <c:v>454.10078588624373</c:v>
                </c:pt>
                <c:pt idx="130">
                  <c:v>454.10078588624373</c:v>
                </c:pt>
                <c:pt idx="131">
                  <c:v>454.10078588624373</c:v>
                </c:pt>
                <c:pt idx="132">
                  <c:v>454.10078588624373</c:v>
                </c:pt>
                <c:pt idx="133">
                  <c:v>454.10078588624373</c:v>
                </c:pt>
                <c:pt idx="134">
                  <c:v>454.10078588624373</c:v>
                </c:pt>
                <c:pt idx="135">
                  <c:v>454.10078588624373</c:v>
                </c:pt>
                <c:pt idx="136">
                  <c:v>454.10078588624373</c:v>
                </c:pt>
                <c:pt idx="137">
                  <c:v>454.10078588624373</c:v>
                </c:pt>
                <c:pt idx="138">
                  <c:v>454.10078588624373</c:v>
                </c:pt>
                <c:pt idx="139">
                  <c:v>454.10078588624373</c:v>
                </c:pt>
                <c:pt idx="140">
                  <c:v>454.10078588624373</c:v>
                </c:pt>
                <c:pt idx="141">
                  <c:v>454.10078588624373</c:v>
                </c:pt>
                <c:pt idx="142">
                  <c:v>454.10078588624373</c:v>
                </c:pt>
                <c:pt idx="143">
                  <c:v>454.10078588624373</c:v>
                </c:pt>
                <c:pt idx="144">
                  <c:v>454.10078588624373</c:v>
                </c:pt>
                <c:pt idx="145">
                  <c:v>454.10078588624373</c:v>
                </c:pt>
                <c:pt idx="146">
                  <c:v>454.10078588624373</c:v>
                </c:pt>
                <c:pt idx="147">
                  <c:v>454.10078588624373</c:v>
                </c:pt>
                <c:pt idx="148">
                  <c:v>454.10078588624373</c:v>
                </c:pt>
                <c:pt idx="149">
                  <c:v>454.10078588624373</c:v>
                </c:pt>
                <c:pt idx="150">
                  <c:v>454.10078588624373</c:v>
                </c:pt>
                <c:pt idx="151">
                  <c:v>454.10078588624373</c:v>
                </c:pt>
                <c:pt idx="152">
                  <c:v>454.10078588624373</c:v>
                </c:pt>
                <c:pt idx="153">
                  <c:v>454.10078588624373</c:v>
                </c:pt>
                <c:pt idx="154">
                  <c:v>454.10078588624373</c:v>
                </c:pt>
                <c:pt idx="155">
                  <c:v>454.10078588624373</c:v>
                </c:pt>
                <c:pt idx="156">
                  <c:v>454.10078588624373</c:v>
                </c:pt>
                <c:pt idx="157">
                  <c:v>454.10078588624373</c:v>
                </c:pt>
                <c:pt idx="158">
                  <c:v>454.10078588624373</c:v>
                </c:pt>
                <c:pt idx="159">
                  <c:v>454.10078588624373</c:v>
                </c:pt>
                <c:pt idx="160">
                  <c:v>454.10078588624373</c:v>
                </c:pt>
                <c:pt idx="161">
                  <c:v>454.10078588624373</c:v>
                </c:pt>
                <c:pt idx="162">
                  <c:v>454.10078588624373</c:v>
                </c:pt>
                <c:pt idx="163">
                  <c:v>454.10078588624373</c:v>
                </c:pt>
                <c:pt idx="164">
                  <c:v>454.10078588624373</c:v>
                </c:pt>
                <c:pt idx="165">
                  <c:v>454.10078588624373</c:v>
                </c:pt>
                <c:pt idx="166">
                  <c:v>454.10078588624373</c:v>
                </c:pt>
                <c:pt idx="167">
                  <c:v>454.10078588624373</c:v>
                </c:pt>
                <c:pt idx="168">
                  <c:v>454.10078588624373</c:v>
                </c:pt>
                <c:pt idx="169">
                  <c:v>454.10078588624373</c:v>
                </c:pt>
                <c:pt idx="170">
                  <c:v>454.10078588624373</c:v>
                </c:pt>
                <c:pt idx="171">
                  <c:v>454.10078588624373</c:v>
                </c:pt>
                <c:pt idx="172">
                  <c:v>454.10078588624373</c:v>
                </c:pt>
                <c:pt idx="173">
                  <c:v>454.10078588624373</c:v>
                </c:pt>
                <c:pt idx="174">
                  <c:v>454.10078588624373</c:v>
                </c:pt>
                <c:pt idx="175">
                  <c:v>454.10078588624373</c:v>
                </c:pt>
                <c:pt idx="176">
                  <c:v>454.10078588624373</c:v>
                </c:pt>
                <c:pt idx="177">
                  <c:v>454.10078588624373</c:v>
                </c:pt>
                <c:pt idx="178">
                  <c:v>454.10078588624373</c:v>
                </c:pt>
                <c:pt idx="179">
                  <c:v>454.10078588624373</c:v>
                </c:pt>
                <c:pt idx="180">
                  <c:v>454.10078588624373</c:v>
                </c:pt>
                <c:pt idx="181">
                  <c:v>454.10078588624373</c:v>
                </c:pt>
                <c:pt idx="182">
                  <c:v>454.10078588624373</c:v>
                </c:pt>
                <c:pt idx="183">
                  <c:v>454.10078588624373</c:v>
                </c:pt>
                <c:pt idx="184">
                  <c:v>454.10078588624373</c:v>
                </c:pt>
                <c:pt idx="185">
                  <c:v>454.10078588624373</c:v>
                </c:pt>
                <c:pt idx="186">
                  <c:v>454.10078588624373</c:v>
                </c:pt>
                <c:pt idx="187">
                  <c:v>454.10078588624373</c:v>
                </c:pt>
                <c:pt idx="188">
                  <c:v>454.10078588624373</c:v>
                </c:pt>
                <c:pt idx="189">
                  <c:v>454.10078588624373</c:v>
                </c:pt>
                <c:pt idx="190">
                  <c:v>454.10078588624373</c:v>
                </c:pt>
                <c:pt idx="191">
                  <c:v>454.10078588624373</c:v>
                </c:pt>
                <c:pt idx="192">
                  <c:v>454.10078588624373</c:v>
                </c:pt>
                <c:pt idx="193">
                  <c:v>454.10078588624373</c:v>
                </c:pt>
                <c:pt idx="194">
                  <c:v>454.10078588624373</c:v>
                </c:pt>
                <c:pt idx="195">
                  <c:v>454.10078588624373</c:v>
                </c:pt>
                <c:pt idx="196">
                  <c:v>454.10078588624373</c:v>
                </c:pt>
                <c:pt idx="197">
                  <c:v>454.10078588624373</c:v>
                </c:pt>
                <c:pt idx="198">
                  <c:v>454.10078588624373</c:v>
                </c:pt>
                <c:pt idx="199">
                  <c:v>454.10078588624373</c:v>
                </c:pt>
                <c:pt idx="200">
                  <c:v>454.10078588624373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2.6202873647055487</c:v>
                </c:pt>
                <c:pt idx="2">
                  <c:v>3.3014890700969475</c:v>
                </c:pt>
                <c:pt idx="3">
                  <c:v>4.1604758697806128</c:v>
                </c:pt>
                <c:pt idx="4">
                  <c:v>5.2438175769854629</c:v>
                </c:pt>
                <c:pt idx="5">
                  <c:v>6.6103243965889789</c:v>
                </c:pt>
                <c:pt idx="6">
                  <c:v>8.3342743628219527</c:v>
                </c:pt>
                <c:pt idx="7">
                  <c:v>10.509494235432264</c:v>
                </c:pt>
                <c:pt idx="8">
                  <c:v>13.25452014211402</c:v>
                </c:pt>
                <c:pt idx="9">
                  <c:v>16.71912439869411</c:v>
                </c:pt>
                <c:pt idx="10">
                  <c:v>21.092571102519226</c:v>
                </c:pt>
                <c:pt idx="11">
                  <c:v>40.959654766376069</c:v>
                </c:pt>
                <c:pt idx="12">
                  <c:v>60.556368030357454</c:v>
                </c:pt>
                <c:pt idx="13">
                  <c:v>79.985715393823597</c:v>
                </c:pt>
                <c:pt idx="14">
                  <c:v>99.294672325256599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559.48170794289206</c:v>
                </c:pt>
                <c:pt idx="82">
                  <c:v>559.48170794289206</c:v>
                </c:pt>
                <c:pt idx="83">
                  <c:v>559.48170794289206</c:v>
                </c:pt>
                <c:pt idx="84">
                  <c:v>559.48170794289206</c:v>
                </c:pt>
                <c:pt idx="85">
                  <c:v>559.48170794289206</c:v>
                </c:pt>
                <c:pt idx="86">
                  <c:v>559.48170794289206</c:v>
                </c:pt>
                <c:pt idx="87">
                  <c:v>559.48170794289206</c:v>
                </c:pt>
                <c:pt idx="88">
                  <c:v>559.48170794289206</c:v>
                </c:pt>
                <c:pt idx="89">
                  <c:v>559.48170794289206</c:v>
                </c:pt>
                <c:pt idx="90">
                  <c:v>559.48170794289206</c:v>
                </c:pt>
                <c:pt idx="91">
                  <c:v>559.48170794289206</c:v>
                </c:pt>
                <c:pt idx="92">
                  <c:v>559.48170794289206</c:v>
                </c:pt>
                <c:pt idx="93">
                  <c:v>559.48170794289206</c:v>
                </c:pt>
                <c:pt idx="94">
                  <c:v>559.48170794289206</c:v>
                </c:pt>
                <c:pt idx="95">
                  <c:v>559.48170794289206</c:v>
                </c:pt>
                <c:pt idx="96">
                  <c:v>559.48170794289206</c:v>
                </c:pt>
                <c:pt idx="97">
                  <c:v>559.48170794289206</c:v>
                </c:pt>
                <c:pt idx="98">
                  <c:v>559.48170794289206</c:v>
                </c:pt>
                <c:pt idx="99">
                  <c:v>559.48170794289206</c:v>
                </c:pt>
                <c:pt idx="100">
                  <c:v>559.48170794289206</c:v>
                </c:pt>
                <c:pt idx="101">
                  <c:v>559.48170794289206</c:v>
                </c:pt>
                <c:pt idx="102">
                  <c:v>559.48170794289206</c:v>
                </c:pt>
                <c:pt idx="103">
                  <c:v>559.48170794289206</c:v>
                </c:pt>
                <c:pt idx="104">
                  <c:v>559.48170794289206</c:v>
                </c:pt>
                <c:pt idx="105">
                  <c:v>559.48170794289206</c:v>
                </c:pt>
                <c:pt idx="106">
                  <c:v>559.48170794289206</c:v>
                </c:pt>
                <c:pt idx="107">
                  <c:v>559.48170794289206</c:v>
                </c:pt>
                <c:pt idx="108">
                  <c:v>559.48170794289206</c:v>
                </c:pt>
                <c:pt idx="109">
                  <c:v>559.48170794289206</c:v>
                </c:pt>
                <c:pt idx="110">
                  <c:v>559.48170794289206</c:v>
                </c:pt>
                <c:pt idx="111">
                  <c:v>559.48170794289206</c:v>
                </c:pt>
                <c:pt idx="112">
                  <c:v>559.48170794289206</c:v>
                </c:pt>
                <c:pt idx="113">
                  <c:v>559.48170794289206</c:v>
                </c:pt>
                <c:pt idx="114">
                  <c:v>559.48170794289206</c:v>
                </c:pt>
                <c:pt idx="115">
                  <c:v>559.48170794289206</c:v>
                </c:pt>
                <c:pt idx="116">
                  <c:v>559.48170794289206</c:v>
                </c:pt>
                <c:pt idx="117">
                  <c:v>559.48170794289206</c:v>
                </c:pt>
                <c:pt idx="118">
                  <c:v>559.48170794289206</c:v>
                </c:pt>
                <c:pt idx="119">
                  <c:v>559.48170794289206</c:v>
                </c:pt>
                <c:pt idx="120">
                  <c:v>559.48170794289206</c:v>
                </c:pt>
                <c:pt idx="121">
                  <c:v>559.48170794289206</c:v>
                </c:pt>
                <c:pt idx="122">
                  <c:v>559.48170794289206</c:v>
                </c:pt>
                <c:pt idx="123">
                  <c:v>559.48170794289206</c:v>
                </c:pt>
                <c:pt idx="124">
                  <c:v>559.48170794289206</c:v>
                </c:pt>
                <c:pt idx="125">
                  <c:v>559.48170794289206</c:v>
                </c:pt>
                <c:pt idx="126">
                  <c:v>559.48170794289206</c:v>
                </c:pt>
                <c:pt idx="127">
                  <c:v>559.48170794289206</c:v>
                </c:pt>
                <c:pt idx="128">
                  <c:v>559.48170794289206</c:v>
                </c:pt>
                <c:pt idx="129">
                  <c:v>559.48170794289206</c:v>
                </c:pt>
                <c:pt idx="130">
                  <c:v>559.48170794289206</c:v>
                </c:pt>
                <c:pt idx="131">
                  <c:v>559.48170794289206</c:v>
                </c:pt>
                <c:pt idx="132">
                  <c:v>559.48170794289206</c:v>
                </c:pt>
                <c:pt idx="133">
                  <c:v>559.48170794289206</c:v>
                </c:pt>
                <c:pt idx="134">
                  <c:v>559.48170794289206</c:v>
                </c:pt>
                <c:pt idx="135">
                  <c:v>559.48170794289206</c:v>
                </c:pt>
                <c:pt idx="136">
                  <c:v>559.48170794289206</c:v>
                </c:pt>
                <c:pt idx="137">
                  <c:v>559.48170794289206</c:v>
                </c:pt>
                <c:pt idx="138">
                  <c:v>559.48170794289206</c:v>
                </c:pt>
                <c:pt idx="139">
                  <c:v>559.48170794289206</c:v>
                </c:pt>
                <c:pt idx="140">
                  <c:v>559.48170794289206</c:v>
                </c:pt>
                <c:pt idx="141">
                  <c:v>559.48170794289206</c:v>
                </c:pt>
                <c:pt idx="142">
                  <c:v>559.48170794289206</c:v>
                </c:pt>
                <c:pt idx="143">
                  <c:v>559.48170794289206</c:v>
                </c:pt>
                <c:pt idx="144">
                  <c:v>559.48170794289206</c:v>
                </c:pt>
                <c:pt idx="145">
                  <c:v>559.48170794289206</c:v>
                </c:pt>
                <c:pt idx="146">
                  <c:v>559.48170794289206</c:v>
                </c:pt>
                <c:pt idx="147">
                  <c:v>559.48170794289206</c:v>
                </c:pt>
                <c:pt idx="148">
                  <c:v>559.48170794289206</c:v>
                </c:pt>
                <c:pt idx="149">
                  <c:v>559.48170794289206</c:v>
                </c:pt>
                <c:pt idx="150">
                  <c:v>559.48170794289206</c:v>
                </c:pt>
                <c:pt idx="151">
                  <c:v>559.48170794289206</c:v>
                </c:pt>
                <c:pt idx="152">
                  <c:v>559.48170794289206</c:v>
                </c:pt>
                <c:pt idx="153">
                  <c:v>559.48170794289206</c:v>
                </c:pt>
                <c:pt idx="154">
                  <c:v>559.48170794289206</c:v>
                </c:pt>
                <c:pt idx="155">
                  <c:v>559.48170794289206</c:v>
                </c:pt>
                <c:pt idx="156">
                  <c:v>559.48170794289206</c:v>
                </c:pt>
                <c:pt idx="157">
                  <c:v>559.48170794289206</c:v>
                </c:pt>
                <c:pt idx="158">
                  <c:v>559.48170794289206</c:v>
                </c:pt>
                <c:pt idx="159">
                  <c:v>559.48170794289206</c:v>
                </c:pt>
                <c:pt idx="160">
                  <c:v>559.48170794289206</c:v>
                </c:pt>
                <c:pt idx="161">
                  <c:v>559.48170794289206</c:v>
                </c:pt>
                <c:pt idx="162">
                  <c:v>559.48170794289206</c:v>
                </c:pt>
                <c:pt idx="163">
                  <c:v>559.48170794289206</c:v>
                </c:pt>
                <c:pt idx="164">
                  <c:v>559.48170794289206</c:v>
                </c:pt>
                <c:pt idx="165">
                  <c:v>559.48170794289206</c:v>
                </c:pt>
                <c:pt idx="166">
                  <c:v>559.48170794289206</c:v>
                </c:pt>
                <c:pt idx="167">
                  <c:v>559.48170794289206</c:v>
                </c:pt>
                <c:pt idx="168">
                  <c:v>559.48170794289206</c:v>
                </c:pt>
                <c:pt idx="169">
                  <c:v>559.48170794289206</c:v>
                </c:pt>
                <c:pt idx="170">
                  <c:v>559.48170794289206</c:v>
                </c:pt>
                <c:pt idx="171">
                  <c:v>559.48170794289206</c:v>
                </c:pt>
                <c:pt idx="172">
                  <c:v>559.48170794289206</c:v>
                </c:pt>
                <c:pt idx="173">
                  <c:v>559.48170794289206</c:v>
                </c:pt>
                <c:pt idx="174">
                  <c:v>559.48170794289206</c:v>
                </c:pt>
                <c:pt idx="175">
                  <c:v>559.48170794289206</c:v>
                </c:pt>
                <c:pt idx="176">
                  <c:v>559.48170794289206</c:v>
                </c:pt>
                <c:pt idx="177">
                  <c:v>559.48170794289206</c:v>
                </c:pt>
                <c:pt idx="178">
                  <c:v>559.48170794289206</c:v>
                </c:pt>
                <c:pt idx="179">
                  <c:v>559.48170794289206</c:v>
                </c:pt>
                <c:pt idx="180">
                  <c:v>559.48170794289206</c:v>
                </c:pt>
                <c:pt idx="181">
                  <c:v>559.48170794289206</c:v>
                </c:pt>
                <c:pt idx="182">
                  <c:v>559.48170794289206</c:v>
                </c:pt>
                <c:pt idx="183">
                  <c:v>559.48170794289206</c:v>
                </c:pt>
                <c:pt idx="184">
                  <c:v>559.48170794289206</c:v>
                </c:pt>
                <c:pt idx="185">
                  <c:v>559.48170794289206</c:v>
                </c:pt>
                <c:pt idx="186">
                  <c:v>559.48170794289206</c:v>
                </c:pt>
                <c:pt idx="187">
                  <c:v>559.48170794289206</c:v>
                </c:pt>
                <c:pt idx="188">
                  <c:v>559.48170794289206</c:v>
                </c:pt>
                <c:pt idx="189">
                  <c:v>559.48170794289206</c:v>
                </c:pt>
                <c:pt idx="190">
                  <c:v>559.48170794289206</c:v>
                </c:pt>
                <c:pt idx="191">
                  <c:v>559.48170794289206</c:v>
                </c:pt>
                <c:pt idx="192">
                  <c:v>559.48170794289206</c:v>
                </c:pt>
                <c:pt idx="193">
                  <c:v>559.48170794289206</c:v>
                </c:pt>
                <c:pt idx="194">
                  <c:v>559.48170794289206</c:v>
                </c:pt>
                <c:pt idx="195">
                  <c:v>559.48170794289206</c:v>
                </c:pt>
                <c:pt idx="196">
                  <c:v>559.48170794289206</c:v>
                </c:pt>
                <c:pt idx="197">
                  <c:v>559.48170794289206</c:v>
                </c:pt>
                <c:pt idx="198">
                  <c:v>559.48170794289206</c:v>
                </c:pt>
                <c:pt idx="199">
                  <c:v>559.48170794289206</c:v>
                </c:pt>
                <c:pt idx="200">
                  <c:v>559.48170794289206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8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3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3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3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3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3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3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3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3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3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3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3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3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3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3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3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3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3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3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97" zoomScaleNormal="100" workbookViewId="0">
      <selection activeCell="E117" sqref="E11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6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8" t="s">
        <v>192</v>
      </c>
      <c r="C3" s="269"/>
      <c r="D3" s="269"/>
      <c r="E3" s="269"/>
      <c r="F3" s="270"/>
      <c r="G3" s="84"/>
      <c r="I3" s="206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5"/>
      <c r="B4" s="85"/>
      <c r="C4" s="85"/>
      <c r="D4" s="85"/>
      <c r="E4" s="85"/>
      <c r="F4" s="85"/>
      <c r="G4" s="213"/>
      <c r="I4" s="206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3" t="s">
        <v>231</v>
      </c>
      <c r="B5" s="273"/>
      <c r="C5" s="24">
        <v>7.67</v>
      </c>
      <c r="D5" s="274" t="s">
        <v>229</v>
      </c>
      <c r="E5" s="275"/>
      <c r="F5" s="85"/>
      <c r="G5" s="213"/>
      <c r="H5" s="213"/>
      <c r="I5" s="213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6"/>
      <c r="B6" s="86"/>
      <c r="C6" s="4"/>
      <c r="D6" s="83"/>
      <c r="E6" s="83"/>
      <c r="F6" s="26"/>
      <c r="G6" s="200"/>
      <c r="H6" s="200"/>
      <c r="I6" s="200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2" t="s">
        <v>226</v>
      </c>
      <c r="B7" s="272"/>
      <c r="C7" s="85"/>
      <c r="D7" s="85"/>
      <c r="E7" s="4"/>
      <c r="F7" s="85"/>
      <c r="G7" s="213"/>
      <c r="H7" s="213"/>
      <c r="I7" s="213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0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11</v>
      </c>
      <c r="C9" s="252">
        <v>0.54521749437003675</v>
      </c>
      <c r="D9" s="33">
        <f t="shared" ref="D9:D18" si="0">C9*$C$5</f>
        <v>4.1818181818181817</v>
      </c>
      <c r="E9" s="253">
        <v>115</v>
      </c>
      <c r="F9" s="35" t="str">
        <f t="array" ref="F9">IF(E9="","",IF(INDEX(A:A,MAX(IF(ISNUMBER($A$36:$A$55),ROW($A$36:$A$55),"")))&lt;&gt;E9,"Corrigez : révolution incorrecte","OK"))</f>
        <v>OK</v>
      </c>
      <c r="G9" s="223" t="s">
        <v>306</v>
      </c>
      <c r="I9" s="221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252">
        <v>0.18371459049425151</v>
      </c>
      <c r="D10" s="33">
        <f t="shared" si="0"/>
        <v>1.4090909090909092</v>
      </c>
      <c r="E10" s="253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1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5</v>
      </c>
      <c r="C11" s="252">
        <v>9.0909090909090912E-2</v>
      </c>
      <c r="D11" s="33">
        <f t="shared" si="0"/>
        <v>0.69727272727272727</v>
      </c>
      <c r="E11" s="253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1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18</v>
      </c>
      <c r="C12" s="252">
        <v>6.8152186796254594E-2</v>
      </c>
      <c r="D12" s="33">
        <f t="shared" si="0"/>
        <v>0.52272727272727271</v>
      </c>
      <c r="E12" s="253">
        <v>65</v>
      </c>
      <c r="F12" s="35" t="str">
        <f t="array" ref="F12">IF(E12="","",IF(INDEX(A:A,MAX(IF(ISNUMBER($A$114:$A$133),ROW($A$114:$A$133),"")))&lt;&gt;E12,"Corrigez : révolution incorrecte","OK"))</f>
        <v>OK</v>
      </c>
      <c r="I12" s="221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6</v>
      </c>
      <c r="C13" s="252">
        <v>6.8152186796254594E-2</v>
      </c>
      <c r="D13" s="33">
        <f t="shared" si="0"/>
        <v>0.52272727272727271</v>
      </c>
      <c r="E13" s="253">
        <v>105</v>
      </c>
      <c r="F13" s="35" t="str">
        <f t="array" ref="F13">IF(E13="","",IF(INDEX(A:A,MAX(IF(ISNUMBER($A$140:$A$159),ROW($A$140:$A$159),"")))&lt;&gt;E13,"Corrigez : révolution incorrecte","OK"))</f>
        <v>OK</v>
      </c>
      <c r="I13" s="221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</v>
      </c>
      <c r="C14" s="252">
        <v>2.2519853028327604E-2</v>
      </c>
      <c r="D14" s="33">
        <f t="shared" si="0"/>
        <v>0.17272727272727273</v>
      </c>
      <c r="E14" s="253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1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5</v>
      </c>
      <c r="C15" s="252">
        <v>2.1334597605784048E-2</v>
      </c>
      <c r="D15" s="33">
        <f t="shared" si="0"/>
        <v>0.16363636363636364</v>
      </c>
      <c r="E15" s="253">
        <v>80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324</v>
      </c>
      <c r="I15" s="221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1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1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5"/>
      <c r="B19" s="36" t="s">
        <v>175</v>
      </c>
      <c r="C19" s="37">
        <f>SUM(C9:C18)</f>
        <v>1</v>
      </c>
      <c r="D19" s="38">
        <f>SUM(D9:D18)</f>
        <v>7.67</v>
      </c>
      <c r="E19" s="4"/>
      <c r="F19" s="87"/>
      <c r="G19" s="214"/>
      <c r="H19" s="214"/>
      <c r="I19" s="21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5"/>
      <c r="B20" s="39" t="s">
        <v>230</v>
      </c>
      <c r="C20" s="40" t="str">
        <f>IF(C19&gt;100%,"Erreur : corrigez","OK")</f>
        <v>OK</v>
      </c>
      <c r="D20" s="217"/>
      <c r="F20" s="200"/>
      <c r="G20" s="200"/>
      <c r="H20" s="214"/>
      <c r="I20" s="21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5"/>
      <c r="I21" s="215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88"/>
      <c r="F24" s="88"/>
      <c r="G24" s="197"/>
      <c r="I24" s="197"/>
      <c r="J24" s="216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89"/>
      <c r="E25" s="4"/>
      <c r="F25" s="89"/>
      <c r="G25" s="216"/>
      <c r="I25" s="216"/>
      <c r="J25" s="216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88"/>
      <c r="F26" s="88"/>
      <c r="G26" s="197"/>
      <c r="I26" s="197"/>
      <c r="J26" s="197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88"/>
      <c r="F27" s="88"/>
      <c r="G27" s="197"/>
      <c r="I27" s="197"/>
      <c r="J27" s="197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2" t="s">
        <v>227</v>
      </c>
      <c r="B30" s="272"/>
      <c r="D30" s="218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1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pédonculé</v>
      </c>
      <c r="D32" s="224" t="s">
        <v>307</v>
      </c>
      <c r="K32" s="218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18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2" t="s">
        <v>185</v>
      </c>
      <c r="C34" s="264" t="s">
        <v>186</v>
      </c>
      <c r="D34" s="264"/>
      <c r="E34" s="265" t="s">
        <v>187</v>
      </c>
      <c r="F34" s="266"/>
      <c r="G34" s="266"/>
      <c r="H34" s="267"/>
      <c r="I34" s="90"/>
      <c r="J34" s="218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19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4">
        <v>20</v>
      </c>
      <c r="B36" s="254">
        <v>73</v>
      </c>
      <c r="C36" s="254">
        <v>1</v>
      </c>
      <c r="D36" s="254">
        <v>6</v>
      </c>
      <c r="E36" s="255"/>
      <c r="F36" s="255"/>
      <c r="G36" s="255"/>
      <c r="H36" s="255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4">
        <v>25</v>
      </c>
      <c r="B37" s="254">
        <v>103</v>
      </c>
      <c r="C37" s="254">
        <v>2</v>
      </c>
      <c r="D37" s="254">
        <v>28</v>
      </c>
      <c r="E37" s="255"/>
      <c r="F37" s="255"/>
      <c r="G37" s="255"/>
      <c r="H37" s="255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4">
        <v>30</v>
      </c>
      <c r="B38" s="254">
        <v>121</v>
      </c>
      <c r="C38" s="254">
        <v>3</v>
      </c>
      <c r="D38" s="254">
        <v>28</v>
      </c>
      <c r="E38" s="255"/>
      <c r="F38" s="255"/>
      <c r="G38" s="255"/>
      <c r="H38" s="255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4">
        <v>35</v>
      </c>
      <c r="B39" s="254">
        <v>147</v>
      </c>
      <c r="C39" s="254">
        <v>4</v>
      </c>
      <c r="D39" s="254">
        <v>28</v>
      </c>
      <c r="E39" s="255">
        <v>1</v>
      </c>
      <c r="F39" s="255"/>
      <c r="G39" s="255"/>
      <c r="H39" s="255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4">
        <v>40</v>
      </c>
      <c r="B40" s="254">
        <v>175</v>
      </c>
      <c r="C40" s="254">
        <v>5</v>
      </c>
      <c r="D40" s="254">
        <v>28</v>
      </c>
      <c r="E40" s="255">
        <v>1</v>
      </c>
      <c r="F40" s="255"/>
      <c r="G40" s="255"/>
      <c r="H40" s="255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4">
        <v>45</v>
      </c>
      <c r="B41" s="254">
        <v>204</v>
      </c>
      <c r="C41" s="254">
        <v>6</v>
      </c>
      <c r="D41" s="254">
        <v>28</v>
      </c>
      <c r="E41" s="255">
        <v>1</v>
      </c>
      <c r="F41" s="255"/>
      <c r="G41" s="255"/>
      <c r="H41" s="255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4">
        <v>50</v>
      </c>
      <c r="B42" s="254">
        <v>231</v>
      </c>
      <c r="C42" s="254">
        <v>7</v>
      </c>
      <c r="D42" s="254">
        <v>28</v>
      </c>
      <c r="E42" s="255">
        <v>1</v>
      </c>
      <c r="F42" s="255"/>
      <c r="G42" s="255"/>
      <c r="H42" s="255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4">
        <v>55</v>
      </c>
      <c r="B43" s="254">
        <v>254</v>
      </c>
      <c r="C43" s="254">
        <v>8</v>
      </c>
      <c r="D43" s="254">
        <v>28</v>
      </c>
      <c r="E43" s="255">
        <v>1</v>
      </c>
      <c r="F43" s="255"/>
      <c r="G43" s="255"/>
      <c r="H43" s="255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4">
        <v>60</v>
      </c>
      <c r="B44" s="254">
        <v>273</v>
      </c>
      <c r="C44" s="254">
        <v>9</v>
      </c>
      <c r="D44" s="254">
        <v>28</v>
      </c>
      <c r="E44" s="255">
        <v>1</v>
      </c>
      <c r="F44" s="255"/>
      <c r="G44" s="255"/>
      <c r="H44" s="255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6">
        <v>65</v>
      </c>
      <c r="B45" s="256">
        <v>289</v>
      </c>
      <c r="C45" s="256">
        <v>10</v>
      </c>
      <c r="D45" s="256">
        <v>28</v>
      </c>
      <c r="E45" s="255">
        <v>1</v>
      </c>
      <c r="F45" s="255"/>
      <c r="G45" s="255"/>
      <c r="H45" s="255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7">
        <v>70</v>
      </c>
      <c r="B46" s="257">
        <v>302</v>
      </c>
      <c r="C46" s="257">
        <v>11</v>
      </c>
      <c r="D46" s="257">
        <v>28</v>
      </c>
      <c r="E46" s="255">
        <v>1</v>
      </c>
      <c r="F46" s="255"/>
      <c r="G46" s="255"/>
      <c r="H46" s="255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8">
        <v>75</v>
      </c>
      <c r="B47" s="258">
        <v>312</v>
      </c>
      <c r="C47" s="258">
        <v>12</v>
      </c>
      <c r="D47" s="258">
        <v>28</v>
      </c>
      <c r="E47" s="255">
        <v>1</v>
      </c>
      <c r="F47" s="255"/>
      <c r="G47" s="255"/>
      <c r="H47" s="255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8">
        <v>80</v>
      </c>
      <c r="B48" s="258">
        <v>320</v>
      </c>
      <c r="C48" s="258">
        <v>13</v>
      </c>
      <c r="D48" s="258">
        <v>28</v>
      </c>
      <c r="E48" s="255">
        <v>1</v>
      </c>
      <c r="F48" s="255"/>
      <c r="G48" s="255"/>
      <c r="H48" s="255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8">
        <v>85</v>
      </c>
      <c r="B49" s="258">
        <v>326</v>
      </c>
      <c r="C49" s="258">
        <v>14</v>
      </c>
      <c r="D49" s="258">
        <v>28</v>
      </c>
      <c r="E49" s="255">
        <v>1</v>
      </c>
      <c r="F49" s="255"/>
      <c r="G49" s="255"/>
      <c r="H49" s="255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8">
        <v>90</v>
      </c>
      <c r="B50" s="258">
        <v>330</v>
      </c>
      <c r="C50" s="258">
        <v>15</v>
      </c>
      <c r="D50" s="258">
        <v>28</v>
      </c>
      <c r="E50" s="255">
        <v>1</v>
      </c>
      <c r="F50" s="255"/>
      <c r="G50" s="255"/>
      <c r="H50" s="255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8">
        <v>95</v>
      </c>
      <c r="B51" s="258">
        <v>333</v>
      </c>
      <c r="C51" s="258">
        <v>16</v>
      </c>
      <c r="D51" s="258">
        <v>28</v>
      </c>
      <c r="E51" s="255">
        <v>1</v>
      </c>
      <c r="F51" s="255"/>
      <c r="G51" s="255"/>
      <c r="H51" s="255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8">
        <v>100</v>
      </c>
      <c r="B52" s="258">
        <v>333</v>
      </c>
      <c r="C52" s="258">
        <v>17</v>
      </c>
      <c r="D52" s="258">
        <v>27</v>
      </c>
      <c r="E52" s="255">
        <v>1</v>
      </c>
      <c r="F52" s="255"/>
      <c r="G52" s="255"/>
      <c r="H52" s="255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8">
        <v>105</v>
      </c>
      <c r="B53" s="258">
        <v>333</v>
      </c>
      <c r="C53" s="258">
        <v>18</v>
      </c>
      <c r="D53" s="258">
        <v>26</v>
      </c>
      <c r="E53" s="255">
        <v>1</v>
      </c>
      <c r="F53" s="255"/>
      <c r="G53" s="255"/>
      <c r="H53" s="255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8">
        <v>110</v>
      </c>
      <c r="B54" s="258">
        <v>332</v>
      </c>
      <c r="C54" s="258">
        <v>19</v>
      </c>
      <c r="D54" s="258">
        <v>25</v>
      </c>
      <c r="E54" s="255">
        <v>1</v>
      </c>
      <c r="F54" s="255"/>
      <c r="G54" s="255"/>
      <c r="H54" s="255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8">
        <v>115</v>
      </c>
      <c r="B55" s="258">
        <v>331</v>
      </c>
      <c r="C55" s="258">
        <v>20</v>
      </c>
      <c r="D55" s="258">
        <v>24</v>
      </c>
      <c r="E55" s="255">
        <v>1</v>
      </c>
      <c r="F55" s="255"/>
      <c r="G55" s="255"/>
      <c r="H55" s="255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4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1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2" t="s">
        <v>185</v>
      </c>
      <c r="C60" s="264" t="s">
        <v>186</v>
      </c>
      <c r="D60" s="264"/>
      <c r="E60" s="265" t="s">
        <v>187</v>
      </c>
      <c r="F60" s="266"/>
      <c r="G60" s="266"/>
      <c r="H60" s="267"/>
      <c r="I60" s="90"/>
      <c r="J60" s="218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19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8">
        <v>20</v>
      </c>
      <c r="B62" s="258">
        <v>73</v>
      </c>
      <c r="C62" s="255">
        <v>1</v>
      </c>
      <c r="D62" s="258">
        <v>6</v>
      </c>
      <c r="E62" s="255"/>
      <c r="F62" s="255"/>
      <c r="G62" s="255"/>
      <c r="H62" s="255">
        <v>1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8">
        <v>25</v>
      </c>
      <c r="B63" s="258">
        <v>103</v>
      </c>
      <c r="C63" s="258">
        <v>2</v>
      </c>
      <c r="D63" s="258">
        <v>28</v>
      </c>
      <c r="E63" s="255"/>
      <c r="F63" s="255"/>
      <c r="G63" s="255"/>
      <c r="H63" s="255">
        <v>1</v>
      </c>
      <c r="I63" s="49">
        <f>IF(A63&lt;&gt;0,(B63-(B62-D62))/(A63-A62),"")</f>
        <v>7.2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8">
        <v>30</v>
      </c>
      <c r="B64" s="258">
        <v>121</v>
      </c>
      <c r="C64" s="258">
        <v>3</v>
      </c>
      <c r="D64" s="258">
        <v>28</v>
      </c>
      <c r="E64" s="255"/>
      <c r="F64" s="255"/>
      <c r="G64" s="255"/>
      <c r="H64" s="255">
        <v>1</v>
      </c>
      <c r="I64" s="49">
        <f>IF(A64&lt;&gt;0,(B64-(B63-D63))/(A64-A63),"")</f>
        <v>9.1999999999999993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8">
        <v>35</v>
      </c>
      <c r="B65" s="258">
        <v>147</v>
      </c>
      <c r="C65" s="258">
        <v>4</v>
      </c>
      <c r="D65" s="258">
        <v>28</v>
      </c>
      <c r="E65" s="255">
        <v>1</v>
      </c>
      <c r="F65" s="255"/>
      <c r="G65" s="255"/>
      <c r="H65" s="255"/>
      <c r="I65" s="49">
        <f>IF(A65&lt;&gt;0,(B65-(B64-D64))/(A65-A64),"")</f>
        <v>10.8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8">
        <v>40</v>
      </c>
      <c r="B66" s="258">
        <v>175</v>
      </c>
      <c r="C66" s="258">
        <v>5</v>
      </c>
      <c r="D66" s="258">
        <v>28</v>
      </c>
      <c r="E66" s="255">
        <v>1</v>
      </c>
      <c r="F66" s="255"/>
      <c r="G66" s="255"/>
      <c r="H66" s="255"/>
      <c r="I66" s="49">
        <f t="shared" ref="I66:I81" si="2">IF(A66&lt;&gt;0,(B66-(B65-D65))/(A66-A65),"")</f>
        <v>11.2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8">
        <v>45</v>
      </c>
      <c r="B67" s="258">
        <v>204</v>
      </c>
      <c r="C67" s="258">
        <v>6</v>
      </c>
      <c r="D67" s="258">
        <v>28</v>
      </c>
      <c r="E67" s="255">
        <v>1</v>
      </c>
      <c r="F67" s="255"/>
      <c r="G67" s="255"/>
      <c r="H67" s="255"/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8">
        <v>50</v>
      </c>
      <c r="B68" s="258">
        <v>231</v>
      </c>
      <c r="C68" s="258">
        <v>7</v>
      </c>
      <c r="D68" s="258">
        <v>28</v>
      </c>
      <c r="E68" s="255">
        <v>1</v>
      </c>
      <c r="F68" s="255"/>
      <c r="G68" s="255"/>
      <c r="H68" s="255"/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8">
        <v>55</v>
      </c>
      <c r="B69" s="258">
        <v>254</v>
      </c>
      <c r="C69" s="258">
        <v>8</v>
      </c>
      <c r="D69" s="258">
        <v>28</v>
      </c>
      <c r="E69" s="255">
        <v>1</v>
      </c>
      <c r="F69" s="255"/>
      <c r="G69" s="255"/>
      <c r="H69" s="255"/>
      <c r="I69" s="49">
        <f t="shared" si="2"/>
        <v>10.199999999999999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8">
        <v>60</v>
      </c>
      <c r="B70" s="258">
        <v>273</v>
      </c>
      <c r="C70" s="258">
        <v>9</v>
      </c>
      <c r="D70" s="258">
        <v>28</v>
      </c>
      <c r="E70" s="255">
        <v>1</v>
      </c>
      <c r="F70" s="255"/>
      <c r="G70" s="255"/>
      <c r="H70" s="255"/>
      <c r="I70" s="49">
        <f t="shared" si="2"/>
        <v>9.4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8">
        <v>65</v>
      </c>
      <c r="B71" s="258">
        <v>289</v>
      </c>
      <c r="C71" s="258">
        <v>10</v>
      </c>
      <c r="D71" s="258">
        <v>28</v>
      </c>
      <c r="E71" s="255">
        <v>1</v>
      </c>
      <c r="F71" s="255"/>
      <c r="G71" s="255"/>
      <c r="H71" s="255"/>
      <c r="I71" s="49">
        <f t="shared" si="2"/>
        <v>8.8000000000000007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8">
        <v>70</v>
      </c>
      <c r="B72" s="258">
        <v>302</v>
      </c>
      <c r="C72" s="258">
        <v>11</v>
      </c>
      <c r="D72" s="258">
        <v>28</v>
      </c>
      <c r="E72" s="255">
        <v>1</v>
      </c>
      <c r="F72" s="255"/>
      <c r="G72" s="255"/>
      <c r="H72" s="255"/>
      <c r="I72" s="49">
        <f t="shared" si="2"/>
        <v>8.1999999999999993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8">
        <v>75</v>
      </c>
      <c r="B73" s="258">
        <v>312</v>
      </c>
      <c r="C73" s="258">
        <v>12</v>
      </c>
      <c r="D73" s="258">
        <v>28</v>
      </c>
      <c r="E73" s="255">
        <v>1</v>
      </c>
      <c r="F73" s="255"/>
      <c r="G73" s="255"/>
      <c r="H73" s="255"/>
      <c r="I73" s="49">
        <f t="shared" si="2"/>
        <v>7.6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8">
        <v>80</v>
      </c>
      <c r="B74" s="258">
        <v>320</v>
      </c>
      <c r="C74" s="258">
        <v>13</v>
      </c>
      <c r="D74" s="258">
        <v>28</v>
      </c>
      <c r="E74" s="255">
        <v>1</v>
      </c>
      <c r="F74" s="255"/>
      <c r="G74" s="255"/>
      <c r="H74" s="255"/>
      <c r="I74" s="49">
        <f t="shared" si="2"/>
        <v>7.2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8">
        <v>85</v>
      </c>
      <c r="B75" s="258">
        <v>326</v>
      </c>
      <c r="C75" s="258">
        <v>14</v>
      </c>
      <c r="D75" s="258">
        <v>28</v>
      </c>
      <c r="E75" s="255">
        <v>1</v>
      </c>
      <c r="F75" s="255"/>
      <c r="G75" s="255"/>
      <c r="H75" s="255"/>
      <c r="I75" s="49">
        <f t="shared" si="2"/>
        <v>6.8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8">
        <v>90</v>
      </c>
      <c r="B76" s="258">
        <v>330</v>
      </c>
      <c r="C76" s="258">
        <v>15</v>
      </c>
      <c r="D76" s="258">
        <v>28</v>
      </c>
      <c r="E76" s="255">
        <v>1</v>
      </c>
      <c r="F76" s="255"/>
      <c r="G76" s="255"/>
      <c r="H76" s="255"/>
      <c r="I76" s="49">
        <f t="shared" si="2"/>
        <v>6.4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8">
        <v>95</v>
      </c>
      <c r="B77" s="258">
        <v>333</v>
      </c>
      <c r="C77" s="258">
        <v>16</v>
      </c>
      <c r="D77" s="258">
        <v>28</v>
      </c>
      <c r="E77" s="255">
        <v>1</v>
      </c>
      <c r="F77" s="255"/>
      <c r="G77" s="255"/>
      <c r="H77" s="255"/>
      <c r="I77" s="49">
        <f t="shared" si="2"/>
        <v>6.2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8">
        <v>100</v>
      </c>
      <c r="B78" s="258">
        <v>333</v>
      </c>
      <c r="C78" s="258">
        <v>17</v>
      </c>
      <c r="D78" s="258">
        <v>27</v>
      </c>
      <c r="E78" s="255">
        <v>1</v>
      </c>
      <c r="F78" s="255"/>
      <c r="G78" s="255"/>
      <c r="H78" s="255"/>
      <c r="I78" s="49">
        <f t="shared" si="2"/>
        <v>5.6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8">
        <v>105</v>
      </c>
      <c r="B79" s="258">
        <v>333</v>
      </c>
      <c r="C79" s="258">
        <v>18</v>
      </c>
      <c r="D79" s="258">
        <v>26</v>
      </c>
      <c r="E79" s="255">
        <v>1</v>
      </c>
      <c r="F79" s="255"/>
      <c r="G79" s="255"/>
      <c r="H79" s="255"/>
      <c r="I79" s="49">
        <f t="shared" si="2"/>
        <v>5.4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8">
        <v>110</v>
      </c>
      <c r="B80" s="258">
        <v>332</v>
      </c>
      <c r="C80" s="258">
        <v>19</v>
      </c>
      <c r="D80" s="258">
        <v>25</v>
      </c>
      <c r="E80" s="255">
        <v>1</v>
      </c>
      <c r="F80" s="255"/>
      <c r="G80" s="255"/>
      <c r="H80" s="255"/>
      <c r="I80" s="49">
        <f t="shared" si="2"/>
        <v>5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8">
        <v>115</v>
      </c>
      <c r="B81" s="258">
        <v>331</v>
      </c>
      <c r="C81" s="258">
        <v>20</v>
      </c>
      <c r="D81" s="258">
        <v>24</v>
      </c>
      <c r="E81" s="255">
        <v>1</v>
      </c>
      <c r="F81" s="255"/>
      <c r="G81" s="255"/>
      <c r="H81" s="255"/>
      <c r="I81" s="49">
        <f t="shared" si="2"/>
        <v>4.8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Bouleau verruqueux</v>
      </c>
      <c r="D84" s="224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1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2" t="s">
        <v>185</v>
      </c>
      <c r="C86" s="264" t="s">
        <v>186</v>
      </c>
      <c r="D86" s="264"/>
      <c r="E86" s="265" t="s">
        <v>187</v>
      </c>
      <c r="F86" s="266"/>
      <c r="G86" s="266"/>
      <c r="H86" s="267"/>
      <c r="I86" s="90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8">
        <v>10</v>
      </c>
      <c r="B88" s="258">
        <v>11</v>
      </c>
      <c r="C88" s="258"/>
      <c r="D88" s="258">
        <v>0</v>
      </c>
      <c r="E88" s="255"/>
      <c r="F88" s="255"/>
      <c r="G88" s="255"/>
      <c r="H88" s="255"/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8">
        <v>15</v>
      </c>
      <c r="B89" s="258">
        <v>65</v>
      </c>
      <c r="C89" s="258">
        <v>1</v>
      </c>
      <c r="D89" s="258">
        <v>32</v>
      </c>
      <c r="E89" s="255"/>
      <c r="F89" s="255"/>
      <c r="G89" s="255"/>
      <c r="H89" s="255">
        <v>1</v>
      </c>
      <c r="I89" s="53">
        <f t="shared" ref="I89:I107" si="3">IF(A89&lt;&gt;0,(B89-(B88-D88))/(A89-A88),"")</f>
        <v>10.8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8">
        <v>20</v>
      </c>
      <c r="B90" s="258">
        <v>102</v>
      </c>
      <c r="C90" s="258">
        <v>2</v>
      </c>
      <c r="D90" s="258">
        <v>35</v>
      </c>
      <c r="E90" s="255"/>
      <c r="F90" s="255"/>
      <c r="G90" s="255"/>
      <c r="H90" s="255">
        <v>1</v>
      </c>
      <c r="I90" s="53">
        <f t="shared" si="3"/>
        <v>13.8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8">
        <v>25</v>
      </c>
      <c r="B91" s="258">
        <v>141</v>
      </c>
      <c r="C91" s="258">
        <v>3</v>
      </c>
      <c r="D91" s="258">
        <v>35</v>
      </c>
      <c r="E91" s="255"/>
      <c r="F91" s="255"/>
      <c r="G91" s="255"/>
      <c r="H91" s="255">
        <v>1</v>
      </c>
      <c r="I91" s="53">
        <f t="shared" si="3"/>
        <v>14.8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8">
        <v>30</v>
      </c>
      <c r="B92" s="258">
        <v>177</v>
      </c>
      <c r="C92" s="258">
        <v>4</v>
      </c>
      <c r="D92" s="258">
        <v>35</v>
      </c>
      <c r="E92" s="255"/>
      <c r="F92" s="255"/>
      <c r="G92" s="255"/>
      <c r="H92" s="255">
        <v>1</v>
      </c>
      <c r="I92" s="53">
        <f t="shared" si="3"/>
        <v>14.2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8">
        <v>35</v>
      </c>
      <c r="B93" s="258">
        <v>206</v>
      </c>
      <c r="C93" s="258">
        <v>5</v>
      </c>
      <c r="D93" s="258">
        <v>35</v>
      </c>
      <c r="E93" s="255">
        <v>1</v>
      </c>
      <c r="F93" s="255"/>
      <c r="G93" s="255"/>
      <c r="H93" s="255"/>
      <c r="I93" s="53">
        <f t="shared" si="3"/>
        <v>12.8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8">
        <v>40</v>
      </c>
      <c r="B94" s="258">
        <v>228</v>
      </c>
      <c r="C94" s="258">
        <v>6</v>
      </c>
      <c r="D94" s="258">
        <v>35</v>
      </c>
      <c r="E94" s="255">
        <v>1</v>
      </c>
      <c r="F94" s="255"/>
      <c r="G94" s="255"/>
      <c r="H94" s="255"/>
      <c r="I94" s="53">
        <f t="shared" si="3"/>
        <v>11.4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8">
        <v>45</v>
      </c>
      <c r="B95" s="258">
        <v>242</v>
      </c>
      <c r="C95" s="258">
        <v>7</v>
      </c>
      <c r="D95" s="258">
        <v>24</v>
      </c>
      <c r="E95" s="255">
        <v>1</v>
      </c>
      <c r="F95" s="255"/>
      <c r="G95" s="255"/>
      <c r="H95" s="255"/>
      <c r="I95" s="53">
        <f t="shared" si="3"/>
        <v>9.8000000000000007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8">
        <v>50</v>
      </c>
      <c r="B96" s="258">
        <v>261</v>
      </c>
      <c r="C96" s="258">
        <v>8</v>
      </c>
      <c r="D96" s="258">
        <v>19</v>
      </c>
      <c r="E96" s="255">
        <v>1</v>
      </c>
      <c r="F96" s="255"/>
      <c r="G96" s="255"/>
      <c r="H96" s="255"/>
      <c r="I96" s="53">
        <f t="shared" si="3"/>
        <v>8.6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8">
        <v>55</v>
      </c>
      <c r="B97" s="258">
        <v>279</v>
      </c>
      <c r="C97" s="258">
        <v>9</v>
      </c>
      <c r="D97" s="258">
        <v>16</v>
      </c>
      <c r="E97" s="255">
        <v>1</v>
      </c>
      <c r="F97" s="255"/>
      <c r="G97" s="255"/>
      <c r="H97" s="255"/>
      <c r="I97" s="53">
        <f t="shared" si="3"/>
        <v>7.4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8">
        <v>60</v>
      </c>
      <c r="B98" s="258">
        <v>294</v>
      </c>
      <c r="C98" s="258">
        <v>10</v>
      </c>
      <c r="D98" s="258">
        <v>14</v>
      </c>
      <c r="E98" s="255">
        <v>1</v>
      </c>
      <c r="F98" s="255"/>
      <c r="G98" s="255"/>
      <c r="H98" s="255"/>
      <c r="I98" s="53">
        <f t="shared" si="3"/>
        <v>6.2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8">
        <v>65</v>
      </c>
      <c r="B99" s="258">
        <v>306</v>
      </c>
      <c r="C99" s="258">
        <v>11</v>
      </c>
      <c r="D99" s="258">
        <v>13</v>
      </c>
      <c r="E99" s="255">
        <v>1</v>
      </c>
      <c r="F99" s="255"/>
      <c r="G99" s="255"/>
      <c r="H99" s="255"/>
      <c r="I99" s="53">
        <f t="shared" si="3"/>
        <v>5.2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8">
        <v>70</v>
      </c>
      <c r="B100" s="258">
        <v>316</v>
      </c>
      <c r="C100" s="258">
        <v>12</v>
      </c>
      <c r="D100" s="258">
        <v>13</v>
      </c>
      <c r="E100" s="255">
        <v>1</v>
      </c>
      <c r="F100" s="255"/>
      <c r="G100" s="255"/>
      <c r="H100" s="255"/>
      <c r="I100" s="53">
        <f t="shared" si="3"/>
        <v>4.5999999999999996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8">
        <v>75</v>
      </c>
      <c r="B101" s="258">
        <v>324</v>
      </c>
      <c r="C101" s="258">
        <v>13</v>
      </c>
      <c r="D101" s="258">
        <v>12</v>
      </c>
      <c r="E101" s="255">
        <v>1</v>
      </c>
      <c r="F101" s="255"/>
      <c r="G101" s="255"/>
      <c r="H101" s="255"/>
      <c r="I101" s="53">
        <f t="shared" si="3"/>
        <v>4.2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8">
        <v>80</v>
      </c>
      <c r="B102" s="258">
        <v>330</v>
      </c>
      <c r="C102" s="258">
        <v>14</v>
      </c>
      <c r="D102" s="258">
        <v>11</v>
      </c>
      <c r="E102" s="255">
        <v>1</v>
      </c>
      <c r="F102" s="255"/>
      <c r="G102" s="255"/>
      <c r="H102" s="255"/>
      <c r="I102" s="53">
        <f t="shared" si="3"/>
        <v>3.6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8"/>
      <c r="B103" s="258"/>
      <c r="C103" s="258"/>
      <c r="D103" s="258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8"/>
      <c r="B104" s="258"/>
      <c r="C104" s="258"/>
      <c r="D104" s="258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8"/>
      <c r="B105" s="258"/>
      <c r="C105" s="258"/>
      <c r="D105" s="258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8"/>
      <c r="B106" s="258"/>
      <c r="C106" s="258"/>
      <c r="D106" s="258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8"/>
      <c r="B107" s="258"/>
      <c r="C107" s="258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Douglas</v>
      </c>
      <c r="D110" s="224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1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2" t="s">
        <v>185</v>
      </c>
      <c r="C112" s="264" t="s">
        <v>186</v>
      </c>
      <c r="D112" s="264"/>
      <c r="E112" s="265" t="s">
        <v>187</v>
      </c>
      <c r="F112" s="266"/>
      <c r="G112" s="266"/>
      <c r="H112" s="267"/>
      <c r="I112" s="90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8">
        <v>15</v>
      </c>
      <c r="B114" s="258">
        <v>162</v>
      </c>
      <c r="C114" s="258"/>
      <c r="D114" s="258">
        <v>0</v>
      </c>
      <c r="E114" s="255"/>
      <c r="F114" s="255"/>
      <c r="G114" s="255"/>
      <c r="H114" s="255"/>
      <c r="I114" s="53">
        <f>IFERROR(B114/A114,"")</f>
        <v>10.8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8">
        <v>20</v>
      </c>
      <c r="B115" s="258">
        <v>303</v>
      </c>
      <c r="C115" s="258">
        <v>1</v>
      </c>
      <c r="D115" s="258">
        <v>43</v>
      </c>
      <c r="E115" s="255"/>
      <c r="F115" s="255"/>
      <c r="G115" s="255">
        <v>1</v>
      </c>
      <c r="H115" s="255"/>
      <c r="I115" s="53">
        <f t="shared" ref="I115:I133" si="4">IF(A115&lt;&gt;0,(B115-(B114-D114))/(A115-A114),"")</f>
        <v>28.2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8">
        <v>25</v>
      </c>
      <c r="B116" s="258">
        <v>419</v>
      </c>
      <c r="C116" s="258">
        <v>2</v>
      </c>
      <c r="D116" s="258">
        <v>60</v>
      </c>
      <c r="E116" s="255"/>
      <c r="F116" s="255">
        <v>1</v>
      </c>
      <c r="G116" s="255"/>
      <c r="H116" s="255"/>
      <c r="I116" s="53">
        <f t="shared" si="4"/>
        <v>31.8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8">
        <v>30</v>
      </c>
      <c r="B117" s="258">
        <v>524</v>
      </c>
      <c r="C117" s="258">
        <v>3</v>
      </c>
      <c r="D117" s="258">
        <v>90</v>
      </c>
      <c r="E117" s="255"/>
      <c r="F117" s="255">
        <v>1</v>
      </c>
      <c r="G117" s="255"/>
      <c r="H117" s="255"/>
      <c r="I117" s="53">
        <f t="shared" si="4"/>
        <v>33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8">
        <v>35</v>
      </c>
      <c r="B118" s="258">
        <v>576</v>
      </c>
      <c r="C118" s="258">
        <v>4</v>
      </c>
      <c r="D118" s="258">
        <v>72</v>
      </c>
      <c r="E118" s="255">
        <v>1</v>
      </c>
      <c r="F118" s="255"/>
      <c r="G118" s="255"/>
      <c r="H118" s="255"/>
      <c r="I118" s="53">
        <f t="shared" si="4"/>
        <v>28.4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8">
        <v>40</v>
      </c>
      <c r="B119" s="258">
        <v>639</v>
      </c>
      <c r="C119" s="258">
        <v>5</v>
      </c>
      <c r="D119" s="258">
        <v>77</v>
      </c>
      <c r="E119" s="255">
        <v>1</v>
      </c>
      <c r="F119" s="255"/>
      <c r="G119" s="255"/>
      <c r="H119" s="255"/>
      <c r="I119" s="53">
        <f t="shared" si="4"/>
        <v>27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8">
        <v>45</v>
      </c>
      <c r="B120" s="258">
        <v>686</v>
      </c>
      <c r="C120" s="258">
        <v>6</v>
      </c>
      <c r="D120" s="258">
        <v>64</v>
      </c>
      <c r="E120" s="255">
        <v>1</v>
      </c>
      <c r="F120" s="255"/>
      <c r="G120" s="255"/>
      <c r="H120" s="255"/>
      <c r="I120" s="53">
        <f t="shared" si="4"/>
        <v>24.8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8">
        <v>50</v>
      </c>
      <c r="B121" s="258">
        <v>724</v>
      </c>
      <c r="C121" s="258">
        <v>7</v>
      </c>
      <c r="D121" s="258">
        <v>62</v>
      </c>
      <c r="E121" s="255">
        <v>1</v>
      </c>
      <c r="F121" s="255"/>
      <c r="G121" s="255"/>
      <c r="H121" s="255"/>
      <c r="I121" s="53">
        <f t="shared" si="4"/>
        <v>20.399999999999999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8">
        <v>55</v>
      </c>
      <c r="B122" s="258">
        <v>739</v>
      </c>
      <c r="C122" s="258">
        <v>8</v>
      </c>
      <c r="D122" s="258">
        <v>46</v>
      </c>
      <c r="E122" s="255">
        <v>1</v>
      </c>
      <c r="F122" s="255"/>
      <c r="G122" s="255"/>
      <c r="H122" s="255"/>
      <c r="I122" s="53">
        <f t="shared" si="4"/>
        <v>15.4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8">
        <v>60</v>
      </c>
      <c r="B123" s="258">
        <v>754</v>
      </c>
      <c r="C123" s="258">
        <v>9</v>
      </c>
      <c r="D123" s="258">
        <v>35</v>
      </c>
      <c r="E123" s="255">
        <v>1</v>
      </c>
      <c r="F123" s="255"/>
      <c r="G123" s="255"/>
      <c r="H123" s="255"/>
      <c r="I123" s="53">
        <f t="shared" si="4"/>
        <v>12.2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8">
        <v>65</v>
      </c>
      <c r="B124" s="258">
        <v>769</v>
      </c>
      <c r="C124" s="258">
        <v>10</v>
      </c>
      <c r="D124" s="258">
        <v>29</v>
      </c>
      <c r="E124" s="255">
        <v>1</v>
      </c>
      <c r="F124" s="255"/>
      <c r="G124" s="255"/>
      <c r="H124" s="255"/>
      <c r="I124" s="53">
        <f t="shared" si="4"/>
        <v>10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8"/>
      <c r="B125" s="258"/>
      <c r="C125" s="258"/>
      <c r="D125" s="258"/>
      <c r="E125" s="255"/>
      <c r="F125" s="255"/>
      <c r="G125" s="255"/>
      <c r="H125" s="255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8"/>
      <c r="B126" s="258"/>
      <c r="C126" s="258"/>
      <c r="D126" s="258"/>
      <c r="E126" s="255"/>
      <c r="F126" s="255"/>
      <c r="G126" s="255"/>
      <c r="H126" s="25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8"/>
      <c r="B127" s="258"/>
      <c r="C127" s="258"/>
      <c r="D127" s="258"/>
      <c r="E127" s="255"/>
      <c r="F127" s="255"/>
      <c r="G127" s="255"/>
      <c r="H127" s="25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8"/>
      <c r="B128" s="258"/>
      <c r="C128" s="258"/>
      <c r="D128" s="258"/>
      <c r="E128" s="255"/>
      <c r="F128" s="255"/>
      <c r="G128" s="255"/>
      <c r="H128" s="255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8"/>
      <c r="B129" s="258"/>
      <c r="C129" s="258"/>
      <c r="D129" s="258"/>
      <c r="E129" s="255"/>
      <c r="F129" s="255"/>
      <c r="G129" s="255"/>
      <c r="H129" s="255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8"/>
      <c r="B130" s="258"/>
      <c r="C130" s="258"/>
      <c r="D130" s="258"/>
      <c r="E130" s="255"/>
      <c r="F130" s="255"/>
      <c r="G130" s="255"/>
      <c r="H130" s="255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8"/>
      <c r="B131" s="258"/>
      <c r="C131" s="258"/>
      <c r="D131" s="258"/>
      <c r="E131" s="255"/>
      <c r="F131" s="255"/>
      <c r="G131" s="255"/>
      <c r="H131" s="255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8"/>
      <c r="B132" s="258"/>
      <c r="C132" s="258"/>
      <c r="D132" s="258"/>
      <c r="E132" s="255"/>
      <c r="F132" s="255"/>
      <c r="G132" s="255"/>
      <c r="H132" s="255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8"/>
      <c r="B133" s="258"/>
      <c r="C133" s="258"/>
      <c r="D133" s="258"/>
      <c r="E133" s="255"/>
      <c r="F133" s="255"/>
      <c r="G133" s="255"/>
      <c r="H133" s="255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Charme</v>
      </c>
      <c r="D136" s="224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1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2" t="s">
        <v>185</v>
      </c>
      <c r="C138" s="264" t="s">
        <v>186</v>
      </c>
      <c r="D138" s="264"/>
      <c r="E138" s="265" t="s">
        <v>187</v>
      </c>
      <c r="F138" s="266"/>
      <c r="G138" s="266"/>
      <c r="H138" s="267"/>
      <c r="I138" s="90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258">
        <v>10</v>
      </c>
      <c r="B140" s="258">
        <v>67</v>
      </c>
      <c r="C140" s="258">
        <v>1</v>
      </c>
      <c r="D140" s="258">
        <v>10</v>
      </c>
      <c r="E140" s="255"/>
      <c r="F140" s="255"/>
      <c r="G140" s="255"/>
      <c r="H140" s="255">
        <v>1</v>
      </c>
      <c r="I140" s="56">
        <f>IFERROR(B140/A140,"")</f>
        <v>6.7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258">
        <v>15</v>
      </c>
      <c r="B141" s="258">
        <v>118</v>
      </c>
      <c r="C141" s="258">
        <v>2</v>
      </c>
      <c r="D141" s="258">
        <v>17</v>
      </c>
      <c r="E141" s="255"/>
      <c r="F141" s="255"/>
      <c r="G141" s="255"/>
      <c r="H141" s="255">
        <v>1</v>
      </c>
      <c r="I141" s="56">
        <f t="shared" ref="I141:I159" si="5">IF(A141&lt;&gt;0,(B141-(B140-D140))/(A141-A140),"")</f>
        <v>12.2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258">
        <v>20</v>
      </c>
      <c r="B142" s="258">
        <v>158</v>
      </c>
      <c r="C142" s="258">
        <v>3</v>
      </c>
      <c r="D142" s="258">
        <v>22</v>
      </c>
      <c r="E142" s="255"/>
      <c r="F142" s="255"/>
      <c r="G142" s="255"/>
      <c r="H142" s="255">
        <v>1</v>
      </c>
      <c r="I142" s="56">
        <f t="shared" si="5"/>
        <v>11.4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258">
        <v>25</v>
      </c>
      <c r="B143" s="258">
        <v>188</v>
      </c>
      <c r="C143" s="258">
        <v>4</v>
      </c>
      <c r="D143" s="258">
        <v>26</v>
      </c>
      <c r="E143" s="255"/>
      <c r="F143" s="255"/>
      <c r="G143" s="255"/>
      <c r="H143" s="255">
        <v>1</v>
      </c>
      <c r="I143" s="56">
        <f t="shared" si="5"/>
        <v>10.4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258">
        <v>30</v>
      </c>
      <c r="B144" s="258">
        <v>209</v>
      </c>
      <c r="C144" s="258">
        <v>5</v>
      </c>
      <c r="D144" s="258">
        <v>28</v>
      </c>
      <c r="E144" s="255"/>
      <c r="F144" s="255"/>
      <c r="G144" s="255"/>
      <c r="H144" s="255">
        <v>1</v>
      </c>
      <c r="I144" s="56">
        <f t="shared" si="5"/>
        <v>9.4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258">
        <v>35</v>
      </c>
      <c r="B145" s="258">
        <v>222</v>
      </c>
      <c r="C145" s="258">
        <v>6</v>
      </c>
      <c r="D145" s="258">
        <v>29</v>
      </c>
      <c r="E145" s="255">
        <v>1</v>
      </c>
      <c r="F145" s="255"/>
      <c r="G145" s="255"/>
      <c r="H145" s="255"/>
      <c r="I145" s="56">
        <f t="shared" si="5"/>
        <v>8.1999999999999993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258">
        <v>40</v>
      </c>
      <c r="B146" s="258">
        <v>235</v>
      </c>
      <c r="C146" s="258">
        <v>7</v>
      </c>
      <c r="D146" s="258">
        <v>30</v>
      </c>
      <c r="E146" s="255">
        <v>1</v>
      </c>
      <c r="F146" s="255"/>
      <c r="G146" s="255"/>
      <c r="H146" s="255"/>
      <c r="I146" s="56">
        <f t="shared" si="5"/>
        <v>8.4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258">
        <v>45</v>
      </c>
      <c r="B147" s="258">
        <v>243</v>
      </c>
      <c r="C147" s="258">
        <v>8</v>
      </c>
      <c r="D147" s="258">
        <v>30</v>
      </c>
      <c r="E147" s="255">
        <v>1</v>
      </c>
      <c r="F147" s="255"/>
      <c r="G147" s="255"/>
      <c r="H147" s="255"/>
      <c r="I147" s="56">
        <f>IF(A147&lt;&gt;0,(B147-(B146-D146))/(A147-A146),"")</f>
        <v>7.6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258">
        <v>50</v>
      </c>
      <c r="B148" s="258">
        <v>249</v>
      </c>
      <c r="C148" s="258">
        <v>9</v>
      </c>
      <c r="D148" s="258">
        <v>30</v>
      </c>
      <c r="E148" s="255">
        <v>1</v>
      </c>
      <c r="F148" s="255"/>
      <c r="G148" s="255"/>
      <c r="H148" s="255"/>
      <c r="I148" s="56">
        <f t="shared" si="5"/>
        <v>7.2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258">
        <v>55</v>
      </c>
      <c r="B149" s="258">
        <v>254</v>
      </c>
      <c r="C149" s="258">
        <v>10</v>
      </c>
      <c r="D149" s="258">
        <v>30</v>
      </c>
      <c r="E149" s="255">
        <v>1</v>
      </c>
      <c r="F149" s="255"/>
      <c r="G149" s="255"/>
      <c r="H149" s="255"/>
      <c r="I149" s="56">
        <f t="shared" si="5"/>
        <v>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258">
        <v>60</v>
      </c>
      <c r="B150" s="258">
        <v>257</v>
      </c>
      <c r="C150" s="258">
        <v>11</v>
      </c>
      <c r="D150" s="258">
        <v>29</v>
      </c>
      <c r="E150" s="255">
        <v>1</v>
      </c>
      <c r="F150" s="255"/>
      <c r="G150" s="255"/>
      <c r="H150" s="255"/>
      <c r="I150" s="56">
        <f t="shared" si="5"/>
        <v>6.6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258">
        <v>65</v>
      </c>
      <c r="B151" s="258">
        <v>261</v>
      </c>
      <c r="C151" s="258">
        <v>12</v>
      </c>
      <c r="D151" s="258">
        <v>29</v>
      </c>
      <c r="E151" s="255">
        <v>1</v>
      </c>
      <c r="F151" s="255"/>
      <c r="G151" s="255"/>
      <c r="H151" s="255"/>
      <c r="I151" s="56">
        <f t="shared" si="5"/>
        <v>6.6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258">
        <v>70</v>
      </c>
      <c r="B152" s="258">
        <v>263</v>
      </c>
      <c r="C152" s="258">
        <v>13</v>
      </c>
      <c r="D152" s="258">
        <v>28</v>
      </c>
      <c r="E152" s="255">
        <v>1</v>
      </c>
      <c r="F152" s="255"/>
      <c r="G152" s="255"/>
      <c r="H152" s="255"/>
      <c r="I152" s="56">
        <f t="shared" si="5"/>
        <v>6.2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258">
        <v>75</v>
      </c>
      <c r="B153" s="258">
        <v>264</v>
      </c>
      <c r="C153" s="258">
        <v>14</v>
      </c>
      <c r="D153" s="258">
        <v>27</v>
      </c>
      <c r="E153" s="255">
        <v>1</v>
      </c>
      <c r="F153" s="255"/>
      <c r="G153" s="255"/>
      <c r="H153" s="255"/>
      <c r="I153" s="56">
        <f t="shared" si="5"/>
        <v>5.8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258">
        <v>80</v>
      </c>
      <c r="B154" s="259">
        <v>265</v>
      </c>
      <c r="C154" s="258">
        <v>15</v>
      </c>
      <c r="D154" s="258">
        <v>26</v>
      </c>
      <c r="E154" s="255">
        <v>1</v>
      </c>
      <c r="F154" s="255"/>
      <c r="G154" s="255"/>
      <c r="H154" s="255"/>
      <c r="I154" s="56">
        <f t="shared" si="5"/>
        <v>5.6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258">
        <v>85</v>
      </c>
      <c r="B155" s="259">
        <v>266</v>
      </c>
      <c r="C155" s="258">
        <v>16</v>
      </c>
      <c r="D155" s="258">
        <v>25</v>
      </c>
      <c r="E155" s="255">
        <v>1</v>
      </c>
      <c r="F155" s="255"/>
      <c r="G155" s="255"/>
      <c r="H155" s="255"/>
      <c r="I155" s="56">
        <f t="shared" si="5"/>
        <v>5.4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258">
        <v>90</v>
      </c>
      <c r="B156" s="259">
        <v>267</v>
      </c>
      <c r="C156" s="258">
        <v>17</v>
      </c>
      <c r="D156" s="258">
        <v>24</v>
      </c>
      <c r="E156" s="255">
        <v>1</v>
      </c>
      <c r="F156" s="255"/>
      <c r="G156" s="255"/>
      <c r="H156" s="255"/>
      <c r="I156" s="56">
        <f t="shared" si="5"/>
        <v>5.2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258">
        <v>95</v>
      </c>
      <c r="B157" s="259">
        <v>267</v>
      </c>
      <c r="C157" s="258">
        <v>18</v>
      </c>
      <c r="D157" s="258">
        <v>23</v>
      </c>
      <c r="E157" s="255">
        <v>1</v>
      </c>
      <c r="F157" s="255"/>
      <c r="G157" s="255"/>
      <c r="H157" s="255"/>
      <c r="I157" s="56">
        <f t="shared" si="5"/>
        <v>4.8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258">
        <v>100</v>
      </c>
      <c r="B158" s="259">
        <v>267</v>
      </c>
      <c r="C158" s="258">
        <v>19</v>
      </c>
      <c r="D158" s="258">
        <v>22</v>
      </c>
      <c r="E158" s="255">
        <v>1</v>
      </c>
      <c r="F158" s="255"/>
      <c r="G158" s="255"/>
      <c r="H158" s="255"/>
      <c r="I158" s="56">
        <f t="shared" si="5"/>
        <v>4.5999999999999996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258">
        <v>105</v>
      </c>
      <c r="B159" s="259">
        <v>267</v>
      </c>
      <c r="C159" s="258">
        <v>20</v>
      </c>
      <c r="D159" s="260">
        <v>21</v>
      </c>
      <c r="E159" s="255">
        <v>1</v>
      </c>
      <c r="F159" s="255"/>
      <c r="G159" s="255"/>
      <c r="H159" s="255"/>
      <c r="I159" s="56">
        <f t="shared" si="5"/>
        <v>4.4000000000000004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Aulne glutineux</v>
      </c>
      <c r="D162" s="224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1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2" t="s">
        <v>185</v>
      </c>
      <c r="C164" s="264" t="s">
        <v>186</v>
      </c>
      <c r="D164" s="264"/>
      <c r="E164" s="265" t="s">
        <v>187</v>
      </c>
      <c r="F164" s="266"/>
      <c r="G164" s="266"/>
      <c r="H164" s="267"/>
      <c r="I164" s="90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258">
        <v>10</v>
      </c>
      <c r="B166" s="258">
        <v>11</v>
      </c>
      <c r="C166" s="258"/>
      <c r="D166" s="258">
        <v>0</v>
      </c>
      <c r="E166" s="255"/>
      <c r="F166" s="255"/>
      <c r="G166" s="255"/>
      <c r="H166" s="255"/>
      <c r="I166" s="49">
        <f>IFERROR(B166/A166,"")</f>
        <v>1.1000000000000001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258">
        <v>15</v>
      </c>
      <c r="B167" s="258">
        <v>65</v>
      </c>
      <c r="C167" s="258">
        <v>1</v>
      </c>
      <c r="D167" s="258">
        <v>32</v>
      </c>
      <c r="E167" s="255"/>
      <c r="F167" s="255"/>
      <c r="G167" s="255"/>
      <c r="H167" s="255">
        <v>1</v>
      </c>
      <c r="I167" s="49">
        <f t="shared" ref="I167:I185" si="6">IF(A167&lt;&gt;0,(B167-(B166-D166))/(A167-A166),"")</f>
        <v>10.8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258">
        <v>20</v>
      </c>
      <c r="B168" s="258">
        <v>102</v>
      </c>
      <c r="C168" s="258">
        <v>2</v>
      </c>
      <c r="D168" s="258">
        <v>35</v>
      </c>
      <c r="E168" s="255"/>
      <c r="F168" s="255"/>
      <c r="G168" s="255"/>
      <c r="H168" s="255">
        <v>1</v>
      </c>
      <c r="I168" s="49">
        <f t="shared" si="6"/>
        <v>13.8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258">
        <v>25</v>
      </c>
      <c r="B169" s="258">
        <v>141</v>
      </c>
      <c r="C169" s="258">
        <v>3</v>
      </c>
      <c r="D169" s="258">
        <v>35</v>
      </c>
      <c r="E169" s="255"/>
      <c r="F169" s="255"/>
      <c r="G169" s="255"/>
      <c r="H169" s="255">
        <v>1</v>
      </c>
      <c r="I169" s="49">
        <f t="shared" si="6"/>
        <v>14.8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258">
        <v>30</v>
      </c>
      <c r="B170" s="258">
        <v>177</v>
      </c>
      <c r="C170" s="258">
        <v>4</v>
      </c>
      <c r="D170" s="258">
        <v>35</v>
      </c>
      <c r="E170" s="255"/>
      <c r="F170" s="255"/>
      <c r="G170" s="255"/>
      <c r="H170" s="255">
        <v>1</v>
      </c>
      <c r="I170" s="49">
        <f t="shared" si="6"/>
        <v>14.2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258">
        <v>35</v>
      </c>
      <c r="B171" s="258">
        <v>206</v>
      </c>
      <c r="C171" s="258">
        <v>5</v>
      </c>
      <c r="D171" s="258">
        <v>35</v>
      </c>
      <c r="E171" s="255">
        <v>1</v>
      </c>
      <c r="F171" s="255"/>
      <c r="G171" s="255"/>
      <c r="H171" s="255"/>
      <c r="I171" s="49">
        <f t="shared" si="6"/>
        <v>12.8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258">
        <v>40</v>
      </c>
      <c r="B172" s="258">
        <v>228</v>
      </c>
      <c r="C172" s="258">
        <v>6</v>
      </c>
      <c r="D172" s="258">
        <v>35</v>
      </c>
      <c r="E172" s="255">
        <v>1</v>
      </c>
      <c r="F172" s="255"/>
      <c r="G172" s="255"/>
      <c r="H172" s="255"/>
      <c r="I172" s="49">
        <f t="shared" si="6"/>
        <v>11.4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258">
        <v>45</v>
      </c>
      <c r="B173" s="258">
        <v>242</v>
      </c>
      <c r="C173" s="258">
        <v>7</v>
      </c>
      <c r="D173" s="258">
        <v>24</v>
      </c>
      <c r="E173" s="255">
        <v>1</v>
      </c>
      <c r="F173" s="255"/>
      <c r="G173" s="255"/>
      <c r="H173" s="255"/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258">
        <v>50</v>
      </c>
      <c r="B174" s="258">
        <v>261</v>
      </c>
      <c r="C174" s="258">
        <v>8</v>
      </c>
      <c r="D174" s="258">
        <v>19</v>
      </c>
      <c r="E174" s="255">
        <v>1</v>
      </c>
      <c r="F174" s="255"/>
      <c r="G174" s="255"/>
      <c r="H174" s="255"/>
      <c r="I174" s="49">
        <f t="shared" si="6"/>
        <v>8.6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258">
        <v>55</v>
      </c>
      <c r="B175" s="258">
        <v>279</v>
      </c>
      <c r="C175" s="258">
        <v>9</v>
      </c>
      <c r="D175" s="258">
        <v>16</v>
      </c>
      <c r="E175" s="255">
        <v>1</v>
      </c>
      <c r="F175" s="255"/>
      <c r="G175" s="255"/>
      <c r="H175" s="255"/>
      <c r="I175" s="49">
        <f t="shared" si="6"/>
        <v>7.4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258">
        <v>60</v>
      </c>
      <c r="B176" s="258">
        <v>294</v>
      </c>
      <c r="C176" s="258">
        <v>10</v>
      </c>
      <c r="D176" s="258">
        <v>14</v>
      </c>
      <c r="E176" s="255">
        <v>1</v>
      </c>
      <c r="F176" s="255"/>
      <c r="G176" s="255"/>
      <c r="H176" s="255"/>
      <c r="I176" s="49">
        <f t="shared" si="6"/>
        <v>6.2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258">
        <v>65</v>
      </c>
      <c r="B177" s="258">
        <v>306</v>
      </c>
      <c r="C177" s="258">
        <v>11</v>
      </c>
      <c r="D177" s="258">
        <v>13</v>
      </c>
      <c r="E177" s="255">
        <v>1</v>
      </c>
      <c r="F177" s="255"/>
      <c r="G177" s="255"/>
      <c r="H177" s="255"/>
      <c r="I177" s="49">
        <f t="shared" si="6"/>
        <v>5.2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258">
        <v>70</v>
      </c>
      <c r="B178" s="258">
        <v>316</v>
      </c>
      <c r="C178" s="258">
        <v>12</v>
      </c>
      <c r="D178" s="258">
        <v>13</v>
      </c>
      <c r="E178" s="255">
        <v>1</v>
      </c>
      <c r="F178" s="255"/>
      <c r="G178" s="255"/>
      <c r="H178" s="255"/>
      <c r="I178" s="49">
        <f t="shared" si="6"/>
        <v>4.5999999999999996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258">
        <v>75</v>
      </c>
      <c r="B179" s="258">
        <v>324</v>
      </c>
      <c r="C179" s="258">
        <v>13</v>
      </c>
      <c r="D179" s="258">
        <v>12</v>
      </c>
      <c r="E179" s="255">
        <v>1</v>
      </c>
      <c r="F179" s="255"/>
      <c r="G179" s="255"/>
      <c r="H179" s="255"/>
      <c r="I179" s="49">
        <f t="shared" si="6"/>
        <v>4.2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258">
        <v>80</v>
      </c>
      <c r="B180" s="258">
        <v>330</v>
      </c>
      <c r="C180" s="258">
        <v>14</v>
      </c>
      <c r="D180" s="258">
        <v>11</v>
      </c>
      <c r="E180" s="255">
        <v>1</v>
      </c>
      <c r="F180" s="255"/>
      <c r="G180" s="255"/>
      <c r="H180" s="255"/>
      <c r="I180" s="49">
        <f t="shared" si="6"/>
        <v>3.6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258"/>
      <c r="B181" s="258"/>
      <c r="C181" s="258"/>
      <c r="D181" s="258"/>
      <c r="E181" s="255"/>
      <c r="F181" s="255"/>
      <c r="G181" s="255"/>
      <c r="H181" s="255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258"/>
      <c r="B182" s="258"/>
      <c r="C182" s="258"/>
      <c r="D182" s="258"/>
      <c r="E182" s="255"/>
      <c r="F182" s="255"/>
      <c r="G182" s="255"/>
      <c r="H182" s="255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258"/>
      <c r="B183" s="258"/>
      <c r="C183" s="258"/>
      <c r="D183" s="258"/>
      <c r="E183" s="255"/>
      <c r="F183" s="255"/>
      <c r="G183" s="255"/>
      <c r="H183" s="255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258"/>
      <c r="B184" s="258"/>
      <c r="C184" s="258"/>
      <c r="D184" s="258"/>
      <c r="E184" s="255"/>
      <c r="F184" s="255"/>
      <c r="G184" s="255"/>
      <c r="H184" s="255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258"/>
      <c r="B185" s="258"/>
      <c r="C185" s="258"/>
      <c r="D185" s="258"/>
      <c r="E185" s="255"/>
      <c r="F185" s="255"/>
      <c r="G185" s="255"/>
      <c r="H185" s="255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Bouleau verruqueux</v>
      </c>
      <c r="D188" s="224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1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2" t="s">
        <v>185</v>
      </c>
      <c r="C190" s="264" t="s">
        <v>186</v>
      </c>
      <c r="D190" s="264"/>
      <c r="E190" s="265" t="s">
        <v>187</v>
      </c>
      <c r="F190" s="266"/>
      <c r="G190" s="266"/>
      <c r="H190" s="267"/>
      <c r="I190" s="90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258">
        <v>10</v>
      </c>
      <c r="B192" s="258">
        <v>11</v>
      </c>
      <c r="C192" s="258"/>
      <c r="D192" s="258">
        <v>0</v>
      </c>
      <c r="E192" s="255"/>
      <c r="F192" s="255"/>
      <c r="G192" s="255"/>
      <c r="H192" s="255"/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258">
        <v>15</v>
      </c>
      <c r="B193" s="258">
        <v>65</v>
      </c>
      <c r="C193" s="258">
        <v>1</v>
      </c>
      <c r="D193" s="258">
        <v>32</v>
      </c>
      <c r="E193" s="255"/>
      <c r="F193" s="255"/>
      <c r="G193" s="255"/>
      <c r="H193" s="255">
        <v>1</v>
      </c>
      <c r="I193" s="49">
        <f t="shared" ref="I193:I211" si="7">IF(A193&lt;&gt;0,(B193-(B192-D192))/(A193-A192),"")</f>
        <v>10.8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258">
        <v>20</v>
      </c>
      <c r="B194" s="258">
        <v>102</v>
      </c>
      <c r="C194" s="258">
        <v>2</v>
      </c>
      <c r="D194" s="258">
        <v>35</v>
      </c>
      <c r="E194" s="255"/>
      <c r="F194" s="255"/>
      <c r="G194" s="255"/>
      <c r="H194" s="255">
        <v>1</v>
      </c>
      <c r="I194" s="49">
        <f t="shared" si="7"/>
        <v>13.8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258">
        <v>25</v>
      </c>
      <c r="B195" s="258">
        <v>141</v>
      </c>
      <c r="C195" s="258">
        <v>3</v>
      </c>
      <c r="D195" s="258">
        <v>35</v>
      </c>
      <c r="E195" s="255"/>
      <c r="F195" s="255"/>
      <c r="G195" s="255"/>
      <c r="H195" s="255">
        <v>1</v>
      </c>
      <c r="I195" s="49">
        <f t="shared" si="7"/>
        <v>14.8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258">
        <v>30</v>
      </c>
      <c r="B196" s="258">
        <v>177</v>
      </c>
      <c r="C196" s="258">
        <v>4</v>
      </c>
      <c r="D196" s="258">
        <v>35</v>
      </c>
      <c r="E196" s="255"/>
      <c r="F196" s="255"/>
      <c r="G196" s="255"/>
      <c r="H196" s="255">
        <v>1</v>
      </c>
      <c r="I196" s="49">
        <f t="shared" si="7"/>
        <v>14.2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258">
        <v>35</v>
      </c>
      <c r="B197" s="258">
        <v>206</v>
      </c>
      <c r="C197" s="258">
        <v>5</v>
      </c>
      <c r="D197" s="258">
        <v>35</v>
      </c>
      <c r="E197" s="255">
        <v>1</v>
      </c>
      <c r="F197" s="255"/>
      <c r="G197" s="255"/>
      <c r="H197" s="255"/>
      <c r="I197" s="49">
        <f t="shared" si="7"/>
        <v>12.8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258">
        <v>40</v>
      </c>
      <c r="B198" s="258">
        <v>228</v>
      </c>
      <c r="C198" s="258">
        <v>6</v>
      </c>
      <c r="D198" s="258">
        <v>35</v>
      </c>
      <c r="E198" s="255">
        <v>1</v>
      </c>
      <c r="F198" s="255"/>
      <c r="G198" s="255"/>
      <c r="H198" s="255"/>
      <c r="I198" s="49">
        <f t="shared" si="7"/>
        <v>11.4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258">
        <v>45</v>
      </c>
      <c r="B199" s="258">
        <v>242</v>
      </c>
      <c r="C199" s="258">
        <v>7</v>
      </c>
      <c r="D199" s="258">
        <v>24</v>
      </c>
      <c r="E199" s="255">
        <v>1</v>
      </c>
      <c r="F199" s="255"/>
      <c r="G199" s="255"/>
      <c r="H199" s="255"/>
      <c r="I199" s="49">
        <f t="shared" si="7"/>
        <v>9.8000000000000007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258">
        <v>50</v>
      </c>
      <c r="B200" s="258">
        <v>261</v>
      </c>
      <c r="C200" s="258">
        <v>8</v>
      </c>
      <c r="D200" s="258">
        <v>19</v>
      </c>
      <c r="E200" s="255">
        <v>1</v>
      </c>
      <c r="F200" s="255"/>
      <c r="G200" s="255"/>
      <c r="H200" s="255"/>
      <c r="I200" s="49">
        <f t="shared" si="7"/>
        <v>8.6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258">
        <v>55</v>
      </c>
      <c r="B201" s="258">
        <v>279</v>
      </c>
      <c r="C201" s="258">
        <v>9</v>
      </c>
      <c r="D201" s="258">
        <v>16</v>
      </c>
      <c r="E201" s="255">
        <v>1</v>
      </c>
      <c r="F201" s="255"/>
      <c r="G201" s="255"/>
      <c r="H201" s="255"/>
      <c r="I201" s="49">
        <f t="shared" si="7"/>
        <v>7.4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258">
        <v>60</v>
      </c>
      <c r="B202" s="258">
        <v>294</v>
      </c>
      <c r="C202" s="258">
        <v>10</v>
      </c>
      <c r="D202" s="258">
        <v>14</v>
      </c>
      <c r="E202" s="255">
        <v>1</v>
      </c>
      <c r="F202" s="255"/>
      <c r="G202" s="255"/>
      <c r="H202" s="255"/>
      <c r="I202" s="49">
        <f t="shared" si="7"/>
        <v>6.2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258">
        <v>65</v>
      </c>
      <c r="B203" s="258">
        <v>306</v>
      </c>
      <c r="C203" s="258">
        <v>11</v>
      </c>
      <c r="D203" s="258">
        <v>13</v>
      </c>
      <c r="E203" s="255">
        <v>1</v>
      </c>
      <c r="F203" s="255"/>
      <c r="G203" s="255"/>
      <c r="H203" s="255"/>
      <c r="I203" s="49">
        <f t="shared" si="7"/>
        <v>5.2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258">
        <v>70</v>
      </c>
      <c r="B204" s="258">
        <v>316</v>
      </c>
      <c r="C204" s="258">
        <v>12</v>
      </c>
      <c r="D204" s="258">
        <v>13</v>
      </c>
      <c r="E204" s="255">
        <v>1</v>
      </c>
      <c r="F204" s="255"/>
      <c r="G204" s="255"/>
      <c r="H204" s="255"/>
      <c r="I204" s="49">
        <f t="shared" si="7"/>
        <v>4.5999999999999996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258">
        <v>75</v>
      </c>
      <c r="B205" s="258">
        <v>324</v>
      </c>
      <c r="C205" s="258">
        <v>13</v>
      </c>
      <c r="D205" s="258">
        <v>12</v>
      </c>
      <c r="E205" s="255">
        <v>1</v>
      </c>
      <c r="F205" s="255"/>
      <c r="G205" s="255"/>
      <c r="H205" s="255"/>
      <c r="I205" s="49">
        <f t="shared" si="7"/>
        <v>4.2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258">
        <v>80</v>
      </c>
      <c r="B206" s="258">
        <v>330</v>
      </c>
      <c r="C206" s="258">
        <v>14</v>
      </c>
      <c r="D206" s="258">
        <v>11</v>
      </c>
      <c r="E206" s="255">
        <v>1</v>
      </c>
      <c r="F206" s="255"/>
      <c r="G206" s="255"/>
      <c r="H206" s="255"/>
      <c r="I206" s="49">
        <f t="shared" si="7"/>
        <v>3.6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258"/>
      <c r="B207" s="258"/>
      <c r="C207" s="258"/>
      <c r="D207" s="258"/>
      <c r="E207" s="255"/>
      <c r="F207" s="255"/>
      <c r="G207" s="255"/>
      <c r="H207" s="255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258"/>
      <c r="B208" s="258"/>
      <c r="C208" s="258"/>
      <c r="D208" s="258"/>
      <c r="E208" s="255"/>
      <c r="F208" s="255"/>
      <c r="G208" s="255"/>
      <c r="H208" s="255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258"/>
      <c r="B209" s="258"/>
      <c r="C209" s="258"/>
      <c r="D209" s="258"/>
      <c r="E209" s="255"/>
      <c r="F209" s="255"/>
      <c r="G209" s="255"/>
      <c r="H209" s="255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258"/>
      <c r="B210" s="258"/>
      <c r="C210" s="258"/>
      <c r="D210" s="258"/>
      <c r="E210" s="255"/>
      <c r="F210" s="255"/>
      <c r="G210" s="255"/>
      <c r="H210" s="255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258"/>
      <c r="B211" s="258"/>
      <c r="C211" s="258"/>
      <c r="D211" s="258"/>
      <c r="E211" s="255"/>
      <c r="F211" s="255"/>
      <c r="G211" s="255"/>
      <c r="H211" s="255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4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1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2" t="s">
        <v>185</v>
      </c>
      <c r="C216" s="264" t="s">
        <v>186</v>
      </c>
      <c r="D216" s="264"/>
      <c r="E216" s="265" t="s">
        <v>187</v>
      </c>
      <c r="F216" s="266"/>
      <c r="G216" s="266"/>
      <c r="H216" s="267"/>
      <c r="I216" s="90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58"/>
      <c r="C218" s="50"/>
      <c r="D218" s="58"/>
      <c r="E218" s="51"/>
      <c r="F218" s="51"/>
      <c r="G218" s="51"/>
      <c r="H218" s="51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58"/>
      <c r="C219" s="50"/>
      <c r="D219" s="58"/>
      <c r="E219" s="51"/>
      <c r="F219" s="51"/>
      <c r="G219" s="51"/>
      <c r="H219" s="51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58"/>
      <c r="C220" s="50"/>
      <c r="D220" s="58"/>
      <c r="E220" s="51"/>
      <c r="F220" s="51"/>
      <c r="G220" s="51"/>
      <c r="H220" s="51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0"/>
      <c r="B221" s="58"/>
      <c r="C221" s="50"/>
      <c r="D221" s="58"/>
      <c r="E221" s="51"/>
      <c r="F221" s="51"/>
      <c r="G221" s="51"/>
      <c r="H221" s="51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0"/>
      <c r="B222" s="58"/>
      <c r="C222" s="50"/>
      <c r="D222" s="58"/>
      <c r="E222" s="51"/>
      <c r="F222" s="51"/>
      <c r="G222" s="51"/>
      <c r="H222" s="51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0"/>
      <c r="B223" s="58"/>
      <c r="C223" s="50"/>
      <c r="D223" s="50"/>
      <c r="E223" s="51"/>
      <c r="F223" s="51"/>
      <c r="G223" s="51"/>
      <c r="H223" s="51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0"/>
      <c r="B224" s="58"/>
      <c r="C224" s="50"/>
      <c r="D224" s="58"/>
      <c r="E224" s="51"/>
      <c r="F224" s="51"/>
      <c r="G224" s="51"/>
      <c r="H224" s="51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0"/>
      <c r="B225" s="50"/>
      <c r="C225" s="50"/>
      <c r="D225" s="58"/>
      <c r="E225" s="51"/>
      <c r="F225" s="51"/>
      <c r="G225" s="51"/>
      <c r="H225" s="51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0"/>
      <c r="B226" s="50"/>
      <c r="C226" s="50"/>
      <c r="D226" s="50"/>
      <c r="E226" s="51"/>
      <c r="F226" s="51"/>
      <c r="G226" s="51"/>
      <c r="H226" s="51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0"/>
      <c r="B227" s="50"/>
      <c r="C227" s="50"/>
      <c r="D227" s="50"/>
      <c r="E227" s="51"/>
      <c r="F227" s="51"/>
      <c r="G227" s="51"/>
      <c r="H227" s="51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0"/>
      <c r="B228" s="50"/>
      <c r="C228" s="50"/>
      <c r="D228" s="50"/>
      <c r="E228" s="51"/>
      <c r="F228" s="51"/>
      <c r="G228" s="51"/>
      <c r="H228" s="51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0"/>
      <c r="B229" s="50"/>
      <c r="C229" s="50"/>
      <c r="D229" s="50"/>
      <c r="E229" s="51"/>
      <c r="F229" s="51"/>
      <c r="G229" s="51"/>
      <c r="H229" s="51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0"/>
      <c r="B230" s="50"/>
      <c r="C230" s="50"/>
      <c r="D230" s="50"/>
      <c r="E230" s="51"/>
      <c r="F230" s="51"/>
      <c r="G230" s="51"/>
      <c r="H230" s="51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50"/>
      <c r="B231" s="50"/>
      <c r="C231" s="50"/>
      <c r="D231" s="50"/>
      <c r="E231" s="51"/>
      <c r="F231" s="51"/>
      <c r="G231" s="51"/>
      <c r="H231" s="51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1"/>
      <c r="F232" s="51"/>
      <c r="G232" s="51"/>
      <c r="H232" s="51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1"/>
      <c r="F233" s="51"/>
      <c r="G233" s="51"/>
      <c r="H233" s="51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1"/>
      <c r="F234" s="51"/>
      <c r="G234" s="51"/>
      <c r="H234" s="51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1"/>
      <c r="F235" s="51"/>
      <c r="G235" s="51"/>
      <c r="H235" s="51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1"/>
      <c r="F236" s="51"/>
      <c r="G236" s="51"/>
      <c r="H236" s="51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1"/>
      <c r="F237" s="51"/>
      <c r="G237" s="51"/>
      <c r="H237" s="51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4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1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2" t="s">
        <v>185</v>
      </c>
      <c r="C242" s="264" t="s">
        <v>186</v>
      </c>
      <c r="D242" s="264"/>
      <c r="E242" s="265" t="s">
        <v>187</v>
      </c>
      <c r="F242" s="266"/>
      <c r="G242" s="266"/>
      <c r="H242" s="267"/>
      <c r="I242" s="90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58"/>
      <c r="C244" s="58"/>
      <c r="D244" s="58"/>
      <c r="E244" s="51"/>
      <c r="F244" s="51"/>
      <c r="G244" s="51"/>
      <c r="H244" s="61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58"/>
      <c r="C245" s="58"/>
      <c r="D245" s="58"/>
      <c r="E245" s="51"/>
      <c r="F245" s="61"/>
      <c r="G245" s="61"/>
      <c r="H245" s="6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58"/>
      <c r="C246" s="58"/>
      <c r="D246" s="58"/>
      <c r="E246" s="51"/>
      <c r="F246" s="61"/>
      <c r="G246" s="61"/>
      <c r="H246" s="61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58"/>
      <c r="C247" s="58"/>
      <c r="D247" s="58"/>
      <c r="E247" s="51"/>
      <c r="F247" s="61"/>
      <c r="G247" s="61"/>
      <c r="H247" s="61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58"/>
      <c r="C248" s="58"/>
      <c r="D248" s="58"/>
      <c r="E248" s="51"/>
      <c r="F248" s="61"/>
      <c r="G248" s="61"/>
      <c r="H248" s="61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58"/>
      <c r="C249" s="58"/>
      <c r="D249" s="58"/>
      <c r="E249" s="51"/>
      <c r="F249" s="61"/>
      <c r="G249" s="61"/>
      <c r="H249" s="61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58"/>
      <c r="C250" s="58"/>
      <c r="D250" s="58"/>
      <c r="E250" s="51"/>
      <c r="F250" s="61"/>
      <c r="G250" s="61"/>
      <c r="H250" s="61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0"/>
      <c r="B251" s="55"/>
      <c r="C251" s="58"/>
      <c r="D251" s="55"/>
      <c r="E251" s="51"/>
      <c r="F251" s="61"/>
      <c r="G251" s="61"/>
      <c r="H251" s="61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0"/>
      <c r="B252" s="55"/>
      <c r="C252" s="58"/>
      <c r="D252" s="55"/>
      <c r="E252" s="51"/>
      <c r="F252" s="61"/>
      <c r="G252" s="61"/>
      <c r="H252" s="61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0"/>
      <c r="B253" s="55"/>
      <c r="C253" s="58"/>
      <c r="D253" s="55"/>
      <c r="E253" s="51"/>
      <c r="F253" s="61"/>
      <c r="G253" s="61"/>
      <c r="H253" s="61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0"/>
      <c r="B254" s="55"/>
      <c r="C254" s="58"/>
      <c r="D254" s="55"/>
      <c r="E254" s="51"/>
      <c r="F254" s="61"/>
      <c r="G254" s="61"/>
      <c r="H254" s="61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0"/>
      <c r="B255" s="55"/>
      <c r="C255" s="58"/>
      <c r="D255" s="55"/>
      <c r="E255" s="51"/>
      <c r="F255" s="61"/>
      <c r="G255" s="61"/>
      <c r="H255" s="61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0"/>
      <c r="B256" s="55"/>
      <c r="C256" s="58"/>
      <c r="D256" s="55"/>
      <c r="E256" s="51"/>
      <c r="F256" s="62"/>
      <c r="G256" s="62"/>
      <c r="H256" s="62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50"/>
      <c r="B257" s="58"/>
      <c r="C257" s="58"/>
      <c r="D257" s="58"/>
      <c r="E257" s="51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8"/>
      <c r="D258" s="50"/>
      <c r="E258" s="51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8"/>
      <c r="D259" s="50"/>
      <c r="E259" s="51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8"/>
      <c r="D260" s="50"/>
      <c r="E260" s="51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8"/>
      <c r="D261" s="50"/>
      <c r="E261" s="51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8"/>
      <c r="D262" s="50"/>
      <c r="E262" s="51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8"/>
      <c r="D263" s="50"/>
      <c r="E263" s="51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4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1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2" t="s">
        <v>185</v>
      </c>
      <c r="C268" s="264" t="s">
        <v>186</v>
      </c>
      <c r="D268" s="264"/>
      <c r="E268" s="265" t="s">
        <v>187</v>
      </c>
      <c r="F268" s="266"/>
      <c r="G268" s="266"/>
      <c r="H268" s="267"/>
      <c r="I268" s="90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58"/>
      <c r="C270" s="50"/>
      <c r="D270" s="58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58"/>
      <c r="C271" s="50"/>
      <c r="D271" s="58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58"/>
      <c r="C272" s="50"/>
      <c r="D272" s="58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58"/>
      <c r="C273" s="50"/>
      <c r="D273" s="58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58"/>
      <c r="C274" s="50"/>
      <c r="D274" s="58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58"/>
      <c r="C275" s="50"/>
      <c r="D275" s="50"/>
      <c r="E275" s="51"/>
      <c r="F275" s="51"/>
      <c r="G275" s="51"/>
      <c r="H275" s="51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58"/>
      <c r="C276" s="50"/>
      <c r="D276" s="58"/>
      <c r="E276" s="51"/>
      <c r="F276" s="51"/>
      <c r="G276" s="51"/>
      <c r="H276" s="51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0"/>
      <c r="B277" s="50"/>
      <c r="C277" s="50"/>
      <c r="D277" s="58"/>
      <c r="E277" s="51"/>
      <c r="F277" s="51"/>
      <c r="G277" s="51"/>
      <c r="H277" s="51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0"/>
      <c r="B278" s="50"/>
      <c r="C278" s="50"/>
      <c r="D278" s="50"/>
      <c r="E278" s="51"/>
      <c r="F278" s="51"/>
      <c r="G278" s="51"/>
      <c r="H278" s="51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0"/>
      <c r="B279" s="50"/>
      <c r="C279" s="50"/>
      <c r="D279" s="50"/>
      <c r="E279" s="51"/>
      <c r="F279" s="51"/>
      <c r="G279" s="51"/>
      <c r="H279" s="51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0"/>
      <c r="B280" s="50"/>
      <c r="C280" s="50"/>
      <c r="D280" s="50"/>
      <c r="E280" s="51"/>
      <c r="F280" s="51"/>
      <c r="G280" s="51"/>
      <c r="H280" s="51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0"/>
      <c r="B281" s="50"/>
      <c r="C281" s="50"/>
      <c r="D281" s="50"/>
      <c r="E281" s="51"/>
      <c r="F281" s="51"/>
      <c r="G281" s="51"/>
      <c r="H281" s="51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0"/>
      <c r="B282" s="50"/>
      <c r="C282" s="50"/>
      <c r="D282" s="50"/>
      <c r="E282" s="51"/>
      <c r="F282" s="51"/>
      <c r="G282" s="51"/>
      <c r="H282" s="51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50"/>
      <c r="B283" s="50"/>
      <c r="C283" s="50"/>
      <c r="D283" s="50"/>
      <c r="E283" s="51"/>
      <c r="F283" s="51"/>
      <c r="G283" s="51"/>
      <c r="H283" s="51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2"/>
      <c r="K1" s="9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7" t="s">
        <v>191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3" t="s">
        <v>296</v>
      </c>
      <c r="C5" s="93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2"/>
      <c r="C6" s="212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4"/>
      <c r="B7" s="26" t="s">
        <v>295</v>
      </c>
      <c r="C7" s="95" t="s">
        <v>214</v>
      </c>
      <c r="D7" s="210"/>
      <c r="E7" s="96"/>
      <c r="F7" s="26" t="s">
        <v>295</v>
      </c>
      <c r="G7" s="95" t="s">
        <v>215</v>
      </c>
      <c r="H7" s="211"/>
      <c r="I7" s="211"/>
      <c r="J7" s="211"/>
      <c r="K7" s="211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</row>
    <row r="8" spans="1:38" ht="17.25" customHeight="1" x14ac:dyDescent="0.3">
      <c r="A8" s="100">
        <v>1</v>
      </c>
      <c r="B8" s="59">
        <v>0</v>
      </c>
      <c r="C8" s="49" t="s">
        <v>177</v>
      </c>
      <c r="D8" s="23"/>
      <c r="E8" s="100">
        <v>4</v>
      </c>
      <c r="F8" s="59">
        <v>1</v>
      </c>
      <c r="G8" s="97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0">
        <v>2</v>
      </c>
      <c r="B9" s="59">
        <v>0</v>
      </c>
      <c r="C9" s="103" t="s">
        <v>216</v>
      </c>
      <c r="D9" s="23"/>
      <c r="E9" s="100">
        <v>5</v>
      </c>
      <c r="F9" s="59">
        <v>0</v>
      </c>
      <c r="G9" s="98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0">
        <v>3</v>
      </c>
      <c r="B10" s="59">
        <v>0</v>
      </c>
      <c r="C10" s="104" t="s">
        <v>217</v>
      </c>
      <c r="D10" s="23"/>
      <c r="E10" s="4"/>
      <c r="F10" s="101">
        <f>SUM(F7:F9)</f>
        <v>1</v>
      </c>
      <c r="G10" s="99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1">
        <v>0</v>
      </c>
      <c r="C11" s="99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1"/>
      <c r="B13" s="102"/>
      <c r="C13" s="93" t="s">
        <v>273</v>
      </c>
      <c r="D13" s="211"/>
      <c r="E13" s="94"/>
      <c r="F13" s="102"/>
      <c r="G13" s="93" t="s">
        <v>301</v>
      </c>
      <c r="H13" s="211"/>
      <c r="I13" s="211"/>
      <c r="J13" s="211"/>
      <c r="K13" s="211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</row>
    <row r="14" spans="1:38" s="3" customFormat="1" ht="21" customHeight="1" x14ac:dyDescent="0.3">
      <c r="A14" s="211"/>
      <c r="B14" s="102"/>
      <c r="C14" s="93" t="s">
        <v>309</v>
      </c>
      <c r="D14" s="211"/>
      <c r="E14" s="94"/>
      <c r="F14" s="102"/>
      <c r="G14" s="93" t="s">
        <v>294</v>
      </c>
      <c r="H14" s="211"/>
      <c r="I14" s="211"/>
      <c r="J14" s="211"/>
      <c r="K14" s="211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26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59">
        <v>0</v>
      </c>
      <c r="C16" s="105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59">
        <v>0</v>
      </c>
      <c r="C17" s="105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59">
        <v>0</v>
      </c>
      <c r="C18" s="105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1">
        <f>SUM(B16:B18)</f>
        <v>0</v>
      </c>
      <c r="C19" s="99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3" t="s">
        <v>176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Chêne pédonculé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Chêne sessile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>Bouleau verruqueux</v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>Douglas</v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>Charme</v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>Aulne glutineux</v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>Bouleau verruqueux</v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/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/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/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58.2" thickBot="1" x14ac:dyDescent="0.35">
      <c r="A2" s="68" t="s">
        <v>178</v>
      </c>
      <c r="B2" s="69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3" t="s">
        <v>299</v>
      </c>
      <c r="I2" s="65" t="s">
        <v>298</v>
      </c>
      <c r="J2" s="66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6" t="s">
        <v>298</v>
      </c>
      <c r="AE2" s="66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5" t="s">
        <v>298</v>
      </c>
      <c r="AZ2" s="66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5" t="s">
        <v>298</v>
      </c>
      <c r="BU2" s="66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5" t="s">
        <v>298</v>
      </c>
      <c r="CP2" s="66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5" t="s">
        <v>298</v>
      </c>
      <c r="DK2" s="66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5" t="s">
        <v>298</v>
      </c>
      <c r="EF2" s="66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5" t="s">
        <v>298</v>
      </c>
      <c r="FA2" s="66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5" t="s">
        <v>298</v>
      </c>
      <c r="FV2" s="66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5" t="s">
        <v>298</v>
      </c>
      <c r="GQ2" s="66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0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4">
        <f>(B3+E3+F3)*44/12+(C3+D3)*0.475*44/12</f>
        <v>293.33333333333331</v>
      </c>
      <c r="I3" s="6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7">
        <f t="shared" ref="R3:R66" si="0">Q3+(I3+J3)*44/12</f>
        <v>293.33333333333331</v>
      </c>
      <c r="S3" s="57">
        <f ca="1">AVERAGE(OFFSET($R$3,0,0,'Données projet'!$E$9+1,1))-AVERAGE(OFFSET($H$3,0,0,'Données projet'!$E$9+1,1))</f>
        <v>267.44861001389006</v>
      </c>
      <c r="T3" s="57">
        <f>IF('Données projet'!E9&gt;30,$R$33-$H$33,LOOKUP('Données projet'!$E$9,$A$3:$A$203,R3:R203)-LOOKUP('Données projet'!$E$9,$A$3:$A$203,$H$3:$H$203))</f>
        <v>165.25921510802965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7">
        <f>AL3+(AD3+AE3)*44/12</f>
        <v>293.33333333333331</v>
      </c>
      <c r="AN3" s="57">
        <f ca="1">AVERAGE(OFFSET($AM$3,0,0,'Données projet'!$E$10+1,1))-AVERAGE(OFFSET($H$3,0,0,'Données projet'!$E$10+1,1))</f>
        <v>294.92430430387071</v>
      </c>
      <c r="AO3" s="57">
        <f>IF('Données projet'!E10&gt;30,$AM$33-$H$33,LOOKUP('Données projet'!$E$10,$A$3:$A$203,AM3:AM203)-LOOKUP('Données projet'!$E$10,$A$3:$A$203,$H$3:$H$203))</f>
        <v>181.52228471516497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7">
        <f>BG3+(AY3+AZ3)*44/12</f>
        <v>293.33333333333331</v>
      </c>
      <c r="BI3" s="57">
        <f ca="1">AVERAGE(OFFSET($BH$3,0,0,'Données projet'!$E$11+1,1))-AVERAGE(OFFSET($H$3,0,0,'Données projet'!$E$11+1,1))</f>
        <v>250.90550982248311</v>
      </c>
      <c r="BJ3" s="57">
        <f>IF('Données projet'!E11&gt;30,$BH$33-$H$33,LOOKUP('Données projet'!$E$11,$A$3:$A$203,BH3:BH203)-LOOKUP('Données projet'!$E$11,$A$3:$A$203,$H$3:$H$203))</f>
        <v>254.68874167908001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7">
        <f>CB3+(BT3+BU3)*44/12</f>
        <v>293.33333333333331</v>
      </c>
      <c r="CD3" s="57">
        <f ca="1">AVERAGE(OFFSET($CC$3,0,0,'Données projet'!$E$12+1,1))-AVERAGE(OFFSET($H$3,0,0,'Données projet'!$E$12+1,1))</f>
        <v>462.54745364638171</v>
      </c>
      <c r="CE3" s="57">
        <f>IF('Données projet'!E12&gt;30,$CC$33-$H$33,LOOKUP('Données projet'!$E$12,$A$3:$A$203,CC3:CC203)-LOOKUP('Données projet'!$E$12,$A$3:$A$203,$H$3:$H$203))</f>
        <v>571.50914830067313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7">
        <f>CW3+(CO3+CP3)*44/12</f>
        <v>293.33333333333331</v>
      </c>
      <c r="CY3" s="57">
        <f ca="1">AVERAGE(OFFSET($CX$3,0,0,'Données projet'!$E$13+1,1))-AVERAGE(OFFSET($H$3,0,0,'Données projet'!$E$13+1,1))</f>
        <v>314.67680626853303</v>
      </c>
      <c r="CZ3" s="57">
        <f>IF('Données projet'!E13&gt;30,$CX$33-$H$33,LOOKUP('Données projet'!$E$13,$A$3:$A$203,CX3:CX203)-LOOKUP('Données projet'!$E$13,$A$3:$A$203,$H$3:$H$203))</f>
        <v>372.57247561536263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7">
        <f>DR3+(DJ3+DK3)*44/12</f>
        <v>293.33333333333331</v>
      </c>
      <c r="DT3" s="57">
        <f ca="1">AVERAGE(OFFSET($DS$3,0,0,'Données projet'!$E$14+1,1))-AVERAGE(OFFSET($H$3,0,0,'Données projet'!$E$14+1,1))</f>
        <v>188.80259324758066</v>
      </c>
      <c r="DU3" s="57">
        <f>IF('Données projet'!E14&gt;30,$DS$33-$H$33,LOOKUP('Données projet'!$E$14,$A$3:$A$203,DS3:DS203)-LOOKUP('Données projet'!$E$14,$A$3:$A$203,$H$3:$H$203))</f>
        <v>195.48048518255354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7">
        <f>EM3+(EE3+EF3)*44/12</f>
        <v>293.33333333333331</v>
      </c>
      <c r="EO3" s="57">
        <f ca="1">AVERAGE(OFFSET($EN$3,0,0,'Données projet'!$E$15+1,1))-AVERAGE(OFFSET($H$3,0,0,'Données projet'!$E$15+1,1))</f>
        <v>250.90550982248311</v>
      </c>
      <c r="EP3" s="57">
        <f>IF('Données projet'!E15&gt;30,$EN$33-$H$33,LOOKUP('Données projet'!$E$15,$A$3:$A$203,EN3:EN203)-LOOKUP('Données projet'!$E$15,$A$3:$A$203,$H$3:$H$203))</f>
        <v>254.68874167908001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7" t="e">
        <f>FH3+(EZ3+FA3)*44/12</f>
        <v>#N/A</v>
      </c>
      <c r="FJ3" s="57" t="e">
        <f ca="1">AVERAGE(OFFSET($FI$3,0,0,'Données projet'!$E$16+1,1))-AVERAGE(OFFSET($H$3,0,0,'Données projet'!$E$16+1,1))</f>
        <v>#N/A</v>
      </c>
      <c r="FK3" s="57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7" t="e">
        <f>GC3+(FU3+FV3)*44/12</f>
        <v>#N/A</v>
      </c>
      <c r="GE3" s="57" t="e">
        <f ca="1">AVERAGE(OFFSET($GD$3,0,0,'Données projet'!$E$17+1,1))-AVERAGE(OFFSET($H$3,0,0,'Données projet'!$E$17+1,1))</f>
        <v>#N/A</v>
      </c>
      <c r="GF3" s="57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7" t="e">
        <f>GX3+(GP3+GQ3)*44/12</f>
        <v>#N/A</v>
      </c>
      <c r="GZ3" s="57" t="e">
        <f ca="1">AVERAGE(OFFSET($GY$3,0,0,'Données projet'!$E$18+1,1))-AVERAGE(OFFSET($H$3,0,0,'Données projet'!$E$18+1,1))</f>
        <v>#N/A</v>
      </c>
      <c r="HA3" s="57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0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4">
        <f t="shared" ref="H4:H67" si="1">(B4+E4+F4)*44/12+(C4+D4)*0.475*44/12</f>
        <v>295.56715004710333</v>
      </c>
      <c r="I4" s="6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1.0439615443779955</v>
      </c>
      <c r="P4" s="13">
        <f>EXP(-1.0587+0.8836*LN(O4)+0.284)</f>
        <v>0.478698084995758</v>
      </c>
      <c r="Q4" s="20">
        <f t="shared" ref="Q4:Q34" si="2">(O4+P4)*0.475*44/12</f>
        <v>2.6519655211592874</v>
      </c>
      <c r="R4" s="57">
        <f t="shared" si="0"/>
        <v>295.98529885449261</v>
      </c>
      <c r="S4" s="57">
        <f ca="1">AVERAGE(OFFSET($R$3,0,0,'Données projet'!$E$9+1,1))-AVERAGE(OFFSET($H$3,0,0,'Données projet'!$E$9+1,1))</f>
        <v>267.44861001389006</v>
      </c>
      <c r="T4" s="57">
        <f>$T$3</f>
        <v>165.25921510802965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1.1212920291467359</v>
      </c>
      <c r="AK4" s="13">
        <f>EXP(-1.0587+0.8836*LN(AJ4)+0.284)</f>
        <v>0.50989827066551541</v>
      </c>
      <c r="AL4" s="20">
        <f t="shared" ref="AL4:AL67" si="4">(AJ4+AK4)*0.475*44/12</f>
        <v>2.8409897721730037</v>
      </c>
      <c r="AM4" s="57">
        <f t="shared" ref="AM4:AM67" si="5">AL4+(AD4+AE4)*44/12</f>
        <v>296.17432310550635</v>
      </c>
      <c r="AN4" s="57">
        <f ca="1">AVERAGE(OFFSET($AM$3,0,0,'Données projet'!$E$10+1,1))-AVERAGE(OFFSET($H$3,0,0,'Données projet'!$E$10+1,1))</f>
        <v>294.92430430387071</v>
      </c>
      <c r="AO4" s="57">
        <f>$AO$3</f>
        <v>181.52228471516497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1.0310202862584663</v>
      </c>
      <c r="BF4" s="13">
        <f>EXP(-1.0587+0.8836*LN(BE4)+0.284)</f>
        <v>0.47345092792653765</v>
      </c>
      <c r="BG4" s="20">
        <f t="shared" ref="BG4:BG67" si="7">(BE4+BF4)*0.475*44/12</f>
        <v>2.6202873647055487</v>
      </c>
      <c r="BH4" s="57">
        <f t="shared" ref="BH4:BH67" si="8">BG4+(AY4+AZ4)*44/12</f>
        <v>295.95362069803889</v>
      </c>
      <c r="BI4" s="57">
        <f ca="1">AVERAGE(OFFSET($BH$3,0,0,'Données projet'!$E$11+1,1))-AVERAGE(OFFSET($H$3,0,0,'Données projet'!$E$11+1,1))</f>
        <v>250.90550982248311</v>
      </c>
      <c r="BJ4" s="57">
        <f>$BJ$3</f>
        <v>254.68874167908001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10.8</v>
      </c>
      <c r="BY4" s="12">
        <f>IF('Données projet'!$A$114&gt;35,BY3+BX4-CG3,IF(A4&lt;'Données projet'!$A$114,$BV$205^A4,IF(A4='Données projet'!$A$114,'Données projet'!$B$114,BY3+BX4-CG3)))</f>
        <v>1.4037863041747067</v>
      </c>
      <c r="BZ4" s="13">
        <f>BY4*VLOOKUP('Données projet'!$B$12,Paramètres!$A$1:$I$89,3,0)*VLOOKUP('Données projet'!$B$12,Paramètres!$A$1:$I$89,5,0)</f>
        <v>0.78471654403366109</v>
      </c>
      <c r="CA4" s="13">
        <f>EXP(-1.0587+0.8836*LN(BZ4)+0.284)</f>
        <v>0.37198061042729702</v>
      </c>
      <c r="CB4" s="20">
        <f t="shared" ref="CB4:CB67" si="10">(BZ4+CA4)*0.475*44/12</f>
        <v>2.0145808773528358</v>
      </c>
      <c r="CC4" s="57">
        <f t="shared" ref="CC4:CC67" si="11">CB4+(BT4+BU4)*44/12</f>
        <v>295.34791421068616</v>
      </c>
      <c r="CD4" s="57">
        <f ca="1">AVERAGE(OFFSET($CC$3,0,0,'Données projet'!$E$12+1,1))-AVERAGE(OFFSET($H$3,0,0,'Données projet'!$E$12+1,1))</f>
        <v>462.54745364638171</v>
      </c>
      <c r="CE4" s="57">
        <f>$CE$3</f>
        <v>571.50914830067313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6.7</v>
      </c>
      <c r="CT4" s="12">
        <f>IF('Données projet'!$A$140&gt;35,CT3+CS4-DB3,IF(A4&lt;'Données projet'!$A$140,$CQ$205^A4,IF(A4='Données projet'!$A$140,'Données projet'!$B$140,CT3+CS4-DB3)))</f>
        <v>1.522675921848786</v>
      </c>
      <c r="CU4" s="17">
        <f>CT4*VLOOKUP('Données projet'!$B$13,Paramètres!$A$1:$I$89,3,0)*VLOOKUP('Données projet'!$B$13,Paramètres!$A$1:$I$89,5,0)</f>
        <v>1.4489784072313048</v>
      </c>
      <c r="CV4" s="13">
        <f>EXP(-1.0587+0.8836*LN(CU4)+0.284)</f>
        <v>0.63953802549588323</v>
      </c>
      <c r="CW4" s="20">
        <f t="shared" ref="CW4:CW67" si="13">(CU4+CV4)*0.475*44/12</f>
        <v>3.6374994536665191</v>
      </c>
      <c r="CX4" s="57">
        <f t="shared" ref="CX4:CX67" si="14">CW4+(CO4+CP4)*44/12</f>
        <v>296.97083278699984</v>
      </c>
      <c r="CY4" s="57">
        <f ca="1">AVERAGE(OFFSET($CX$3,0,0,'Données projet'!$E$13+1,1))-AVERAGE(OFFSET($H$3,0,0,'Données projet'!$E$13+1,1))</f>
        <v>314.67680626853303</v>
      </c>
      <c r="CZ4" s="57">
        <f>$CZ$3</f>
        <v>372.57247561536263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1.1000000000000001</v>
      </c>
      <c r="DO4" s="12">
        <f>IF('Données projet'!$A$166&gt;35,DO3+DN4-DW3,IF(A4&lt;'Données projet'!$A$166,$DL$205^A4,IF(A4='Données projet'!$A$166,'Données projet'!$B$166,DO3+DN4-DW3)))</f>
        <v>1.2709816152101407</v>
      </c>
      <c r="DP4" s="17">
        <f>DO4*VLOOKUP('Données projet'!$B$14,Paramètres!$A$1:$I$89,3,0)*VLOOKUP('Données projet'!$B$14,Paramètres!$A$1:$I$89,5,0)</f>
        <v>0.83274715428568413</v>
      </c>
      <c r="DQ4" s="13">
        <f>EXP(-1.0587+0.8836*LN(DP4)+0.284)</f>
        <v>0.39202836439738087</v>
      </c>
      <c r="DR4" s="20">
        <f t="shared" ref="DR4:DR67" si="16">(DP4+DQ4)*0.475*44/12</f>
        <v>2.1331506950396717</v>
      </c>
      <c r="DS4" s="57">
        <f t="shared" ref="DS4:DS67" si="17">DR4+(DJ4+DK4)*44/12</f>
        <v>295.46648402837297</v>
      </c>
      <c r="DT4" s="57">
        <f ca="1">AVERAGE(OFFSET($DS$3,0,0,'Données projet'!$E$14+1,1))-AVERAGE(OFFSET($H$3,0,0,'Données projet'!$E$14+1,1))</f>
        <v>188.80259324758066</v>
      </c>
      <c r="DU4" s="57">
        <f>$DU$3</f>
        <v>195.48048518255354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1.0310202862584663</v>
      </c>
      <c r="EL4" s="13">
        <f>EXP(-1.0587+0.8836*LN(EK4)+0.284)</f>
        <v>0.47345092792653765</v>
      </c>
      <c r="EM4" s="20">
        <f t="shared" ref="EM4:EM67" si="19">(EK4+EL4)*0.475*44/12</f>
        <v>2.6202873647055487</v>
      </c>
      <c r="EN4" s="57">
        <f t="shared" ref="EN4:EN67" si="20">EM4+(EE4+EF4)*44/12</f>
        <v>295.95362069803889</v>
      </c>
      <c r="EO4" s="57">
        <f ca="1">AVERAGE(OFFSET($EN$3,0,0,'Données projet'!$E$15+1,1))-AVERAGE(OFFSET($H$3,0,0,'Données projet'!$E$15+1,1))</f>
        <v>250.90550982248311</v>
      </c>
      <c r="EP4" s="57">
        <f>$EP$3</f>
        <v>254.68874167908001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7" t="e">
        <f t="shared" ref="FI4:FI67" si="23">FH4+(EZ4+FA4)*44/12</f>
        <v>#N/A</v>
      </c>
      <c r="FJ4" s="57" t="e">
        <f ca="1">AVERAGE(OFFSET($FI$3,0,0,'Données projet'!$E$16+1,1))-AVERAGE(OFFSET($H$3,0,0,'Données projet'!$E$16+1,1))</f>
        <v>#N/A</v>
      </c>
      <c r="FK4" s="57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7" t="e">
        <f t="shared" ref="GD4:GD67" si="26">GC4+(FU4+FV4)*44/12</f>
        <v>#N/A</v>
      </c>
      <c r="GE4" s="57" t="e">
        <f ca="1">AVERAGE(OFFSET($GD$3,0,0,'Données projet'!$E$17+1,1))-AVERAGE(OFFSET($H$3,0,0,'Données projet'!$E$17+1,1))</f>
        <v>#N/A</v>
      </c>
      <c r="GF4" s="57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7" t="e">
        <f t="shared" ref="GY4:GY67" si="29">GX4+(GP4+GQ4)*44/12</f>
        <v>#N/A</v>
      </c>
      <c r="GZ4" s="57" t="e">
        <f ca="1">AVERAGE(OFFSET($GY$3,0,0,'Données projet'!$E$18+1,1))-AVERAGE(OFFSET($H$3,0,0,'Données projet'!$E$18+1,1))</f>
        <v>#N/A</v>
      </c>
      <c r="HA4" s="57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0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4">
        <f t="shared" si="1"/>
        <v>297.69054180829414</v>
      </c>
      <c r="I5" s="6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1.2937508382479692</v>
      </c>
      <c r="P5" s="13">
        <f t="shared" ref="P5:P68" si="33">EXP(-1.0587+0.8836*LN(O5)+0.284)</f>
        <v>0.57860648124254321</v>
      </c>
      <c r="Q5" s="20">
        <f t="shared" si="2"/>
        <v>3.2610223314459752</v>
      </c>
      <c r="R5" s="57">
        <f t="shared" si="0"/>
        <v>296.5943556647793</v>
      </c>
      <c r="S5" s="57">
        <f ca="1">AVERAGE(OFFSET($R$3,0,0,'Données projet'!$E$9+1,1))-AVERAGE(OFFSET($H$3,0,0,'Données projet'!$E$9+1,1))</f>
        <v>267.44861001389006</v>
      </c>
      <c r="T5" s="57">
        <f t="shared" ref="T5:T68" si="34">$T$3</f>
        <v>165.25921510802965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1.3895842336737447</v>
      </c>
      <c r="AK5" s="13">
        <f t="shared" ref="AK5:AK68" si="35">EXP(-1.0587+0.8836*LN(AJ5)+0.284)</f>
        <v>0.61631841327304715</v>
      </c>
      <c r="AL5" s="20">
        <f t="shared" si="4"/>
        <v>3.4936137767656628</v>
      </c>
      <c r="AM5" s="57">
        <f t="shared" si="5"/>
        <v>296.82694711009896</v>
      </c>
      <c r="AN5" s="57">
        <f ca="1">AVERAGE(OFFSET($AM$3,0,0,'Données projet'!$E$10+1,1))-AVERAGE(OFFSET($H$3,0,0,'Données projet'!$E$10+1,1))</f>
        <v>294.92430430387071</v>
      </c>
      <c r="AO5" s="57">
        <f t="shared" ref="AO5:AO68" si="36">$AO$3</f>
        <v>181.52228471516497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1.310407828743207</v>
      </c>
      <c r="BF5" s="13">
        <f t="shared" ref="BF5:BF68" si="37">EXP(-1.0587+0.8836*LN(BE5)+0.284)</f>
        <v>0.58518398183877263</v>
      </c>
      <c r="BG5" s="20">
        <f t="shared" si="7"/>
        <v>3.3014890700969475</v>
      </c>
      <c r="BH5" s="57">
        <f t="shared" si="8"/>
        <v>296.63482240343023</v>
      </c>
      <c r="BI5" s="57">
        <f ca="1">AVERAGE(OFFSET($BH$3,0,0,'Données projet'!$E$11+1,1))-AVERAGE(OFFSET($H$3,0,0,'Données projet'!$E$11+1,1))</f>
        <v>250.90550982248311</v>
      </c>
      <c r="BJ5" s="57">
        <f t="shared" ref="BJ5:BJ68" si="38">$BJ$3</f>
        <v>254.68874167908001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10.8</v>
      </c>
      <c r="BY5" s="12">
        <f>IF('Données projet'!$A$114&gt;35,BY4+BX5-CG4,IF(A5&lt;'Données projet'!$A$114,$BV$205^A5,IF(A5='Données projet'!$A$114,'Données projet'!$B$114,BY4+BX5-CG4)))</f>
        <v>1.9706159877884823</v>
      </c>
      <c r="BZ5" s="13">
        <f>BY5*VLOOKUP('Données projet'!$B$12,Paramètres!$A$1:$I$89,3,0)*VLOOKUP('Données projet'!$B$12,Paramètres!$A$1:$I$89,5,0)</f>
        <v>1.1015743371737616</v>
      </c>
      <c r="CA5" s="13">
        <f t="shared" ref="CA5:CA68" si="39">EXP(-1.0587+0.8836*LN(BZ5)+0.284)</f>
        <v>0.50196734705126034</v>
      </c>
      <c r="CB5" s="20">
        <f t="shared" si="10"/>
        <v>2.7928351000252465</v>
      </c>
      <c r="CC5" s="57">
        <f t="shared" si="11"/>
        <v>296.12616843335854</v>
      </c>
      <c r="CD5" s="57">
        <f ca="1">AVERAGE(OFFSET($CC$3,0,0,'Données projet'!$E$12+1,1))-AVERAGE(OFFSET($H$3,0,0,'Données projet'!$E$12+1,1))</f>
        <v>462.54745364638171</v>
      </c>
      <c r="CE5" s="57">
        <f t="shared" ref="CE5:CE68" si="40">$CE$3</f>
        <v>571.50914830067313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6.7</v>
      </c>
      <c r="CT5" s="12">
        <f>IF('Données projet'!$A$140&gt;35,CT4+CS5-DB4,IF(A5&lt;'Données projet'!$A$140,$CQ$205^A5,IF(A5='Données projet'!$A$140,'Données projet'!$B$140,CT4+CS5-DB4)))</f>
        <v>2.3185419629780504</v>
      </c>
      <c r="CU5" s="17">
        <f>CT5*VLOOKUP('Données projet'!$B$13,Paramètres!$A$1:$I$89,3,0)*VLOOKUP('Données projet'!$B$13,Paramètres!$A$1:$I$89,5,0)</f>
        <v>2.206324531969913</v>
      </c>
      <c r="CV5" s="13">
        <f t="shared" ref="CV5:CV68" si="41">EXP(-1.0587+0.8836*LN(CU5)+0.284)</f>
        <v>0.92729590374086168</v>
      </c>
      <c r="CW5" s="20">
        <f t="shared" si="13"/>
        <v>5.4577222588629324</v>
      </c>
      <c r="CX5" s="57">
        <f t="shared" si="14"/>
        <v>298.79105559219624</v>
      </c>
      <c r="CY5" s="57">
        <f ca="1">AVERAGE(OFFSET($CX$3,0,0,'Données projet'!$E$13+1,1))-AVERAGE(OFFSET($H$3,0,0,'Données projet'!$E$13+1,1))</f>
        <v>314.67680626853303</v>
      </c>
      <c r="CZ5" s="57">
        <f t="shared" ref="CZ5:CZ68" si="42">$CZ$3</f>
        <v>372.57247561536263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1.1000000000000001</v>
      </c>
      <c r="DO5" s="12">
        <f>IF('Données projet'!$A$166&gt;35,DO4+DN5-DW4,IF(A5&lt;'Données projet'!$A$166,$DL$205^A5,IF(A5='Données projet'!$A$166,'Données projet'!$B$166,DO4+DN5-DW4)))</f>
        <v>1.6153942662021783</v>
      </c>
      <c r="DP5" s="17">
        <f>DO5*VLOOKUP('Données projet'!$B$14,Paramètres!$A$1:$I$89,3,0)*VLOOKUP('Données projet'!$B$14,Paramètres!$A$1:$I$89,5,0)</f>
        <v>1.0584063232156671</v>
      </c>
      <c r="DQ5" s="13">
        <f t="shared" ref="DQ5:DQ68" si="43">EXP(-1.0587+0.8836*LN(DP5)+0.284)</f>
        <v>0.48454592807852009</v>
      </c>
      <c r="DR5" s="20">
        <f t="shared" si="16"/>
        <v>2.6873085043373757</v>
      </c>
      <c r="DS5" s="57">
        <f t="shared" si="17"/>
        <v>296.02064183767067</v>
      </c>
      <c r="DT5" s="57">
        <f ca="1">AVERAGE(OFFSET($DS$3,0,0,'Données projet'!$E$14+1,1))-AVERAGE(OFFSET($H$3,0,0,'Données projet'!$E$14+1,1))</f>
        <v>188.80259324758066</v>
      </c>
      <c r="DU5" s="57">
        <f t="shared" ref="DU5:DU68" si="44">$DU$3</f>
        <v>195.48048518255354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1.310407828743207</v>
      </c>
      <c r="EL5" s="13">
        <f t="shared" ref="EL5:EL68" si="45">EXP(-1.0587+0.8836*LN(EK5)+0.284)</f>
        <v>0.58518398183877263</v>
      </c>
      <c r="EM5" s="20">
        <f t="shared" si="19"/>
        <v>3.3014890700969475</v>
      </c>
      <c r="EN5" s="57">
        <f t="shared" si="20"/>
        <v>296.63482240343023</v>
      </c>
      <c r="EO5" s="57">
        <f ca="1">AVERAGE(OFFSET($EN$3,0,0,'Données projet'!$E$15+1,1))-AVERAGE(OFFSET($H$3,0,0,'Données projet'!$E$15+1,1))</f>
        <v>250.90550982248311</v>
      </c>
      <c r="EP5" s="57">
        <f t="shared" ref="EP5:EP68" si="46">$EP$3</f>
        <v>254.68874167908001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7" t="e">
        <f t="shared" si="23"/>
        <v>#N/A</v>
      </c>
      <c r="FJ5" s="57" t="e">
        <f ca="1">AVERAGE(OFFSET($FI$3,0,0,'Données projet'!$E$16+1,1))-AVERAGE(OFFSET($H$3,0,0,'Données projet'!$E$16+1,1))</f>
        <v>#N/A</v>
      </c>
      <c r="FK5" s="57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7" t="e">
        <f t="shared" si="26"/>
        <v>#N/A</v>
      </c>
      <c r="GE5" s="57" t="e">
        <f ca="1">AVERAGE(OFFSET($GD$3,0,0,'Données projet'!$E$17+1,1))-AVERAGE(OFFSET($H$3,0,0,'Données projet'!$E$17+1,1))</f>
        <v>#N/A</v>
      </c>
      <c r="GF5" s="57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7" t="e">
        <f t="shared" si="29"/>
        <v>#N/A</v>
      </c>
      <c r="GZ5" s="57" t="e">
        <f ca="1">AVERAGE(OFFSET($GY$3,0,0,'Données projet'!$E$18+1,1))-AVERAGE(OFFSET($H$3,0,0,'Données projet'!$E$18+1,1))</f>
        <v>#N/A</v>
      </c>
      <c r="HA5" s="57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0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4">
        <f t="shared" si="1"/>
        <v>299.77827185278778</v>
      </c>
      <c r="I6" s="6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1.6033073636487132</v>
      </c>
      <c r="P6" s="13">
        <f t="shared" si="33"/>
        <v>0.69936661672428513</v>
      </c>
      <c r="Q6" s="20">
        <f t="shared" si="2"/>
        <v>4.0104905158163051</v>
      </c>
      <c r="R6" s="57">
        <f t="shared" si="0"/>
        <v>297.3438238491496</v>
      </c>
      <c r="S6" s="57">
        <f ca="1">AVERAGE(OFFSET($R$3,0,0,'Données projet'!$E$9+1,1))-AVERAGE(OFFSET($H$3,0,0,'Données projet'!$E$9+1,1))</f>
        <v>267.44861001389006</v>
      </c>
      <c r="T6" s="57">
        <f t="shared" si="34"/>
        <v>165.25921510802965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1.7220708720671365</v>
      </c>
      <c r="AK6" s="13">
        <f t="shared" si="35"/>
        <v>0.74494935243383209</v>
      </c>
      <c r="AL6" s="20">
        <f t="shared" si="4"/>
        <v>4.2967268910058536</v>
      </c>
      <c r="AM6" s="57">
        <f t="shared" si="5"/>
        <v>297.63006022433916</v>
      </c>
      <c r="AN6" s="57">
        <f ca="1">AVERAGE(OFFSET($AM$3,0,0,'Données projet'!$E$10+1,1))-AVERAGE(OFFSET($H$3,0,0,'Données projet'!$E$10+1,1))</f>
        <v>294.92430430387071</v>
      </c>
      <c r="AO6" s="57">
        <f t="shared" si="36"/>
        <v>181.52228471516497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1.6655042587600553</v>
      </c>
      <c r="BF6" s="13">
        <f t="shared" si="37"/>
        <v>0.72328571431972233</v>
      </c>
      <c r="BG6" s="20">
        <f t="shared" si="7"/>
        <v>4.1604758697806128</v>
      </c>
      <c r="BH6" s="57">
        <f t="shared" si="8"/>
        <v>297.49380920311393</v>
      </c>
      <c r="BI6" s="57">
        <f ca="1">AVERAGE(OFFSET($BH$3,0,0,'Données projet'!$E$11+1,1))-AVERAGE(OFFSET($H$3,0,0,'Données projet'!$E$11+1,1))</f>
        <v>250.90550982248311</v>
      </c>
      <c r="BJ6" s="57">
        <f t="shared" si="38"/>
        <v>254.68874167908001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10.8</v>
      </c>
      <c r="BY6" s="12">
        <f>IF('Données projet'!$A$114&gt;35,BY5+BX6-CG5,IF(A6&lt;'Données projet'!$A$114,$BV$205^A6,IF(A6='Données projet'!$A$114,'Données projet'!$B$114,BY5+BX6-CG5)))</f>
        <v>2.7663237344451828</v>
      </c>
      <c r="BZ6" s="13">
        <f>BY6*VLOOKUP('Données projet'!$B$12,Paramètres!$A$1:$I$89,3,0)*VLOOKUP('Données projet'!$B$12,Paramètres!$A$1:$I$89,5,0)</f>
        <v>1.5463749675548573</v>
      </c>
      <c r="CA6" s="13">
        <f t="shared" si="39"/>
        <v>0.6773772891448272</v>
      </c>
      <c r="CB6" s="20">
        <f t="shared" si="10"/>
        <v>3.8730351804186167</v>
      </c>
      <c r="CC6" s="57">
        <f t="shared" si="11"/>
        <v>297.20636851375195</v>
      </c>
      <c r="CD6" s="57">
        <f ca="1">AVERAGE(OFFSET($CC$3,0,0,'Données projet'!$E$12+1,1))-AVERAGE(OFFSET($H$3,0,0,'Données projet'!$E$12+1,1))</f>
        <v>462.54745364638171</v>
      </c>
      <c r="CE6" s="57">
        <f t="shared" si="40"/>
        <v>571.50914830067313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6.7</v>
      </c>
      <c r="CT6" s="12">
        <f>IF('Données projet'!$A$140&gt;35,CT5+CS6-DB5,IF(A6&lt;'Données projet'!$A$140,$CQ$205^A6,IF(A6='Données projet'!$A$140,'Données projet'!$B$140,CT5+CS6-DB5)))</f>
        <v>3.5303880208226968</v>
      </c>
      <c r="CU6" s="17">
        <f>CT6*VLOOKUP('Données projet'!$B$13,Paramètres!$A$1:$I$89,3,0)*VLOOKUP('Données projet'!$B$13,Paramètres!$A$1:$I$89,5,0)</f>
        <v>3.3595172406148786</v>
      </c>
      <c r="CV6" s="13">
        <f t="shared" si="41"/>
        <v>1.3445294240758423</v>
      </c>
      <c r="CW6" s="20">
        <f t="shared" si="13"/>
        <v>8.1928812743363384</v>
      </c>
      <c r="CX6" s="57">
        <f t="shared" si="14"/>
        <v>301.52621460766966</v>
      </c>
      <c r="CY6" s="57">
        <f ca="1">AVERAGE(OFFSET($CX$3,0,0,'Données projet'!$E$13+1,1))-AVERAGE(OFFSET($H$3,0,0,'Données projet'!$E$13+1,1))</f>
        <v>314.67680626853303</v>
      </c>
      <c r="CZ6" s="57">
        <f t="shared" si="42"/>
        <v>372.57247561536263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1.1000000000000001</v>
      </c>
      <c r="DO6" s="12">
        <f>IF('Données projet'!$A$166&gt;35,DO5+DN6-DW5,IF(A6&lt;'Données projet'!$A$166,$DL$205^A6,IF(A6='Données projet'!$A$166,'Données projet'!$B$166,DO5+DN6-DW5)))</f>
        <v>2.0531364136588448</v>
      </c>
      <c r="DP6" s="17">
        <f>DO6*VLOOKUP('Données projet'!$B$14,Paramètres!$A$1:$I$89,3,0)*VLOOKUP('Données projet'!$B$14,Paramètres!$A$1:$I$89,5,0)</f>
        <v>1.3452149782292753</v>
      </c>
      <c r="DQ6" s="13">
        <f t="shared" si="43"/>
        <v>0.59889737003693966</v>
      </c>
      <c r="DR6" s="20">
        <f t="shared" si="16"/>
        <v>3.3859956732303242</v>
      </c>
      <c r="DS6" s="57">
        <f t="shared" si="17"/>
        <v>296.71932900656361</v>
      </c>
      <c r="DT6" s="57">
        <f ca="1">AVERAGE(OFFSET($DS$3,0,0,'Données projet'!$E$14+1,1))-AVERAGE(OFFSET($H$3,0,0,'Données projet'!$E$14+1,1))</f>
        <v>188.80259324758066</v>
      </c>
      <c r="DU6" s="57">
        <f t="shared" si="44"/>
        <v>195.48048518255354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1.6655042587600553</v>
      </c>
      <c r="EL6" s="13">
        <f t="shared" si="45"/>
        <v>0.72328571431972233</v>
      </c>
      <c r="EM6" s="20">
        <f t="shared" si="19"/>
        <v>4.1604758697806128</v>
      </c>
      <c r="EN6" s="57">
        <f t="shared" si="20"/>
        <v>297.49380920311393</v>
      </c>
      <c r="EO6" s="57">
        <f ca="1">AVERAGE(OFFSET($EN$3,0,0,'Données projet'!$E$15+1,1))-AVERAGE(OFFSET($H$3,0,0,'Données projet'!$E$15+1,1))</f>
        <v>250.90550982248311</v>
      </c>
      <c r="EP6" s="57">
        <f t="shared" si="46"/>
        <v>254.68874167908001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7" t="e">
        <f t="shared" si="23"/>
        <v>#N/A</v>
      </c>
      <c r="FJ6" s="57" t="e">
        <f ca="1">AVERAGE(OFFSET($FI$3,0,0,'Données projet'!$E$16+1,1))-AVERAGE(OFFSET($H$3,0,0,'Données projet'!$E$16+1,1))</f>
        <v>#N/A</v>
      </c>
      <c r="FK6" s="57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7" t="e">
        <f t="shared" si="26"/>
        <v>#N/A</v>
      </c>
      <c r="GE6" s="57" t="e">
        <f ca="1">AVERAGE(OFFSET($GD$3,0,0,'Données projet'!$E$17+1,1))-AVERAGE(OFFSET($H$3,0,0,'Données projet'!$E$17+1,1))</f>
        <v>#N/A</v>
      </c>
      <c r="GF6" s="57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7" t="e">
        <f t="shared" si="29"/>
        <v>#N/A</v>
      </c>
      <c r="GZ6" s="57" t="e">
        <f ca="1">AVERAGE(OFFSET($GY$3,0,0,'Données projet'!$E$18+1,1))-AVERAGE(OFFSET($H$3,0,0,'Données projet'!$E$18+1,1))</f>
        <v>#N/A</v>
      </c>
      <c r="HA6" s="57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0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4">
        <f t="shared" si="1"/>
        <v>301.84401918535269</v>
      </c>
      <c r="I7" s="6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1.9869316612859962</v>
      </c>
      <c r="P7" s="13">
        <f t="shared" si="33"/>
        <v>0.84533042826968274</v>
      </c>
      <c r="Q7" s="20">
        <f t="shared" si="2"/>
        <v>4.9328564726428068</v>
      </c>
      <c r="R7" s="57">
        <f t="shared" si="0"/>
        <v>298.26618980597613</v>
      </c>
      <c r="S7" s="57">
        <f ca="1">AVERAGE(OFFSET($R$3,0,0,'Données projet'!$E$9+1,1))-AVERAGE(OFFSET($H$3,0,0,'Données projet'!$E$9+1,1))</f>
        <v>267.44861001389006</v>
      </c>
      <c r="T7" s="57">
        <f t="shared" si="34"/>
        <v>165.25921510802965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2.1341117843442179</v>
      </c>
      <c r="AK7" s="13">
        <f t="shared" si="35"/>
        <v>0.90042667189585779</v>
      </c>
      <c r="AL7" s="20">
        <f t="shared" si="4"/>
        <v>5.2851544779514645</v>
      </c>
      <c r="AM7" s="57">
        <f t="shared" si="5"/>
        <v>298.61848781128475</v>
      </c>
      <c r="AN7" s="57">
        <f ca="1">AVERAGE(OFFSET($AM$3,0,0,'Données projet'!$E$10+1,1))-AVERAGE(OFFSET($H$3,0,0,'Données projet'!$E$10+1,1))</f>
        <v>294.92430430387071</v>
      </c>
      <c r="AO7" s="57">
        <f t="shared" si="36"/>
        <v>181.52228471516497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2.116825292938223</v>
      </c>
      <c r="BF7" s="13">
        <f t="shared" si="37"/>
        <v>0.89397905748405238</v>
      </c>
      <c r="BG7" s="20">
        <f t="shared" si="7"/>
        <v>5.2438175769854629</v>
      </c>
      <c r="BH7" s="57">
        <f t="shared" si="8"/>
        <v>298.57715091031878</v>
      </c>
      <c r="BI7" s="57">
        <f ca="1">AVERAGE(OFFSET($BH$3,0,0,'Données projet'!$E$11+1,1))-AVERAGE(OFFSET($H$3,0,0,'Données projet'!$E$11+1,1))</f>
        <v>250.90550982248311</v>
      </c>
      <c r="BJ7" s="57">
        <f t="shared" si="38"/>
        <v>254.68874167908001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10.8</v>
      </c>
      <c r="BY7" s="12">
        <f>IF('Données projet'!$A$114&gt;35,BY6+BX7-CG6,IF(A7&lt;'Données projet'!$A$114,$BV$205^A7,IF(A7='Données projet'!$A$114,'Données projet'!$B$114,BY6+BX7-CG6)))</f>
        <v>3.8833273713275762</v>
      </c>
      <c r="BZ7" s="13">
        <f>BY7*VLOOKUP('Données projet'!$B$12,Paramètres!$A$1:$I$89,3,0)*VLOOKUP('Données projet'!$B$12,Paramètres!$A$1:$I$89,5,0)</f>
        <v>2.170780000572115</v>
      </c>
      <c r="CA7" s="13">
        <f t="shared" si="39"/>
        <v>0.91408334535022773</v>
      </c>
      <c r="CB7" s="20">
        <f t="shared" si="10"/>
        <v>5.3728036608147471</v>
      </c>
      <c r="CC7" s="57">
        <f t="shared" si="11"/>
        <v>298.70613699414804</v>
      </c>
      <c r="CD7" s="57">
        <f ca="1">AVERAGE(OFFSET($CC$3,0,0,'Données projet'!$E$12+1,1))-AVERAGE(OFFSET($H$3,0,0,'Données projet'!$E$12+1,1))</f>
        <v>462.54745364638171</v>
      </c>
      <c r="CE7" s="57">
        <f t="shared" si="40"/>
        <v>571.50914830067313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6.7</v>
      </c>
      <c r="CT7" s="12">
        <f>IF('Données projet'!$A$140&gt;35,CT6+CS7-DB6,IF(A7&lt;'Données projet'!$A$140,$CQ$205^A7,IF(A7='Données projet'!$A$140,'Données projet'!$B$140,CT6+CS7-DB6)))</f>
        <v>5.3756368340901108</v>
      </c>
      <c r="CU7" s="17">
        <f>CT7*VLOOKUP('Données projet'!$B$13,Paramètres!$A$1:$I$89,3,0)*VLOOKUP('Données projet'!$B$13,Paramètres!$A$1:$I$89,5,0)</f>
        <v>5.1154560113201493</v>
      </c>
      <c r="CV7" s="13">
        <f t="shared" si="41"/>
        <v>1.9494956948617177</v>
      </c>
      <c r="CW7" s="20">
        <f t="shared" si="13"/>
        <v>12.304790888266751</v>
      </c>
      <c r="CX7" s="57">
        <f t="shared" si="14"/>
        <v>305.63812422160004</v>
      </c>
      <c r="CY7" s="57">
        <f ca="1">AVERAGE(OFFSET($CX$3,0,0,'Données projet'!$E$13+1,1))-AVERAGE(OFFSET($H$3,0,0,'Données projet'!$E$13+1,1))</f>
        <v>314.67680626853303</v>
      </c>
      <c r="CZ7" s="57">
        <f t="shared" si="42"/>
        <v>372.57247561536263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1.1000000000000001</v>
      </c>
      <c r="DO7" s="12">
        <f>IF('Données projet'!$A$166&gt;35,DO6+DN7-DW6,IF(A7&lt;'Données projet'!$A$166,$DL$205^A7,IF(A7='Données projet'!$A$166,'Données projet'!$B$166,DO6+DN7-DW6)))</f>
        <v>2.6094986352788743</v>
      </c>
      <c r="DP7" s="17">
        <f>DO7*VLOOKUP('Données projet'!$B$14,Paramètres!$A$1:$I$89,3,0)*VLOOKUP('Données projet'!$B$14,Paramètres!$A$1:$I$89,5,0)</f>
        <v>1.7097435058347183</v>
      </c>
      <c r="DQ7" s="13">
        <f t="shared" si="43"/>
        <v>0.74023542259349984</v>
      </c>
      <c r="DR7" s="20">
        <f t="shared" si="16"/>
        <v>4.2670466336791462</v>
      </c>
      <c r="DS7" s="57">
        <f t="shared" si="17"/>
        <v>297.60037996701249</v>
      </c>
      <c r="DT7" s="57">
        <f ca="1">AVERAGE(OFFSET($DS$3,0,0,'Données projet'!$E$14+1,1))-AVERAGE(OFFSET($H$3,0,0,'Données projet'!$E$14+1,1))</f>
        <v>188.80259324758066</v>
      </c>
      <c r="DU7" s="57">
        <f t="shared" si="44"/>
        <v>195.48048518255354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2.116825292938223</v>
      </c>
      <c r="EL7" s="13">
        <f t="shared" si="45"/>
        <v>0.89397905748405238</v>
      </c>
      <c r="EM7" s="20">
        <f t="shared" si="19"/>
        <v>5.2438175769854629</v>
      </c>
      <c r="EN7" s="57">
        <f t="shared" si="20"/>
        <v>298.57715091031878</v>
      </c>
      <c r="EO7" s="57">
        <f ca="1">AVERAGE(OFFSET($EN$3,0,0,'Données projet'!$E$15+1,1))-AVERAGE(OFFSET($H$3,0,0,'Données projet'!$E$15+1,1))</f>
        <v>250.90550982248311</v>
      </c>
      <c r="EP7" s="57">
        <f t="shared" si="46"/>
        <v>254.68874167908001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7" t="e">
        <f t="shared" si="23"/>
        <v>#N/A</v>
      </c>
      <c r="FJ7" s="57" t="e">
        <f ca="1">AVERAGE(OFFSET($FI$3,0,0,'Données projet'!$E$16+1,1))-AVERAGE(OFFSET($H$3,0,0,'Données projet'!$E$16+1,1))</f>
        <v>#N/A</v>
      </c>
      <c r="FK7" s="57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7" t="e">
        <f t="shared" si="26"/>
        <v>#N/A</v>
      </c>
      <c r="GE7" s="57" t="e">
        <f ca="1">AVERAGE(OFFSET($GD$3,0,0,'Données projet'!$E$17+1,1))-AVERAGE(OFFSET($H$3,0,0,'Données projet'!$E$17+1,1))</f>
        <v>#N/A</v>
      </c>
      <c r="GF7" s="57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7" t="e">
        <f t="shared" si="29"/>
        <v>#N/A</v>
      </c>
      <c r="GZ7" s="57" t="e">
        <f ca="1">AVERAGE(OFFSET($GY$3,0,0,'Données projet'!$E$18+1,1))-AVERAGE(OFFSET($H$3,0,0,'Données projet'!$E$18+1,1))</f>
        <v>#N/A</v>
      </c>
      <c r="HA7" s="57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0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4">
        <f t="shared" si="1"/>
        <v>303.89398357937728</v>
      </c>
      <c r="I8" s="6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2.462345970666743</v>
      </c>
      <c r="P8" s="13">
        <f t="shared" si="33"/>
        <v>1.021758139251189</v>
      </c>
      <c r="Q8" s="20">
        <f t="shared" si="2"/>
        <v>6.068147991440398</v>
      </c>
      <c r="R8" s="57">
        <f t="shared" si="0"/>
        <v>299.40148132477373</v>
      </c>
      <c r="S8" s="57">
        <f ca="1">AVERAGE(OFFSET($R$3,0,0,'Données projet'!$E$9+1,1))-AVERAGE(OFFSET($H$3,0,0,'Données projet'!$E$9+1,1))</f>
        <v>267.44861001389006</v>
      </c>
      <c r="T8" s="57">
        <f t="shared" si="34"/>
        <v>165.25921510802965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2.6447419684939089</v>
      </c>
      <c r="AK8" s="13">
        <f t="shared" si="35"/>
        <v>1.0883534414958294</v>
      </c>
      <c r="AL8" s="20">
        <f t="shared" si="4"/>
        <v>6.5018078390654601</v>
      </c>
      <c r="AM8" s="57">
        <f t="shared" si="5"/>
        <v>299.83514117239878</v>
      </c>
      <c r="AN8" s="57">
        <f ca="1">AVERAGE(OFFSET($AM$3,0,0,'Données projet'!$E$10+1,1))-AVERAGE(OFFSET($H$3,0,0,'Données projet'!$E$10+1,1))</f>
        <v>294.92430430387071</v>
      </c>
      <c r="AO8" s="57">
        <f t="shared" si="36"/>
        <v>181.52228471516497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2.690446029936302</v>
      </c>
      <c r="BF8" s="13">
        <f t="shared" si="37"/>
        <v>1.1049555374832079</v>
      </c>
      <c r="BG8" s="20">
        <f t="shared" si="7"/>
        <v>6.6103243965889789</v>
      </c>
      <c r="BH8" s="57">
        <f t="shared" si="8"/>
        <v>299.94365772992228</v>
      </c>
      <c r="BI8" s="57">
        <f ca="1">AVERAGE(OFFSET($BH$3,0,0,'Données projet'!$E$11+1,1))-AVERAGE(OFFSET($H$3,0,0,'Données projet'!$E$11+1,1))</f>
        <v>250.90550982248311</v>
      </c>
      <c r="BJ8" s="57">
        <f t="shared" si="38"/>
        <v>254.68874167908001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10.8</v>
      </c>
      <c r="BY8" s="12">
        <f>IF('Données projet'!$A$114&gt;35,BY7+BX8-CG7,IF(A8&lt;'Données projet'!$A$114,$BV$205^A8,IF(A8='Données projet'!$A$114,'Données projet'!$B$114,BY7+BX8-CG7)))</f>
        <v>5.451361778496417</v>
      </c>
      <c r="BZ8" s="13">
        <f>BY8*VLOOKUP('Données projet'!$B$12,Paramètres!$A$1:$I$89,3,0)*VLOOKUP('Données projet'!$B$12,Paramètres!$A$1:$I$89,5,0)</f>
        <v>3.0473112341794972</v>
      </c>
      <c r="CA8" s="13">
        <f t="shared" si="39"/>
        <v>1.2335051316844765</v>
      </c>
      <c r="CB8" s="20">
        <f t="shared" si="10"/>
        <v>7.4557551705464205</v>
      </c>
      <c r="CC8" s="57">
        <f t="shared" si="11"/>
        <v>300.78908850387973</v>
      </c>
      <c r="CD8" s="57">
        <f ca="1">AVERAGE(OFFSET($CC$3,0,0,'Données projet'!$E$12+1,1))-AVERAGE(OFFSET($H$3,0,0,'Données projet'!$E$12+1,1))</f>
        <v>462.54745364638171</v>
      </c>
      <c r="CE8" s="57">
        <f t="shared" si="40"/>
        <v>571.50914830067313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6.7</v>
      </c>
      <c r="CT8" s="12">
        <f>IF('Données projet'!$A$140&gt;35,CT7+CS8-DB7,IF(A8&lt;'Données projet'!$A$140,$CQ$205^A8,IF(A8='Données projet'!$A$140,'Données projet'!$B$140,CT7+CS8-DB7)))</f>
        <v>8.1853527718724486</v>
      </c>
      <c r="CU8" s="17">
        <f>CT8*VLOOKUP('Données projet'!$B$13,Paramètres!$A$1:$I$89,3,0)*VLOOKUP('Données projet'!$B$13,Paramètres!$A$1:$I$89,5,0)</f>
        <v>7.789181697713822</v>
      </c>
      <c r="CV8" s="13">
        <f t="shared" si="41"/>
        <v>2.8266644048319418</v>
      </c>
      <c r="CW8" s="20">
        <f t="shared" si="13"/>
        <v>18.489265295267202</v>
      </c>
      <c r="CX8" s="57">
        <f t="shared" si="14"/>
        <v>311.82259862860053</v>
      </c>
      <c r="CY8" s="57">
        <f ca="1">AVERAGE(OFFSET($CX$3,0,0,'Données projet'!$E$13+1,1))-AVERAGE(OFFSET($H$3,0,0,'Données projet'!$E$13+1,1))</f>
        <v>314.67680626853303</v>
      </c>
      <c r="CZ8" s="57">
        <f t="shared" si="42"/>
        <v>372.57247561536263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1.1000000000000001</v>
      </c>
      <c r="DO8" s="12">
        <f>IF('Données projet'!$A$166&gt;35,DO7+DN8-DW7,IF(A8&lt;'Données projet'!$A$166,$DL$205^A8,IF(A8='Données projet'!$A$166,'Données projet'!$B$166,DO7+DN8-DW7)))</f>
        <v>3.3166247903554016</v>
      </c>
      <c r="DP8" s="17">
        <f>DO8*VLOOKUP('Données projet'!$B$14,Paramètres!$A$1:$I$89,3,0)*VLOOKUP('Données projet'!$B$14,Paramètres!$A$1:$I$89,5,0)</f>
        <v>2.173052562640859</v>
      </c>
      <c r="DQ8" s="13">
        <f t="shared" si="43"/>
        <v>0.91492884804015795</v>
      </c>
      <c r="DR8" s="20">
        <f t="shared" si="16"/>
        <v>5.3782342902694369</v>
      </c>
      <c r="DS8" s="57">
        <f t="shared" si="17"/>
        <v>298.71156762360278</v>
      </c>
      <c r="DT8" s="57">
        <f ca="1">AVERAGE(OFFSET($DS$3,0,0,'Données projet'!$E$14+1,1))-AVERAGE(OFFSET($H$3,0,0,'Données projet'!$E$14+1,1))</f>
        <v>188.80259324758066</v>
      </c>
      <c r="DU8" s="57">
        <f t="shared" si="44"/>
        <v>195.48048518255354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2.690446029936302</v>
      </c>
      <c r="EL8" s="13">
        <f t="shared" si="45"/>
        <v>1.1049555374832079</v>
      </c>
      <c r="EM8" s="20">
        <f t="shared" si="19"/>
        <v>6.6103243965889789</v>
      </c>
      <c r="EN8" s="57">
        <f t="shared" si="20"/>
        <v>299.94365772992228</v>
      </c>
      <c r="EO8" s="57">
        <f ca="1">AVERAGE(OFFSET($EN$3,0,0,'Données projet'!$E$15+1,1))-AVERAGE(OFFSET($H$3,0,0,'Données projet'!$E$15+1,1))</f>
        <v>250.90550982248311</v>
      </c>
      <c r="EP8" s="57">
        <f t="shared" si="46"/>
        <v>254.68874167908001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7" t="e">
        <f t="shared" si="23"/>
        <v>#N/A</v>
      </c>
      <c r="FJ8" s="57" t="e">
        <f ca="1">AVERAGE(OFFSET($FI$3,0,0,'Données projet'!$E$16+1,1))-AVERAGE(OFFSET($H$3,0,0,'Données projet'!$E$16+1,1))</f>
        <v>#N/A</v>
      </c>
      <c r="FK8" s="57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7" t="e">
        <f t="shared" si="26"/>
        <v>#N/A</v>
      </c>
      <c r="GE8" s="57" t="e">
        <f ca="1">AVERAGE(OFFSET($GD$3,0,0,'Données projet'!$E$17+1,1))-AVERAGE(OFFSET($H$3,0,0,'Données projet'!$E$17+1,1))</f>
        <v>#N/A</v>
      </c>
      <c r="GF8" s="57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7" t="e">
        <f t="shared" si="29"/>
        <v>#N/A</v>
      </c>
      <c r="GZ8" s="57" t="e">
        <f ca="1">AVERAGE(OFFSET($GY$3,0,0,'Données projet'!$E$18+1,1))-AVERAGE(OFFSET($H$3,0,0,'Données projet'!$E$18+1,1))</f>
        <v>#N/A</v>
      </c>
      <c r="HA8" s="57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0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4">
        <f t="shared" si="1"/>
        <v>305.93170164445013</v>
      </c>
      <c r="I9" s="6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3.0515129419874016</v>
      </c>
      <c r="P9" s="13">
        <f t="shared" si="33"/>
        <v>1.2350078267772846</v>
      </c>
      <c r="Q9" s="20">
        <f t="shared" si="2"/>
        <v>7.4656903389318279</v>
      </c>
      <c r="R9" s="57">
        <f t="shared" si="0"/>
        <v>300.79902367226515</v>
      </c>
      <c r="S9" s="57">
        <f ca="1">AVERAGE(OFFSET($R$3,0,0,'Données projet'!$E$9+1,1))-AVERAGE(OFFSET($H$3,0,0,'Données projet'!$E$9+1,1))</f>
        <v>267.44861001389006</v>
      </c>
      <c r="T9" s="57">
        <f t="shared" si="34"/>
        <v>165.25921510802965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3.2775509376901719</v>
      </c>
      <c r="AK9" s="13">
        <f t="shared" si="35"/>
        <v>1.315502139804245</v>
      </c>
      <c r="AL9" s="20">
        <f t="shared" si="4"/>
        <v>7.9995674433027766</v>
      </c>
      <c r="AM9" s="57">
        <f t="shared" si="5"/>
        <v>301.33290077663611</v>
      </c>
      <c r="AN9" s="57">
        <f ca="1">AVERAGE(OFFSET($AM$3,0,0,'Données projet'!$E$10+1,1))-AVERAGE(OFFSET($H$3,0,0,'Données projet'!$E$10+1,1))</f>
        <v>294.92430430387071</v>
      </c>
      <c r="AO9" s="57">
        <f t="shared" si="36"/>
        <v>181.52228471516497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3.4195074407641517</v>
      </c>
      <c r="BF9" s="13">
        <f t="shared" si="37"/>
        <v>1.3657218584637647</v>
      </c>
      <c r="BG9" s="20">
        <f t="shared" si="7"/>
        <v>8.3342743628219527</v>
      </c>
      <c r="BH9" s="57">
        <f t="shared" si="8"/>
        <v>301.66760769615524</v>
      </c>
      <c r="BI9" s="57">
        <f ca="1">AVERAGE(OFFSET($BH$3,0,0,'Données projet'!$E$11+1,1))-AVERAGE(OFFSET($H$3,0,0,'Données projet'!$E$11+1,1))</f>
        <v>250.90550982248311</v>
      </c>
      <c r="BJ9" s="57">
        <f t="shared" si="38"/>
        <v>254.68874167908001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10.8</v>
      </c>
      <c r="BY9" s="12">
        <f>IF('Données projet'!$A$114&gt;35,BY8+BX9-CG8,IF(A9&lt;'Données projet'!$A$114,$BV$205^A9,IF(A9='Données projet'!$A$114,'Données projet'!$B$114,BY8+BX9-CG8)))</f>
        <v>7.6525470037547425</v>
      </c>
      <c r="BZ9" s="13">
        <f>BY9*VLOOKUP('Données projet'!$B$12,Paramètres!$A$1:$I$89,3,0)*VLOOKUP('Données projet'!$B$12,Paramètres!$A$1:$I$89,5,0)</f>
        <v>4.2777737750989013</v>
      </c>
      <c r="CA9" s="13">
        <f t="shared" si="39"/>
        <v>1.6645472402836166</v>
      </c>
      <c r="CB9" s="20">
        <f t="shared" si="10"/>
        <v>10.349542435124553</v>
      </c>
      <c r="CC9" s="57">
        <f t="shared" si="11"/>
        <v>303.68287576845785</v>
      </c>
      <c r="CD9" s="57">
        <f ca="1">AVERAGE(OFFSET($CC$3,0,0,'Données projet'!$E$12+1,1))-AVERAGE(OFFSET($H$3,0,0,'Données projet'!$E$12+1,1))</f>
        <v>462.54745364638171</v>
      </c>
      <c r="CE9" s="57">
        <f t="shared" si="40"/>
        <v>571.50914830067313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6.7</v>
      </c>
      <c r="CT9" s="12">
        <f>IF('Données projet'!$A$140&gt;35,CT8+CS9-DB8,IF(A9&lt;'Données projet'!$A$140,$CQ$205^A9,IF(A9='Données projet'!$A$140,'Données projet'!$B$140,CT8+CS9-DB8)))</f>
        <v>12.463639577568397</v>
      </c>
      <c r="CU9" s="17">
        <f>CT9*VLOOKUP('Données projet'!$B$13,Paramètres!$A$1:$I$89,3,0)*VLOOKUP('Données projet'!$B$13,Paramètres!$A$1:$I$89,5,0)</f>
        <v>11.860399422014087</v>
      </c>
      <c r="CV9" s="13">
        <f t="shared" si="41"/>
        <v>4.0985120811516644</v>
      </c>
      <c r="CW9" s="20">
        <f t="shared" si="13"/>
        <v>27.795104201347016</v>
      </c>
      <c r="CX9" s="57">
        <f t="shared" si="14"/>
        <v>321.1284375346803</v>
      </c>
      <c r="CY9" s="57">
        <f ca="1">AVERAGE(OFFSET($CX$3,0,0,'Données projet'!$E$13+1,1))-AVERAGE(OFFSET($H$3,0,0,'Données projet'!$E$13+1,1))</f>
        <v>314.67680626853303</v>
      </c>
      <c r="CZ9" s="57">
        <f t="shared" si="42"/>
        <v>372.57247561536263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1.1000000000000001</v>
      </c>
      <c r="DO9" s="12">
        <f>IF('Données projet'!$A$166&gt;35,DO8+DN9-DW8,IF(A9&lt;'Données projet'!$A$166,$DL$205^A9,IF(A9='Données projet'!$A$166,'Données projet'!$B$166,DO8+DN9-DW8)))</f>
        <v>4.2153691330919028</v>
      </c>
      <c r="DP9" s="17">
        <f>DO9*VLOOKUP('Données projet'!$B$14,Paramètres!$A$1:$I$89,3,0)*VLOOKUP('Données projet'!$B$14,Paramètres!$A$1:$I$89,5,0)</f>
        <v>2.7619098560018145</v>
      </c>
      <c r="DQ9" s="13">
        <f t="shared" si="43"/>
        <v>1.1308494182070246</v>
      </c>
      <c r="DR9" s="20">
        <f t="shared" si="16"/>
        <v>6.7798890692470613</v>
      </c>
      <c r="DS9" s="57">
        <f t="shared" si="17"/>
        <v>300.11322240258039</v>
      </c>
      <c r="DT9" s="57">
        <f ca="1">AVERAGE(OFFSET($DS$3,0,0,'Données projet'!$E$14+1,1))-AVERAGE(OFFSET($H$3,0,0,'Données projet'!$E$14+1,1))</f>
        <v>188.80259324758066</v>
      </c>
      <c r="DU9" s="57">
        <f t="shared" si="44"/>
        <v>195.48048518255354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3.4195074407641517</v>
      </c>
      <c r="EL9" s="13">
        <f t="shared" si="45"/>
        <v>1.3657218584637647</v>
      </c>
      <c r="EM9" s="20">
        <f t="shared" si="19"/>
        <v>8.3342743628219527</v>
      </c>
      <c r="EN9" s="57">
        <f t="shared" si="20"/>
        <v>301.66760769615524</v>
      </c>
      <c r="EO9" s="57">
        <f ca="1">AVERAGE(OFFSET($EN$3,0,0,'Données projet'!$E$15+1,1))-AVERAGE(OFFSET($H$3,0,0,'Données projet'!$E$15+1,1))</f>
        <v>250.90550982248311</v>
      </c>
      <c r="EP9" s="57">
        <f t="shared" si="46"/>
        <v>254.68874167908001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7" t="e">
        <f t="shared" si="23"/>
        <v>#N/A</v>
      </c>
      <c r="FJ9" s="57" t="e">
        <f ca="1">AVERAGE(OFFSET($FI$3,0,0,'Données projet'!$E$16+1,1))-AVERAGE(OFFSET($H$3,0,0,'Données projet'!$E$16+1,1))</f>
        <v>#N/A</v>
      </c>
      <c r="FK9" s="57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7" t="e">
        <f t="shared" si="26"/>
        <v>#N/A</v>
      </c>
      <c r="GE9" s="57" t="e">
        <f ca="1">AVERAGE(OFFSET($GD$3,0,0,'Données projet'!$E$17+1,1))-AVERAGE(OFFSET($H$3,0,0,'Données projet'!$E$17+1,1))</f>
        <v>#N/A</v>
      </c>
      <c r="GF9" s="57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7" t="e">
        <f t="shared" si="29"/>
        <v>#N/A</v>
      </c>
      <c r="GZ9" s="57" t="e">
        <f ca="1">AVERAGE(OFFSET($GY$3,0,0,'Données projet'!$E$18+1,1))-AVERAGE(OFFSET($H$3,0,0,'Données projet'!$E$18+1,1))</f>
        <v>#N/A</v>
      </c>
      <c r="HA9" s="57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0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4">
        <f t="shared" si="1"/>
        <v>307.95945329602796</v>
      </c>
      <c r="I10" s="6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3.7816502416982529</v>
      </c>
      <c r="P10" s="13">
        <f t="shared" si="33"/>
        <v>1.492764553183741</v>
      </c>
      <c r="Q10" s="20">
        <f t="shared" si="2"/>
        <v>9.1862724344194735</v>
      </c>
      <c r="R10" s="57">
        <f t="shared" si="0"/>
        <v>302.51960576775281</v>
      </c>
      <c r="S10" s="57">
        <f ca="1">AVERAGE(OFFSET($R$3,0,0,'Données projet'!$E$9+1,1))-AVERAGE(OFFSET($H$3,0,0,'Données projet'!$E$9+1,1))</f>
        <v>267.44861001389006</v>
      </c>
      <c r="T10" s="57">
        <f t="shared" si="34"/>
        <v>165.25921510802965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4.0617724818240486</v>
      </c>
      <c r="AK10" s="13">
        <f t="shared" si="35"/>
        <v>1.590058719758437</v>
      </c>
      <c r="AL10" s="20">
        <f t="shared" si="4"/>
        <v>9.8436060094228282</v>
      </c>
      <c r="AM10" s="57">
        <f t="shared" si="5"/>
        <v>303.17693934275616</v>
      </c>
      <c r="AN10" s="57">
        <f ca="1">AVERAGE(OFFSET($AM$3,0,0,'Données projet'!$E$10+1,1))-AVERAGE(OFFSET($H$3,0,0,'Données projet'!$E$10+1,1))</f>
        <v>294.92430430387071</v>
      </c>
      <c r="AO10" s="57">
        <f t="shared" si="36"/>
        <v>181.52228471516497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4.3461310902855157</v>
      </c>
      <c r="BF10" s="13">
        <f t="shared" si="37"/>
        <v>1.6880282793406653</v>
      </c>
      <c r="BG10" s="20">
        <f t="shared" si="7"/>
        <v>10.509494235432264</v>
      </c>
      <c r="BH10" s="57">
        <f t="shared" si="8"/>
        <v>303.84282756876559</v>
      </c>
      <c r="BI10" s="57">
        <f ca="1">AVERAGE(OFFSET($BH$3,0,0,'Données projet'!$E$11+1,1))-AVERAGE(OFFSET($H$3,0,0,'Données projet'!$E$11+1,1))</f>
        <v>250.90550982248311</v>
      </c>
      <c r="BJ10" s="57">
        <f t="shared" si="38"/>
        <v>254.68874167908001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10.8</v>
      </c>
      <c r="BY10" s="12">
        <f>IF('Données projet'!$A$114&gt;35,BY9+BX10-CG9,IF(A10&lt;'Données projet'!$A$114,$BV$205^A10,IF(A10='Données projet'!$A$114,'Données projet'!$B$114,BY9+BX10-CG9)))</f>
        <v>10.742540675924095</v>
      </c>
      <c r="BZ10" s="13">
        <f>BY10*VLOOKUP('Données projet'!$B$12,Paramètres!$A$1:$I$89,3,0)*VLOOKUP('Données projet'!$B$12,Paramètres!$A$1:$I$89,5,0)</f>
        <v>6.0050802378415691</v>
      </c>
      <c r="CA10" s="13">
        <f t="shared" si="39"/>
        <v>2.2462148263235089</v>
      </c>
      <c r="CB10" s="20">
        <f t="shared" si="10"/>
        <v>14.37100557008751</v>
      </c>
      <c r="CC10" s="57">
        <f t="shared" si="11"/>
        <v>307.70433890342082</v>
      </c>
      <c r="CD10" s="57">
        <f ca="1">AVERAGE(OFFSET($CC$3,0,0,'Données projet'!$E$12+1,1))-AVERAGE(OFFSET($H$3,0,0,'Données projet'!$E$12+1,1))</f>
        <v>462.54745364638171</v>
      </c>
      <c r="CE10" s="57">
        <f t="shared" si="40"/>
        <v>571.50914830067313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6.7</v>
      </c>
      <c r="CT10" s="12">
        <f>IF('Données projet'!$A$140&gt;35,CT9+CS10-DB9,IF(A10&lt;'Données projet'!$A$140,$CQ$205^A10,IF(A10='Données projet'!$A$140,'Données projet'!$B$140,CT9+CS10-DB9)))</f>
        <v>18.978083883364974</v>
      </c>
      <c r="CU10" s="17">
        <f>CT10*VLOOKUP('Données projet'!$B$13,Paramètres!$A$1:$I$89,3,0)*VLOOKUP('Données projet'!$B$13,Paramètres!$A$1:$I$89,5,0)</f>
        <v>18.059544623410108</v>
      </c>
      <c r="CV10" s="13">
        <f t="shared" si="41"/>
        <v>5.942623132279782</v>
      </c>
      <c r="CW10" s="20">
        <f t="shared" si="13"/>
        <v>41.80377550782655</v>
      </c>
      <c r="CX10" s="57">
        <f t="shared" si="14"/>
        <v>335.13710884115989</v>
      </c>
      <c r="CY10" s="57">
        <f ca="1">AVERAGE(OFFSET($CX$3,0,0,'Données projet'!$E$13+1,1))-AVERAGE(OFFSET($H$3,0,0,'Données projet'!$E$13+1,1))</f>
        <v>314.67680626853303</v>
      </c>
      <c r="CZ10" s="57">
        <f t="shared" si="42"/>
        <v>372.57247561536263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1.1000000000000001</v>
      </c>
      <c r="DO10" s="12">
        <f>IF('Données projet'!$A$166&gt;35,DO9+DN10-DW9,IF(A10&lt;'Données projet'!$A$166,$DL$205^A10,IF(A10='Données projet'!$A$166,'Données projet'!$B$166,DO9+DN10-DW9)))</f>
        <v>5.3576566694841175</v>
      </c>
      <c r="DP10" s="17">
        <f>DO10*VLOOKUP('Données projet'!$B$14,Paramètres!$A$1:$I$89,3,0)*VLOOKUP('Données projet'!$B$14,Paramètres!$A$1:$I$89,5,0)</f>
        <v>3.510336649845994</v>
      </c>
      <c r="DQ10" s="13">
        <f t="shared" si="43"/>
        <v>1.397726620379814</v>
      </c>
      <c r="DR10" s="20">
        <f t="shared" si="16"/>
        <v>8.5482101956432839</v>
      </c>
      <c r="DS10" s="57">
        <f t="shared" si="17"/>
        <v>301.88154352897658</v>
      </c>
      <c r="DT10" s="57">
        <f ca="1">AVERAGE(OFFSET($DS$3,0,0,'Données projet'!$E$14+1,1))-AVERAGE(OFFSET($H$3,0,0,'Données projet'!$E$14+1,1))</f>
        <v>188.80259324758066</v>
      </c>
      <c r="DU10" s="57">
        <f t="shared" si="44"/>
        <v>195.48048518255354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4.3461310902855157</v>
      </c>
      <c r="EL10" s="13">
        <f t="shared" si="45"/>
        <v>1.6880282793406653</v>
      </c>
      <c r="EM10" s="20">
        <f t="shared" si="19"/>
        <v>10.509494235432264</v>
      </c>
      <c r="EN10" s="57">
        <f t="shared" si="20"/>
        <v>303.84282756876559</v>
      </c>
      <c r="EO10" s="57">
        <f ca="1">AVERAGE(OFFSET($EN$3,0,0,'Données projet'!$E$15+1,1))-AVERAGE(OFFSET($H$3,0,0,'Données projet'!$E$15+1,1))</f>
        <v>250.90550982248311</v>
      </c>
      <c r="EP10" s="57">
        <f t="shared" si="46"/>
        <v>254.68874167908001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7" t="e">
        <f t="shared" si="23"/>
        <v>#N/A</v>
      </c>
      <c r="FJ10" s="57" t="e">
        <f ca="1">AVERAGE(OFFSET($FI$3,0,0,'Données projet'!$E$16+1,1))-AVERAGE(OFFSET($H$3,0,0,'Données projet'!$E$16+1,1))</f>
        <v>#N/A</v>
      </c>
      <c r="FK10" s="57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7" t="e">
        <f t="shared" si="26"/>
        <v>#N/A</v>
      </c>
      <c r="GE10" s="57" t="e">
        <f ca="1">AVERAGE(OFFSET($GD$3,0,0,'Données projet'!$E$17+1,1))-AVERAGE(OFFSET($H$3,0,0,'Données projet'!$E$17+1,1))</f>
        <v>#N/A</v>
      </c>
      <c r="GF10" s="57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7" t="e">
        <f t="shared" si="29"/>
        <v>#N/A</v>
      </c>
      <c r="GZ10" s="57" t="e">
        <f ca="1">AVERAGE(OFFSET($GY$3,0,0,'Données projet'!$E$18+1,1))-AVERAGE(OFFSET($H$3,0,0,'Données projet'!$E$18+1,1))</f>
        <v>#N/A</v>
      </c>
      <c r="HA10" s="57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0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4">
        <f t="shared" si="1"/>
        <v>309.97882658523747</v>
      </c>
      <c r="I11" s="6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4.6864879233389463</v>
      </c>
      <c r="P11" s="13">
        <f t="shared" si="33"/>
        <v>1.8043173192324258</v>
      </c>
      <c r="Q11" s="20">
        <f t="shared" si="2"/>
        <v>11.304819130811806</v>
      </c>
      <c r="R11" s="57">
        <f t="shared" si="0"/>
        <v>304.63815246414509</v>
      </c>
      <c r="S11" s="57">
        <f ca="1">AVERAGE(OFFSET($R$3,0,0,'Données projet'!$E$9+1,1))-AVERAGE(OFFSET($H$3,0,0,'Données projet'!$E$9+1,1))</f>
        <v>267.44861001389006</v>
      </c>
      <c r="T11" s="57">
        <f t="shared" si="34"/>
        <v>165.25921510802965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5.0336351769196082</v>
      </c>
      <c r="AK11" s="13">
        <f t="shared" si="35"/>
        <v>1.9219176128866391</v>
      </c>
      <c r="AL11" s="20">
        <f t="shared" si="4"/>
        <v>12.11425444224588</v>
      </c>
      <c r="AM11" s="57">
        <f t="shared" si="5"/>
        <v>305.44758777557922</v>
      </c>
      <c r="AN11" s="57">
        <f ca="1">AVERAGE(OFFSET($AM$3,0,0,'Données projet'!$E$10+1,1))-AVERAGE(OFFSET($H$3,0,0,'Données projet'!$E$10+1,1))</f>
        <v>294.92430430387071</v>
      </c>
      <c r="AO11" s="57">
        <f t="shared" si="36"/>
        <v>181.52228471516497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5.5238527130460966</v>
      </c>
      <c r="BF11" s="13">
        <f t="shared" si="37"/>
        <v>2.0863980862538192</v>
      </c>
      <c r="BG11" s="20">
        <f t="shared" si="7"/>
        <v>13.25452014211402</v>
      </c>
      <c r="BH11" s="57">
        <f t="shared" si="8"/>
        <v>306.58785347544733</v>
      </c>
      <c r="BI11" s="57">
        <f ca="1">AVERAGE(OFFSET($BH$3,0,0,'Données projet'!$E$11+1,1))-AVERAGE(OFFSET($H$3,0,0,'Données projet'!$E$11+1,1))</f>
        <v>250.90550982248311</v>
      </c>
      <c r="BJ11" s="57">
        <f t="shared" si="38"/>
        <v>254.68874167908001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10.8</v>
      </c>
      <c r="BY11" s="12">
        <f>IF('Données projet'!$A$114&gt;35,BY10+BX11-CG10,IF(A11&lt;'Données projet'!$A$114,$BV$205^A11,IF(A11='Données projet'!$A$114,'Données projet'!$B$114,BY10+BX11-CG10)))</f>
        <v>15.080231472901943</v>
      </c>
      <c r="BZ11" s="13">
        <f>BY11*VLOOKUP('Données projet'!$B$12,Paramètres!$A$1:$I$89,3,0)*VLOOKUP('Données projet'!$B$12,Paramètres!$A$1:$I$89,5,0)</f>
        <v>8.4298493933521872</v>
      </c>
      <c r="CA11" s="13">
        <f t="shared" si="39"/>
        <v>3.0311431985167756</v>
      </c>
      <c r="CB11" s="20">
        <f t="shared" si="10"/>
        <v>19.961228764171775</v>
      </c>
      <c r="CC11" s="57">
        <f t="shared" si="11"/>
        <v>313.29456209750509</v>
      </c>
      <c r="CD11" s="57">
        <f ca="1">AVERAGE(OFFSET($CC$3,0,0,'Données projet'!$E$12+1,1))-AVERAGE(OFFSET($H$3,0,0,'Données projet'!$E$12+1,1))</f>
        <v>462.54745364638171</v>
      </c>
      <c r="CE11" s="57">
        <f t="shared" si="40"/>
        <v>571.50914830067313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6.7</v>
      </c>
      <c r="CT11" s="12">
        <f>IF('Données projet'!$A$140&gt;35,CT10+CS11-DB10,IF(A11&lt;'Données projet'!$A$140,$CQ$205^A11,IF(A11='Données projet'!$A$140,'Données projet'!$B$140,CT10+CS11-DB10)))</f>
        <v>28.897471372026349</v>
      </c>
      <c r="CU11" s="17">
        <f>CT11*VLOOKUP('Données projet'!$B$13,Paramètres!$A$1:$I$89,3,0)*VLOOKUP('Données projet'!$B$13,Paramètres!$A$1:$I$89,5,0)</f>
        <v>27.498833757620275</v>
      </c>
      <c r="CV11" s="13">
        <f t="shared" si="41"/>
        <v>8.6164854447332626</v>
      </c>
      <c r="CW11" s="20">
        <f t="shared" si="13"/>
        <v>62.900847610765744</v>
      </c>
      <c r="CX11" s="57">
        <f t="shared" si="14"/>
        <v>356.23418094409908</v>
      </c>
      <c r="CY11" s="57">
        <f ca="1">AVERAGE(OFFSET($CX$3,0,0,'Données projet'!$E$13+1,1))-AVERAGE(OFFSET($H$3,0,0,'Données projet'!$E$13+1,1))</f>
        <v>314.67680626853303</v>
      </c>
      <c r="CZ11" s="57">
        <f t="shared" si="42"/>
        <v>372.57247561536263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1.1000000000000001</v>
      </c>
      <c r="DO11" s="12">
        <f>IF('Données projet'!$A$166&gt;35,DO10+DN11-DW10,IF(A11&lt;'Données projet'!$A$166,$DL$205^A11,IF(A11='Données projet'!$A$166,'Données projet'!$B$166,DO10+DN11-DW10)))</f>
        <v>6.8094831275223076</v>
      </c>
      <c r="DP11" s="17">
        <f>DO11*VLOOKUP('Données projet'!$B$14,Paramètres!$A$1:$I$89,3,0)*VLOOKUP('Données projet'!$B$14,Paramètres!$A$1:$I$89,5,0)</f>
        <v>4.4615733451526163</v>
      </c>
      <c r="DQ11" s="13">
        <f t="shared" si="43"/>
        <v>1.7275860727911023</v>
      </c>
      <c r="DR11" s="20">
        <f t="shared" si="16"/>
        <v>10.779452652918643</v>
      </c>
      <c r="DS11" s="57">
        <f t="shared" si="17"/>
        <v>304.11278598625194</v>
      </c>
      <c r="DT11" s="57">
        <f ca="1">AVERAGE(OFFSET($DS$3,0,0,'Données projet'!$E$14+1,1))-AVERAGE(OFFSET($H$3,0,0,'Données projet'!$E$14+1,1))</f>
        <v>188.80259324758066</v>
      </c>
      <c r="DU11" s="57">
        <f t="shared" si="44"/>
        <v>195.48048518255354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5.5238527130460966</v>
      </c>
      <c r="EL11" s="13">
        <f t="shared" si="45"/>
        <v>2.0863980862538192</v>
      </c>
      <c r="EM11" s="20">
        <f t="shared" si="19"/>
        <v>13.25452014211402</v>
      </c>
      <c r="EN11" s="57">
        <f t="shared" si="20"/>
        <v>306.58785347544733</v>
      </c>
      <c r="EO11" s="57">
        <f ca="1">AVERAGE(OFFSET($EN$3,0,0,'Données projet'!$E$15+1,1))-AVERAGE(OFFSET($H$3,0,0,'Données projet'!$E$15+1,1))</f>
        <v>250.90550982248311</v>
      </c>
      <c r="EP11" s="57">
        <f t="shared" si="46"/>
        <v>254.68874167908001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7" t="e">
        <f t="shared" si="23"/>
        <v>#N/A</v>
      </c>
      <c r="FJ11" s="57" t="e">
        <f ca="1">AVERAGE(OFFSET($FI$3,0,0,'Données projet'!$E$16+1,1))-AVERAGE(OFFSET($H$3,0,0,'Données projet'!$E$16+1,1))</f>
        <v>#N/A</v>
      </c>
      <c r="FK11" s="57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7" t="e">
        <f t="shared" si="26"/>
        <v>#N/A</v>
      </c>
      <c r="GE11" s="57" t="e">
        <f ca="1">AVERAGE(OFFSET($GD$3,0,0,'Données projet'!$E$17+1,1))-AVERAGE(OFFSET($H$3,0,0,'Données projet'!$E$17+1,1))</f>
        <v>#N/A</v>
      </c>
      <c r="GF11" s="57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7" t="e">
        <f t="shared" si="29"/>
        <v>#N/A</v>
      </c>
      <c r="GZ11" s="57" t="e">
        <f ca="1">AVERAGE(OFFSET($GY$3,0,0,'Données projet'!$E$18+1,1))-AVERAGE(OFFSET($H$3,0,0,'Données projet'!$E$18+1,1))</f>
        <v>#N/A</v>
      </c>
      <c r="HA11" s="57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0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4">
        <f t="shared" si="1"/>
        <v>311.99098874985827</v>
      </c>
      <c r="I12" s="6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5.8078266502347455</v>
      </c>
      <c r="P12" s="13">
        <f t="shared" si="33"/>
        <v>2.1808938198181922</v>
      </c>
      <c r="Q12" s="20">
        <f t="shared" si="2"/>
        <v>13.913688152008866</v>
      </c>
      <c r="R12" s="57">
        <f t="shared" si="0"/>
        <v>307.2470214853422</v>
      </c>
      <c r="S12" s="57">
        <f ca="1">AVERAGE(OFFSET($R$3,0,0,'Données projet'!$E$9+1,1))-AVERAGE(OFFSET($H$3,0,0,'Données projet'!$E$9+1,1))</f>
        <v>267.44861001389006</v>
      </c>
      <c r="T12" s="57">
        <f t="shared" si="34"/>
        <v>165.25921510802965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6.2380360317336141</v>
      </c>
      <c r="AK12" s="13">
        <f t="shared" si="35"/>
        <v>2.3230383034439352</v>
      </c>
      <c r="AL12" s="20">
        <f t="shared" si="4"/>
        <v>14.910537800434229</v>
      </c>
      <c r="AM12" s="57">
        <f t="shared" si="5"/>
        <v>308.24387113376753</v>
      </c>
      <c r="AN12" s="57">
        <f ca="1">AVERAGE(OFFSET($AM$3,0,0,'Données projet'!$E$10+1,1))-AVERAGE(OFFSET($H$3,0,0,'Données projet'!$E$10+1,1))</f>
        <v>294.92430430387071</v>
      </c>
      <c r="AO12" s="57">
        <f t="shared" si="36"/>
        <v>181.52228471516497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7.0207152434102458</v>
      </c>
      <c r="BF12" s="13">
        <f t="shared" si="37"/>
        <v>2.5787820189978565</v>
      </c>
      <c r="BG12" s="20">
        <f t="shared" si="7"/>
        <v>16.71912439869411</v>
      </c>
      <c r="BH12" s="57">
        <f t="shared" si="8"/>
        <v>310.05245773202745</v>
      </c>
      <c r="BI12" s="57">
        <f ca="1">AVERAGE(OFFSET($BH$3,0,0,'Données projet'!$E$11+1,1))-AVERAGE(OFFSET($H$3,0,0,'Données projet'!$E$11+1,1))</f>
        <v>250.90550982248311</v>
      </c>
      <c r="BJ12" s="57">
        <f t="shared" si="38"/>
        <v>254.68874167908001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10.8</v>
      </c>
      <c r="BY12" s="12">
        <f>IF('Données projet'!$A$114&gt;35,BY11+BX12-CG11,IF(A12&lt;'Données projet'!$A$114,$BV$205^A12,IF(A12='Données projet'!$A$114,'Données projet'!$B$114,BY11+BX12-CG11)))</f>
        <v>21.169422405444113</v>
      </c>
      <c r="BZ12" s="13">
        <f>BY12*VLOOKUP('Données projet'!$B$12,Paramètres!$A$1:$I$89,3,0)*VLOOKUP('Données projet'!$B$12,Paramètres!$A$1:$I$89,5,0)</f>
        <v>11.83370712464326</v>
      </c>
      <c r="CA12" s="13">
        <f t="shared" si="39"/>
        <v>4.0903608070972819</v>
      </c>
      <c r="CB12" s="20">
        <f t="shared" si="10"/>
        <v>27.734418314448106</v>
      </c>
      <c r="CC12" s="57">
        <f t="shared" si="11"/>
        <v>321.06775164778139</v>
      </c>
      <c r="CD12" s="57">
        <f ca="1">AVERAGE(OFFSET($CC$3,0,0,'Données projet'!$E$12+1,1))-AVERAGE(OFFSET($H$3,0,0,'Données projet'!$E$12+1,1))</f>
        <v>462.54745364638171</v>
      </c>
      <c r="CE12" s="57">
        <f t="shared" si="40"/>
        <v>571.50914830067313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6.7</v>
      </c>
      <c r="CT12" s="12">
        <f>IF('Données projet'!$A$140&gt;35,CT11+CS12-DB11,IF(A12&lt;'Données projet'!$A$140,$CQ$205^A12,IF(A12='Données projet'!$A$140,'Données projet'!$B$140,CT11+CS12-DB11)))</f>
        <v>44.001483860499121</v>
      </c>
      <c r="CU12" s="17">
        <f>CT12*VLOOKUP('Données projet'!$B$13,Paramètres!$A$1:$I$89,3,0)*VLOOKUP('Données projet'!$B$13,Paramètres!$A$1:$I$89,5,0)</f>
        <v>41.871812041650962</v>
      </c>
      <c r="CV12" s="13">
        <f t="shared" si="41"/>
        <v>12.493442671135341</v>
      </c>
      <c r="CW12" s="20">
        <f t="shared" si="13"/>
        <v>94.686151958102812</v>
      </c>
      <c r="CX12" s="57">
        <f t="shared" si="14"/>
        <v>388.01948529143613</v>
      </c>
      <c r="CY12" s="57">
        <f ca="1">AVERAGE(OFFSET($CX$3,0,0,'Données projet'!$E$13+1,1))-AVERAGE(OFFSET($H$3,0,0,'Données projet'!$E$13+1,1))</f>
        <v>314.67680626853303</v>
      </c>
      <c r="CZ12" s="57">
        <f t="shared" si="42"/>
        <v>372.57247561536263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1.1000000000000001</v>
      </c>
      <c r="DO12" s="12">
        <f>IF('Données projet'!$A$166&gt;35,DO11+DN12-DW11,IF(A12&lt;'Données projet'!$A$166,$DL$205^A12,IF(A12='Données projet'!$A$166,'Données projet'!$B$166,DO11+DN12-DW11)))</f>
        <v>8.6547278641645029</v>
      </c>
      <c r="DP12" s="17">
        <f>DO12*VLOOKUP('Données projet'!$B$14,Paramètres!$A$1:$I$89,3,0)*VLOOKUP('Données projet'!$B$14,Paramètres!$A$1:$I$89,5,0)</f>
        <v>5.6705776966005823</v>
      </c>
      <c r="DQ12" s="13">
        <f t="shared" si="43"/>
        <v>2.1352914049034637</v>
      </c>
      <c r="DR12" s="20">
        <f t="shared" si="16"/>
        <v>13.59522201845288</v>
      </c>
      <c r="DS12" s="57">
        <f t="shared" si="17"/>
        <v>306.9285553517862</v>
      </c>
      <c r="DT12" s="57">
        <f ca="1">AVERAGE(OFFSET($DS$3,0,0,'Données projet'!$E$14+1,1))-AVERAGE(OFFSET($H$3,0,0,'Données projet'!$E$14+1,1))</f>
        <v>188.80259324758066</v>
      </c>
      <c r="DU12" s="57">
        <f t="shared" si="44"/>
        <v>195.48048518255354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7.0207152434102458</v>
      </c>
      <c r="EL12" s="13">
        <f t="shared" si="45"/>
        <v>2.5787820189978565</v>
      </c>
      <c r="EM12" s="20">
        <f t="shared" si="19"/>
        <v>16.71912439869411</v>
      </c>
      <c r="EN12" s="57">
        <f t="shared" si="20"/>
        <v>310.05245773202745</v>
      </c>
      <c r="EO12" s="57">
        <f ca="1">AVERAGE(OFFSET($EN$3,0,0,'Données projet'!$E$15+1,1))-AVERAGE(OFFSET($H$3,0,0,'Données projet'!$E$15+1,1))</f>
        <v>250.90550982248311</v>
      </c>
      <c r="EP12" s="57">
        <f t="shared" si="46"/>
        <v>254.68874167908001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7" t="e">
        <f t="shared" si="23"/>
        <v>#N/A</v>
      </c>
      <c r="FJ12" s="57" t="e">
        <f ca="1">AVERAGE(OFFSET($FI$3,0,0,'Données projet'!$E$16+1,1))-AVERAGE(OFFSET($H$3,0,0,'Données projet'!$E$16+1,1))</f>
        <v>#N/A</v>
      </c>
      <c r="FK12" s="57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7" t="e">
        <f t="shared" si="26"/>
        <v>#N/A</v>
      </c>
      <c r="GE12" s="57" t="e">
        <f ca="1">AVERAGE(OFFSET($GD$3,0,0,'Données projet'!$E$17+1,1))-AVERAGE(OFFSET($H$3,0,0,'Données projet'!$E$17+1,1))</f>
        <v>#N/A</v>
      </c>
      <c r="GF12" s="57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7" t="e">
        <f t="shared" si="29"/>
        <v>#N/A</v>
      </c>
      <c r="GZ12" s="57" t="e">
        <f ca="1">AVERAGE(OFFSET($GY$3,0,0,'Données projet'!$E$18+1,1))-AVERAGE(OFFSET($H$3,0,0,'Données projet'!$E$18+1,1))</f>
        <v>#N/A</v>
      </c>
      <c r="HA12" s="57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0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4">
        <f t="shared" si="1"/>
        <v>313.99683242457326</v>
      </c>
      <c r="I13" s="6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7.1974687550554899</v>
      </c>
      <c r="P13" s="13">
        <f t="shared" si="33"/>
        <v>2.6360650660630816</v>
      </c>
      <c r="Q13" s="20">
        <f t="shared" si="2"/>
        <v>17.126738071781514</v>
      </c>
      <c r="R13" s="57">
        <f t="shared" si="0"/>
        <v>310.46007140511483</v>
      </c>
      <c r="S13" s="57">
        <f ca="1">AVERAGE(OFFSET($R$3,0,0,'Données projet'!$E$9+1,1))-AVERAGE(OFFSET($H$3,0,0,'Données projet'!$E$9+1,1))</f>
        <v>267.44861001389006</v>
      </c>
      <c r="T13" s="57">
        <f t="shared" si="34"/>
        <v>165.25921510802965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7.7306145887633031</v>
      </c>
      <c r="AK13" s="13">
        <f t="shared" si="35"/>
        <v>2.8078763226288115</v>
      </c>
      <c r="AL13" s="20">
        <f t="shared" si="4"/>
        <v>18.354538337341264</v>
      </c>
      <c r="AM13" s="57">
        <f t="shared" si="5"/>
        <v>311.68787167067455</v>
      </c>
      <c r="AN13" s="57">
        <f ca="1">AVERAGE(OFFSET($AM$3,0,0,'Données projet'!$E$10+1,1))-AVERAGE(OFFSET($H$3,0,0,'Données projet'!$E$10+1,1))</f>
        <v>294.92430430387071</v>
      </c>
      <c r="AO13" s="57">
        <f t="shared" si="36"/>
        <v>181.52228471516497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8.9232000000000014</v>
      </c>
      <c r="BF13" s="13">
        <f t="shared" si="37"/>
        <v>3.187367140202428</v>
      </c>
      <c r="BG13" s="20">
        <f t="shared" si="7"/>
        <v>21.092571102519226</v>
      </c>
      <c r="BH13" s="57">
        <f t="shared" si="8"/>
        <v>314.42590443585254</v>
      </c>
      <c r="BI13" s="57">
        <f ca="1">AVERAGE(OFFSET($BH$3,0,0,'Données projet'!$E$11+1,1))-AVERAGE(OFFSET($H$3,0,0,'Données projet'!$E$11+1,1))</f>
        <v>250.90550982248311</v>
      </c>
      <c r="BJ13" s="57">
        <f t="shared" si="38"/>
        <v>254.68874167908001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10.8</v>
      </c>
      <c r="BY13" s="12">
        <f>IF('Données projet'!$A$114&gt;35,BY12+BX13-CG12,IF(A13&lt;'Données projet'!$A$114,$BV$205^A13,IF(A13='Données projet'!$A$114,'Données projet'!$B$114,BY12+BX13-CG12)))</f>
        <v>29.717345240051621</v>
      </c>
      <c r="BZ13" s="13">
        <f>BY13*VLOOKUP('Données projet'!$B$12,Paramètres!$A$1:$I$89,3,0)*VLOOKUP('Données projet'!$B$12,Paramètres!$A$1:$I$89,5,0)</f>
        <v>16.611995989188856</v>
      </c>
      <c r="CA13" s="13">
        <f t="shared" si="39"/>
        <v>5.5197166337850669</v>
      </c>
      <c r="CB13" s="20">
        <f t="shared" si="10"/>
        <v>38.546066151679575</v>
      </c>
      <c r="CC13" s="57">
        <f t="shared" si="11"/>
        <v>331.87939948501287</v>
      </c>
      <c r="CD13" s="57">
        <f ca="1">AVERAGE(OFFSET($CC$3,0,0,'Données projet'!$E$12+1,1))-AVERAGE(OFFSET($H$3,0,0,'Données projet'!$E$12+1,1))</f>
        <v>462.54745364638171</v>
      </c>
      <c r="CE13" s="57">
        <f t="shared" si="40"/>
        <v>571.50914830067313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67</v>
      </c>
      <c r="CR13" s="12">
        <f>VLOOKUP(A13,'Données projet'!$A$139:$I$159,9,0)</f>
        <v>6.7</v>
      </c>
      <c r="CS13" s="12">
        <f t="array" ref="CS13">INDEX(CR:CR,MIN(IF(ISNUMBER(CR13:CR209),ROW(CR13:CR209),"")))</f>
        <v>6.7</v>
      </c>
      <c r="CT13" s="12">
        <f>IF('Données projet'!$A$140&gt;35,CT12+CS13-DB12,IF(A13&lt;'Données projet'!$A$140,$CQ$205^A13,IF(A13='Données projet'!$A$140,'Données projet'!$B$140,CT12+CS13-DB12)))</f>
        <v>67</v>
      </c>
      <c r="CU13" s="17">
        <f>CT13*VLOOKUP('Données projet'!$B$13,Paramètres!$A$1:$I$89,3,0)*VLOOKUP('Données projet'!$B$13,Paramètres!$A$1:$I$89,5,0)</f>
        <v>63.757199999999997</v>
      </c>
      <c r="CV13" s="13">
        <f t="shared" si="41"/>
        <v>18.114823123429215</v>
      </c>
      <c r="CW13" s="20">
        <f t="shared" si="13"/>
        <v>142.59377360663922</v>
      </c>
      <c r="CX13" s="57">
        <f t="shared" si="14"/>
        <v>435.92710693997253</v>
      </c>
      <c r="CY13" s="57">
        <f ca="1">AVERAGE(OFFSET($CX$3,0,0,'Données projet'!$E$13+1,1))-AVERAGE(OFFSET($H$3,0,0,'Données projet'!$E$13+1,1))</f>
        <v>314.67680626853303</v>
      </c>
      <c r="CZ13" s="57">
        <f t="shared" si="42"/>
        <v>372.57247561536263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10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11</v>
      </c>
      <c r="DM13" s="12">
        <f>VLOOKUP(A13,'Données projet'!$A$165:$I$185,9,0)</f>
        <v>1.1000000000000001</v>
      </c>
      <c r="DN13" s="12">
        <f t="array" ref="DN13">INDEX(DM:DM,MIN(IF(ISNUMBER(DM13:DM209),ROW(DM13:DM209),"")))</f>
        <v>1.1000000000000001</v>
      </c>
      <c r="DO13" s="12">
        <f>IF('Données projet'!$A$166&gt;35,DO12+DN13-DW12,IF(A13&lt;'Données projet'!$A$166,$DL$205^A13,IF(A13='Données projet'!$A$166,'Données projet'!$B$166,DO12+DN13-DW12)))</f>
        <v>11</v>
      </c>
      <c r="DP13" s="17">
        <f>DO13*VLOOKUP('Données projet'!$B$14,Paramètres!$A$1:$I$89,3,0)*VLOOKUP('Données projet'!$B$14,Paramètres!$A$1:$I$89,5,0)</f>
        <v>7.2072000000000003</v>
      </c>
      <c r="DQ13" s="13">
        <f t="shared" si="43"/>
        <v>2.6392140198770462</v>
      </c>
      <c r="DR13" s="20">
        <f t="shared" si="16"/>
        <v>17.149171084619187</v>
      </c>
      <c r="DS13" s="57">
        <f t="shared" si="17"/>
        <v>310.4825044179525</v>
      </c>
      <c r="DT13" s="57">
        <f ca="1">AVERAGE(OFFSET($DS$3,0,0,'Données projet'!$E$14+1,1))-AVERAGE(OFFSET($H$3,0,0,'Données projet'!$E$14+1,1))</f>
        <v>188.80259324758066</v>
      </c>
      <c r="DU13" s="57">
        <f t="shared" si="44"/>
        <v>195.48048518255354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8.9232000000000014</v>
      </c>
      <c r="EL13" s="13">
        <f t="shared" si="45"/>
        <v>3.187367140202428</v>
      </c>
      <c r="EM13" s="20">
        <f t="shared" si="19"/>
        <v>21.092571102519226</v>
      </c>
      <c r="EN13" s="57">
        <f t="shared" si="20"/>
        <v>314.42590443585254</v>
      </c>
      <c r="EO13" s="57">
        <f ca="1">AVERAGE(OFFSET($EN$3,0,0,'Données projet'!$E$15+1,1))-AVERAGE(OFFSET($H$3,0,0,'Données projet'!$E$15+1,1))</f>
        <v>250.90550982248311</v>
      </c>
      <c r="EP13" s="57">
        <f t="shared" si="46"/>
        <v>254.68874167908001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7" t="e">
        <f t="shared" si="23"/>
        <v>#N/A</v>
      </c>
      <c r="FJ13" s="57" t="e">
        <f ca="1">AVERAGE(OFFSET($FI$3,0,0,'Données projet'!$E$16+1,1))-AVERAGE(OFFSET($H$3,0,0,'Données projet'!$E$16+1,1))</f>
        <v>#N/A</v>
      </c>
      <c r="FK13" s="57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7" t="e">
        <f t="shared" si="26"/>
        <v>#N/A</v>
      </c>
      <c r="GE13" s="57" t="e">
        <f ca="1">AVERAGE(OFFSET($GD$3,0,0,'Données projet'!$E$17+1,1))-AVERAGE(OFFSET($H$3,0,0,'Données projet'!$E$17+1,1))</f>
        <v>#N/A</v>
      </c>
      <c r="GF13" s="57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7" t="e">
        <f t="shared" si="29"/>
        <v>#N/A</v>
      </c>
      <c r="GZ13" s="57" t="e">
        <f ca="1">AVERAGE(OFFSET($GY$3,0,0,'Données projet'!$E$18+1,1))-AVERAGE(OFFSET($H$3,0,0,'Données projet'!$E$18+1,1))</f>
        <v>#N/A</v>
      </c>
      <c r="HA13" s="57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0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4">
        <f t="shared" si="1"/>
        <v>315.99706138625186</v>
      </c>
      <c r="I14" s="6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8.9196113451330703</v>
      </c>
      <c r="P14" s="13">
        <f t="shared" si="33"/>
        <v>3.186234455512118</v>
      </c>
      <c r="Q14" s="20">
        <f t="shared" si="2"/>
        <v>21.084348102790369</v>
      </c>
      <c r="R14" s="57">
        <f t="shared" si="0"/>
        <v>314.4176814361237</v>
      </c>
      <c r="S14" s="57">
        <f ca="1">AVERAGE(OFFSET($R$3,0,0,'Données projet'!$E$9+1,1))-AVERAGE(OFFSET($H$3,0,0,'Données projet'!$E$9+1,1))</f>
        <v>267.44861001389006</v>
      </c>
      <c r="T14" s="57">
        <f t="shared" si="34"/>
        <v>165.25921510802965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9.5803232966244067</v>
      </c>
      <c r="AK14" s="13">
        <f t="shared" si="35"/>
        <v>3.3939041949894282</v>
      </c>
      <c r="AL14" s="20">
        <f t="shared" si="4"/>
        <v>22.596779547894098</v>
      </c>
      <c r="AM14" s="57">
        <f t="shared" si="5"/>
        <v>315.93011288122739</v>
      </c>
      <c r="AN14" s="57">
        <f ca="1">AVERAGE(OFFSET($AM$3,0,0,'Données projet'!$E$10+1,1))-AVERAGE(OFFSET($H$3,0,0,'Données projet'!$E$10+1,1))</f>
        <v>294.92430430387071</v>
      </c>
      <c r="AO14" s="57">
        <f t="shared" si="36"/>
        <v>181.52228471516497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10.8</v>
      </c>
      <c r="BD14" s="12">
        <f>IF('Données projet'!$A$88&gt;35,BD13+BC14-BL13,IF(A14&lt;'Données projet'!$A$88,$BA$205^A14,IF(A14='Données projet'!$A$88,'Données projet'!$B$88,BD13+BC14-BL13)))</f>
        <v>21.8</v>
      </c>
      <c r="BE14" s="13">
        <f>BD14*VLOOKUP('Données projet'!$B$11,Paramètres!$A$1:$I$89,3,0)*VLOOKUP('Données projet'!$B$11,Paramètres!$A$1:$I$89,5,0)</f>
        <v>17.684160000000002</v>
      </c>
      <c r="BF14" s="13">
        <f t="shared" si="37"/>
        <v>5.8333451290197509</v>
      </c>
      <c r="BG14" s="20">
        <f t="shared" si="7"/>
        <v>40.959654766376069</v>
      </c>
      <c r="BH14" s="57">
        <f t="shared" si="8"/>
        <v>334.29298809970936</v>
      </c>
      <c r="BI14" s="57">
        <f ca="1">AVERAGE(OFFSET($BH$3,0,0,'Données projet'!$E$11+1,1))-AVERAGE(OFFSET($H$3,0,0,'Données projet'!$E$11+1,1))</f>
        <v>250.90550982248311</v>
      </c>
      <c r="BJ14" s="57">
        <f t="shared" si="38"/>
        <v>254.68874167908001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41.716802244415881</v>
      </c>
      <c r="BZ14" s="13">
        <f>BY14*VLOOKUP('Données projet'!$B$12,Paramètres!$A$1:$I$89,3,0)*VLOOKUP('Données projet'!$B$12,Paramètres!$A$1:$I$89,5,0)</f>
        <v>23.319692454628481</v>
      </c>
      <c r="CA14" s="13">
        <f t="shared" si="39"/>
        <v>7.4485536005574575</v>
      </c>
      <c r="CB14" s="20">
        <f t="shared" si="10"/>
        <v>53.58802854611551</v>
      </c>
      <c r="CC14" s="57">
        <f t="shared" si="11"/>
        <v>346.9213618794488</v>
      </c>
      <c r="CD14" s="57">
        <f ca="1">AVERAGE(OFFSET($CC$3,0,0,'Données projet'!$E$12+1,1))-AVERAGE(OFFSET($H$3,0,0,'Données projet'!$E$12+1,1))</f>
        <v>462.54745364638171</v>
      </c>
      <c r="CE14" s="57">
        <f t="shared" si="40"/>
        <v>571.50914830067313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12.2</v>
      </c>
      <c r="CT14" s="12">
        <f>IF('Données projet'!$A$140&gt;35,CT13+CS14-DB13,IF(A14&lt;'Données projet'!$A$140,$CQ$205^A14,IF(A14='Données projet'!$A$140,'Données projet'!$B$140,CT13+CS14-DB13)))</f>
        <v>69.2</v>
      </c>
      <c r="CU14" s="17">
        <f>CT14*VLOOKUP('Données projet'!$B$13,Paramètres!$A$1:$I$89,3,0)*VLOOKUP('Données projet'!$B$13,Paramètres!$A$1:$I$89,5,0)</f>
        <v>65.85072000000001</v>
      </c>
      <c r="CV14" s="13">
        <f t="shared" si="41"/>
        <v>18.639409394765782</v>
      </c>
      <c r="CW14" s="20">
        <f t="shared" si="13"/>
        <v>147.15364202921708</v>
      </c>
      <c r="CX14" s="57">
        <f t="shared" si="14"/>
        <v>440.48697536255042</v>
      </c>
      <c r="CY14" s="57">
        <f ca="1">AVERAGE(OFFSET($CX$3,0,0,'Données projet'!$E$13+1,1))-AVERAGE(OFFSET($H$3,0,0,'Données projet'!$E$13+1,1))</f>
        <v>314.67680626853303</v>
      </c>
      <c r="CZ14" s="57">
        <f t="shared" si="42"/>
        <v>372.57247561536263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10.8</v>
      </c>
      <c r="DO14" s="12">
        <f>IF('Données projet'!$A$166&gt;35,DO13+DN14-DW13,IF(A14&lt;'Données projet'!$A$166,$DL$205^A14,IF(A14='Données projet'!$A$166,'Données projet'!$B$166,DO13+DN14-DW13)))</f>
        <v>21.8</v>
      </c>
      <c r="DP14" s="17">
        <f>DO14*VLOOKUP('Données projet'!$B$14,Paramètres!$A$1:$I$89,3,0)*VLOOKUP('Données projet'!$B$14,Paramètres!$A$1:$I$89,5,0)</f>
        <v>14.283360000000002</v>
      </c>
      <c r="DQ14" s="13">
        <f t="shared" si="43"/>
        <v>4.8301452484424656</v>
      </c>
      <c r="DR14" s="20">
        <f t="shared" si="16"/>
        <v>33.289354974370632</v>
      </c>
      <c r="DS14" s="57">
        <f t="shared" si="17"/>
        <v>326.62268830770392</v>
      </c>
      <c r="DT14" s="57">
        <f ca="1">AVERAGE(OFFSET($DS$3,0,0,'Données projet'!$E$14+1,1))-AVERAGE(OFFSET($H$3,0,0,'Données projet'!$E$14+1,1))</f>
        <v>188.80259324758066</v>
      </c>
      <c r="DU14" s="57">
        <f t="shared" si="44"/>
        <v>195.48048518255354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10.8</v>
      </c>
      <c r="EJ14" s="12">
        <f>IF('Données projet'!$A$192&gt;35,EJ13+EI14-ER13,IF(A14&lt;'Données projet'!$A$192,$EG$205^A14,IF(A14='Données projet'!$A$192,'Données projet'!$B$192,EJ13+EI14-ER13)))</f>
        <v>21.8</v>
      </c>
      <c r="EK14" s="17">
        <f>EJ14*VLOOKUP('Données projet'!$B$15,Paramètres!$A$1:$I$89,3,0)*VLOOKUP('Données projet'!$B$15,Paramètres!$A$1:$I$89,5,0)</f>
        <v>17.684160000000002</v>
      </c>
      <c r="EL14" s="13">
        <f t="shared" si="45"/>
        <v>5.8333451290197509</v>
      </c>
      <c r="EM14" s="20">
        <f t="shared" si="19"/>
        <v>40.959654766376069</v>
      </c>
      <c r="EN14" s="57">
        <f t="shared" si="20"/>
        <v>334.29298809970936</v>
      </c>
      <c r="EO14" s="57">
        <f ca="1">AVERAGE(OFFSET($EN$3,0,0,'Données projet'!$E$15+1,1))-AVERAGE(OFFSET($H$3,0,0,'Données projet'!$E$15+1,1))</f>
        <v>250.90550982248311</v>
      </c>
      <c r="EP14" s="57">
        <f t="shared" si="46"/>
        <v>254.68874167908001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7" t="e">
        <f t="shared" si="23"/>
        <v>#N/A</v>
      </c>
      <c r="FJ14" s="57" t="e">
        <f ca="1">AVERAGE(OFFSET($FI$3,0,0,'Données projet'!$E$16+1,1))-AVERAGE(OFFSET($H$3,0,0,'Données projet'!$E$16+1,1))</f>
        <v>#N/A</v>
      </c>
      <c r="FK14" s="57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7" t="e">
        <f t="shared" si="26"/>
        <v>#N/A</v>
      </c>
      <c r="GE14" s="57" t="e">
        <f ca="1">AVERAGE(OFFSET($GD$3,0,0,'Données projet'!$E$17+1,1))-AVERAGE(OFFSET($H$3,0,0,'Données projet'!$E$17+1,1))</f>
        <v>#N/A</v>
      </c>
      <c r="GF14" s="57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7" t="e">
        <f t="shared" si="29"/>
        <v>#N/A</v>
      </c>
      <c r="GZ14" s="57" t="e">
        <f ca="1">AVERAGE(OFFSET($GY$3,0,0,'Données projet'!$E$18+1,1))-AVERAGE(OFFSET($H$3,0,0,'Données projet'!$E$18+1,1))</f>
        <v>#N/A</v>
      </c>
      <c r="HA14" s="57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0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4">
        <f t="shared" si="1"/>
        <v>317.99224411300077</v>
      </c>
      <c r="I15" s="6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11.053812007498347</v>
      </c>
      <c r="P15" s="13">
        <f t="shared" si="33"/>
        <v>3.8512289154738402</v>
      </c>
      <c r="Q15" s="20">
        <f t="shared" si="2"/>
        <v>25.959612940843225</v>
      </c>
      <c r="R15" s="57">
        <f t="shared" si="0"/>
        <v>319.29294627417653</v>
      </c>
      <c r="S15" s="57">
        <f ca="1">AVERAGE(OFFSET($R$3,0,0,'Données projet'!$E$9+1,1))-AVERAGE(OFFSET($H$3,0,0,'Données projet'!$E$9+1,1))</f>
        <v>267.44861001389006</v>
      </c>
      <c r="T15" s="57">
        <f t="shared" si="34"/>
        <v>165.25921510802965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11.872612896942668</v>
      </c>
      <c r="AK15" s="13">
        <f t="shared" si="35"/>
        <v>4.1022411108131784</v>
      </c>
      <c r="AL15" s="20">
        <f t="shared" si="4"/>
        <v>27.822870730174767</v>
      </c>
      <c r="AM15" s="57">
        <f t="shared" si="5"/>
        <v>321.15620406350808</v>
      </c>
      <c r="AN15" s="57">
        <f ca="1">AVERAGE(OFFSET($AM$3,0,0,'Données projet'!$E$10+1,1))-AVERAGE(OFFSET($H$3,0,0,'Données projet'!$E$10+1,1))</f>
        <v>294.92430430387071</v>
      </c>
      <c r="AO15" s="57">
        <f t="shared" si="36"/>
        <v>181.52228471516497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10.8</v>
      </c>
      <c r="BD15" s="12">
        <f>IF('Données projet'!$A$88&gt;35,BD14+BC15-BL14,IF(A15&lt;'Données projet'!$A$88,$BA$205^A15,IF(A15='Données projet'!$A$88,'Données projet'!$B$88,BD14+BC15-BL14)))</f>
        <v>32.6</v>
      </c>
      <c r="BE15" s="13">
        <f>BD15*VLOOKUP('Données projet'!$B$11,Paramètres!$A$1:$I$89,3,0)*VLOOKUP('Données projet'!$B$11,Paramètres!$A$1:$I$89,5,0)</f>
        <v>26.445120000000003</v>
      </c>
      <c r="BF15" s="13">
        <f t="shared" si="37"/>
        <v>8.3240865246071554</v>
      </c>
      <c r="BG15" s="20">
        <f t="shared" si="7"/>
        <v>60.556368030357454</v>
      </c>
      <c r="BH15" s="57">
        <f t="shared" si="8"/>
        <v>353.88970136369079</v>
      </c>
      <c r="BI15" s="57">
        <f ca="1">AVERAGE(OFFSET($BH$3,0,0,'Données projet'!$E$11+1,1))-AVERAGE(OFFSET($H$3,0,0,'Données projet'!$E$11+1,1))</f>
        <v>250.90550982248311</v>
      </c>
      <c r="BJ15" s="57">
        <f t="shared" si="38"/>
        <v>254.68874167908001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58.561475644675681</v>
      </c>
      <c r="BZ15" s="13">
        <f>BY15*VLOOKUP('Données projet'!$B$12,Paramètres!$A$1:$I$89,3,0)*VLOOKUP('Données projet'!$B$12,Paramètres!$A$1:$I$89,5,0)</f>
        <v>32.735864885373708</v>
      </c>
      <c r="CA15" s="13">
        <f t="shared" si="39"/>
        <v>10.051412857100269</v>
      </c>
      <c r="CB15" s="20">
        <f t="shared" si="10"/>
        <v>74.521175401475503</v>
      </c>
      <c r="CC15" s="57">
        <f t="shared" si="11"/>
        <v>367.8545087348088</v>
      </c>
      <c r="CD15" s="57">
        <f ca="1">AVERAGE(OFFSET($CC$3,0,0,'Données projet'!$E$12+1,1))-AVERAGE(OFFSET($H$3,0,0,'Données projet'!$E$12+1,1))</f>
        <v>462.54745364638171</v>
      </c>
      <c r="CE15" s="57">
        <f t="shared" si="40"/>
        <v>571.50914830067313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12.2</v>
      </c>
      <c r="CT15" s="12">
        <f>IF('Données projet'!$A$140&gt;35,CT14+CS15-DB14,IF(A15&lt;'Données projet'!$A$140,$CQ$205^A15,IF(A15='Données projet'!$A$140,'Données projet'!$B$140,CT14+CS15-DB14)))</f>
        <v>81.400000000000006</v>
      </c>
      <c r="CU15" s="17">
        <f>CT15*VLOOKUP('Données projet'!$B$13,Paramètres!$A$1:$I$89,3,0)*VLOOKUP('Données projet'!$B$13,Paramètres!$A$1:$I$89,5,0)</f>
        <v>77.460240000000013</v>
      </c>
      <c r="CV15" s="13">
        <f t="shared" si="41"/>
        <v>21.515038439826668</v>
      </c>
      <c r="CW15" s="20">
        <f t="shared" si="13"/>
        <v>172.3819432826981</v>
      </c>
      <c r="CX15" s="57">
        <f t="shared" si="14"/>
        <v>465.71527661603142</v>
      </c>
      <c r="CY15" s="57">
        <f ca="1">AVERAGE(OFFSET($CX$3,0,0,'Données projet'!$E$13+1,1))-AVERAGE(OFFSET($H$3,0,0,'Données projet'!$E$13+1,1))</f>
        <v>314.67680626853303</v>
      </c>
      <c r="CZ15" s="57">
        <f t="shared" si="42"/>
        <v>372.57247561536263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10.8</v>
      </c>
      <c r="DO15" s="12">
        <f>IF('Données projet'!$A$166&gt;35,DO14+DN15-DW14,IF(A15&lt;'Données projet'!$A$166,$DL$205^A15,IF(A15='Données projet'!$A$166,'Données projet'!$B$166,DO14+DN15-DW14)))</f>
        <v>32.6</v>
      </c>
      <c r="DP15" s="17">
        <f>DO15*VLOOKUP('Données projet'!$B$14,Paramètres!$A$1:$I$89,3,0)*VLOOKUP('Données projet'!$B$14,Paramètres!$A$1:$I$89,5,0)</f>
        <v>21.35952</v>
      </c>
      <c r="DQ15" s="13">
        <f t="shared" si="43"/>
        <v>6.892536972385793</v>
      </c>
      <c r="DR15" s="20">
        <f t="shared" si="16"/>
        <v>49.205665893571926</v>
      </c>
      <c r="DS15" s="57">
        <f t="shared" si="17"/>
        <v>342.53899922690522</v>
      </c>
      <c r="DT15" s="57">
        <f ca="1">AVERAGE(OFFSET($DS$3,0,0,'Données projet'!$E$14+1,1))-AVERAGE(OFFSET($H$3,0,0,'Données projet'!$E$14+1,1))</f>
        <v>188.80259324758066</v>
      </c>
      <c r="DU15" s="57">
        <f t="shared" si="44"/>
        <v>195.48048518255354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10.8</v>
      </c>
      <c r="EJ15" s="12">
        <f>IF('Données projet'!$A$192&gt;35,EJ14+EI15-ER14,IF(A15&lt;'Données projet'!$A$192,$EG$205^A15,IF(A15='Données projet'!$A$192,'Données projet'!$B$192,EJ14+EI15-ER14)))</f>
        <v>32.6</v>
      </c>
      <c r="EK15" s="17">
        <f>EJ15*VLOOKUP('Données projet'!$B$15,Paramètres!$A$1:$I$89,3,0)*VLOOKUP('Données projet'!$B$15,Paramètres!$A$1:$I$89,5,0)</f>
        <v>26.445120000000003</v>
      </c>
      <c r="EL15" s="13">
        <f t="shared" si="45"/>
        <v>8.3240865246071554</v>
      </c>
      <c r="EM15" s="20">
        <f t="shared" si="19"/>
        <v>60.556368030357454</v>
      </c>
      <c r="EN15" s="57">
        <f t="shared" si="20"/>
        <v>353.88970136369079</v>
      </c>
      <c r="EO15" s="57">
        <f ca="1">AVERAGE(OFFSET($EN$3,0,0,'Données projet'!$E$15+1,1))-AVERAGE(OFFSET($H$3,0,0,'Données projet'!$E$15+1,1))</f>
        <v>250.90550982248311</v>
      </c>
      <c r="EP15" s="57">
        <f t="shared" si="46"/>
        <v>254.68874167908001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7" t="e">
        <f t="shared" si="23"/>
        <v>#N/A</v>
      </c>
      <c r="FJ15" s="57" t="e">
        <f ca="1">AVERAGE(OFFSET($FI$3,0,0,'Données projet'!$E$16+1,1))-AVERAGE(OFFSET($H$3,0,0,'Données projet'!$E$16+1,1))</f>
        <v>#N/A</v>
      </c>
      <c r="FK15" s="57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7" t="e">
        <f t="shared" si="26"/>
        <v>#N/A</v>
      </c>
      <c r="GE15" s="57" t="e">
        <f ca="1">AVERAGE(OFFSET($GD$3,0,0,'Données projet'!$E$17+1,1))-AVERAGE(OFFSET($H$3,0,0,'Données projet'!$E$17+1,1))</f>
        <v>#N/A</v>
      </c>
      <c r="GF15" s="57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7" t="e">
        <f t="shared" si="29"/>
        <v>#N/A</v>
      </c>
      <c r="GZ15" s="57" t="e">
        <f ca="1">AVERAGE(OFFSET($GY$3,0,0,'Données projet'!$E$18+1,1))-AVERAGE(OFFSET($H$3,0,0,'Données projet'!$E$18+1,1))</f>
        <v>#N/A</v>
      </c>
      <c r="HA15" s="57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0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4">
        <f t="shared" si="1"/>
        <v>319.98284893373898</v>
      </c>
      <c r="I16" s="6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13.698664119909786</v>
      </c>
      <c r="P16" s="13">
        <f t="shared" si="33"/>
        <v>4.6550134230463893</v>
      </c>
      <c r="Q16" s="20">
        <f t="shared" si="2"/>
        <v>31.965988387315338</v>
      </c>
      <c r="R16" s="57">
        <f t="shared" si="0"/>
        <v>325.29932172064866</v>
      </c>
      <c r="S16" s="57">
        <f ca="1">AVERAGE(OFFSET($R$3,0,0,'Données projet'!$E$9+1,1))-AVERAGE(OFFSET($H$3,0,0,'Données projet'!$E$9+1,1))</f>
        <v>267.44861001389006</v>
      </c>
      <c r="T16" s="57">
        <f t="shared" si="34"/>
        <v>165.25921510802965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14.713379980643843</v>
      </c>
      <c r="AK16" s="13">
        <f t="shared" si="35"/>
        <v>4.9584140165447881</v>
      </c>
      <c r="AL16" s="20">
        <f t="shared" si="4"/>
        <v>34.261707878436859</v>
      </c>
      <c r="AM16" s="57">
        <f t="shared" si="5"/>
        <v>327.59504121177019</v>
      </c>
      <c r="AN16" s="57">
        <f ca="1">AVERAGE(OFFSET($AM$3,0,0,'Données projet'!$E$10+1,1))-AVERAGE(OFFSET($H$3,0,0,'Données projet'!$E$10+1,1))</f>
        <v>294.92430430387071</v>
      </c>
      <c r="AO16" s="57">
        <f t="shared" si="36"/>
        <v>181.52228471516497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10.8</v>
      </c>
      <c r="BD16" s="12">
        <f>IF('Données projet'!$A$88&gt;35,BD15+BC16-BL15,IF(A16&lt;'Données projet'!$A$88,$BA$205^A16,IF(A16='Données projet'!$A$88,'Données projet'!$B$88,BD15+BC16-BL15)))</f>
        <v>43.400000000000006</v>
      </c>
      <c r="BE16" s="13">
        <f>BD16*VLOOKUP('Données projet'!$B$11,Paramètres!$A$1:$I$89,3,0)*VLOOKUP('Données projet'!$B$11,Paramètres!$A$1:$I$89,5,0)</f>
        <v>35.206080000000007</v>
      </c>
      <c r="BF16" s="13">
        <f t="shared" si="37"/>
        <v>10.718732666310196</v>
      </c>
      <c r="BG16" s="20">
        <f t="shared" si="7"/>
        <v>79.985715393823597</v>
      </c>
      <c r="BH16" s="57">
        <f t="shared" si="8"/>
        <v>373.31904872715688</v>
      </c>
      <c r="BI16" s="57">
        <f ca="1">AVERAGE(OFFSET($BH$3,0,0,'Données projet'!$E$11+1,1))-AVERAGE(OFFSET($H$3,0,0,'Données projet'!$E$11+1,1))</f>
        <v>250.90550982248311</v>
      </c>
      <c r="BJ16" s="57">
        <f t="shared" si="38"/>
        <v>254.68874167908001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82.20779746225638</v>
      </c>
      <c r="BZ16" s="13">
        <f>BY16*VLOOKUP('Données projet'!$B$12,Paramètres!$A$1:$I$89,3,0)*VLOOKUP('Données projet'!$B$12,Paramètres!$A$1:$I$89,5,0)</f>
        <v>45.954158781401318</v>
      </c>
      <c r="CA16" s="13">
        <f t="shared" si="39"/>
        <v>13.563828072113143</v>
      </c>
      <c r="CB16" s="20">
        <f t="shared" si="10"/>
        <v>103.66049376987102</v>
      </c>
      <c r="CC16" s="57">
        <f t="shared" si="11"/>
        <v>396.99382710320435</v>
      </c>
      <c r="CD16" s="57">
        <f ca="1">AVERAGE(OFFSET($CC$3,0,0,'Données projet'!$E$12+1,1))-AVERAGE(OFFSET($H$3,0,0,'Données projet'!$E$12+1,1))</f>
        <v>462.54745364638171</v>
      </c>
      <c r="CE16" s="57">
        <f t="shared" si="40"/>
        <v>571.50914830067313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12.2</v>
      </c>
      <c r="CT16" s="12">
        <f>IF('Données projet'!$A$140&gt;35,CT15+CS16-DB15,IF(A16&lt;'Données projet'!$A$140,$CQ$205^A16,IF(A16='Données projet'!$A$140,'Données projet'!$B$140,CT15+CS16-DB15)))</f>
        <v>93.600000000000009</v>
      </c>
      <c r="CU16" s="17">
        <f>CT16*VLOOKUP('Données projet'!$B$13,Paramètres!$A$1:$I$89,3,0)*VLOOKUP('Données projet'!$B$13,Paramètres!$A$1:$I$89,5,0)</f>
        <v>89.069760000000002</v>
      </c>
      <c r="CV16" s="13">
        <f t="shared" si="41"/>
        <v>24.340738024274106</v>
      </c>
      <c r="CW16" s="20">
        <f t="shared" si="13"/>
        <v>197.52328405894409</v>
      </c>
      <c r="CX16" s="57">
        <f t="shared" si="14"/>
        <v>490.85661739227737</v>
      </c>
      <c r="CY16" s="57">
        <f ca="1">AVERAGE(OFFSET($CX$3,0,0,'Données projet'!$E$13+1,1))-AVERAGE(OFFSET($H$3,0,0,'Données projet'!$E$13+1,1))</f>
        <v>314.67680626853303</v>
      </c>
      <c r="CZ16" s="57">
        <f t="shared" si="42"/>
        <v>372.57247561536263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10.8</v>
      </c>
      <c r="DO16" s="12">
        <f>IF('Données projet'!$A$166&gt;35,DO15+DN16-DW15,IF(A16&lt;'Données projet'!$A$166,$DL$205^A16,IF(A16='Données projet'!$A$166,'Données projet'!$B$166,DO15+DN16-DW15)))</f>
        <v>43.400000000000006</v>
      </c>
      <c r="DP16" s="17">
        <f>DO16*VLOOKUP('Données projet'!$B$14,Paramètres!$A$1:$I$89,3,0)*VLOOKUP('Données projet'!$B$14,Paramètres!$A$1:$I$89,5,0)</f>
        <v>28.435680000000005</v>
      </c>
      <c r="DQ16" s="13">
        <f t="shared" si="43"/>
        <v>8.875359594264788</v>
      </c>
      <c r="DR16" s="20">
        <f t="shared" si="16"/>
        <v>64.983393960011185</v>
      </c>
      <c r="DS16" s="57">
        <f t="shared" si="17"/>
        <v>358.31672729334451</v>
      </c>
      <c r="DT16" s="57">
        <f ca="1">AVERAGE(OFFSET($DS$3,0,0,'Données projet'!$E$14+1,1))-AVERAGE(OFFSET($H$3,0,0,'Données projet'!$E$14+1,1))</f>
        <v>188.80259324758066</v>
      </c>
      <c r="DU16" s="57">
        <f t="shared" si="44"/>
        <v>195.48048518255354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10.8</v>
      </c>
      <c r="EJ16" s="12">
        <f>IF('Données projet'!$A$192&gt;35,EJ15+EI16-ER15,IF(A16&lt;'Données projet'!$A$192,$EG$205^A16,IF(A16='Données projet'!$A$192,'Données projet'!$B$192,EJ15+EI16-ER15)))</f>
        <v>43.400000000000006</v>
      </c>
      <c r="EK16" s="17">
        <f>EJ16*VLOOKUP('Données projet'!$B$15,Paramètres!$A$1:$I$89,3,0)*VLOOKUP('Données projet'!$B$15,Paramètres!$A$1:$I$89,5,0)</f>
        <v>35.206080000000007</v>
      </c>
      <c r="EL16" s="13">
        <f t="shared" si="45"/>
        <v>10.718732666310196</v>
      </c>
      <c r="EM16" s="20">
        <f t="shared" si="19"/>
        <v>79.985715393823597</v>
      </c>
      <c r="EN16" s="57">
        <f t="shared" si="20"/>
        <v>373.31904872715688</v>
      </c>
      <c r="EO16" s="57">
        <f ca="1">AVERAGE(OFFSET($EN$3,0,0,'Données projet'!$E$15+1,1))-AVERAGE(OFFSET($H$3,0,0,'Données projet'!$E$15+1,1))</f>
        <v>250.90550982248311</v>
      </c>
      <c r="EP16" s="57">
        <f t="shared" si="46"/>
        <v>254.68874167908001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7" t="e">
        <f t="shared" si="23"/>
        <v>#N/A</v>
      </c>
      <c r="FJ16" s="57" t="e">
        <f ca="1">AVERAGE(OFFSET($FI$3,0,0,'Données projet'!$E$16+1,1))-AVERAGE(OFFSET($H$3,0,0,'Données projet'!$E$16+1,1))</f>
        <v>#N/A</v>
      </c>
      <c r="FK16" s="57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7" t="e">
        <f t="shared" si="26"/>
        <v>#N/A</v>
      </c>
      <c r="GE16" s="57" t="e">
        <f ca="1">AVERAGE(OFFSET($GD$3,0,0,'Données projet'!$E$17+1,1))-AVERAGE(OFFSET($H$3,0,0,'Données projet'!$E$17+1,1))</f>
        <v>#N/A</v>
      </c>
      <c r="GF16" s="57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7" t="e">
        <f t="shared" si="29"/>
        <v>#N/A</v>
      </c>
      <c r="GZ16" s="57" t="e">
        <f ca="1">AVERAGE(OFFSET($GY$3,0,0,'Données projet'!$E$18+1,1))-AVERAGE(OFFSET($H$3,0,0,'Données projet'!$E$18+1,1))</f>
        <v>#N/A</v>
      </c>
      <c r="HA16" s="57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0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4">
        <f t="shared" si="1"/>
        <v>321.96926803384446</v>
      </c>
      <c r="I17" s="6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16.976351555717539</v>
      </c>
      <c r="P17" s="13">
        <f t="shared" si="33"/>
        <v>5.6265546516016363</v>
      </c>
      <c r="Q17" s="20">
        <f t="shared" si="2"/>
        <v>39.366728311080898</v>
      </c>
      <c r="R17" s="57">
        <f t="shared" si="0"/>
        <v>332.70006164441423</v>
      </c>
      <c r="S17" s="57">
        <f ca="1">AVERAGE(OFFSET($R$3,0,0,'Données projet'!$E$9+1,1))-AVERAGE(OFFSET($H$3,0,0,'Données projet'!$E$9+1,1))</f>
        <v>267.44861001389006</v>
      </c>
      <c r="T17" s="57">
        <f t="shared" si="34"/>
        <v>165.25921510802965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18.233859078363277</v>
      </c>
      <c r="AK17" s="13">
        <f t="shared" si="35"/>
        <v>5.9932775513027368</v>
      </c>
      <c r="AL17" s="20">
        <f t="shared" si="4"/>
        <v>42.195596296668306</v>
      </c>
      <c r="AM17" s="57">
        <f t="shared" si="5"/>
        <v>335.52892963000164</v>
      </c>
      <c r="AN17" s="57">
        <f ca="1">AVERAGE(OFFSET($AM$3,0,0,'Données projet'!$E$10+1,1))-AVERAGE(OFFSET($H$3,0,0,'Données projet'!$E$10+1,1))</f>
        <v>294.92430430387071</v>
      </c>
      <c r="AO17" s="57">
        <f t="shared" si="36"/>
        <v>181.52228471516497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10.8</v>
      </c>
      <c r="BD17" s="12">
        <f>IF('Données projet'!$A$88&gt;35,BD16+BC17-BL16,IF(A17&lt;'Données projet'!$A$88,$BA$205^A17,IF(A17='Données projet'!$A$88,'Données projet'!$B$88,BD16+BC17-BL16)))</f>
        <v>54.2</v>
      </c>
      <c r="BE17" s="13">
        <f>BD17*VLOOKUP('Données projet'!$B$11,Paramètres!$A$1:$I$89,3,0)*VLOOKUP('Données projet'!$B$11,Paramètres!$A$1:$I$89,5,0)</f>
        <v>43.967040000000004</v>
      </c>
      <c r="BF17" s="13">
        <f t="shared" si="37"/>
        <v>13.04425511497986</v>
      </c>
      <c r="BG17" s="20">
        <f t="shared" si="7"/>
        <v>99.294672325256599</v>
      </c>
      <c r="BH17" s="57">
        <f t="shared" si="8"/>
        <v>392.62800565858993</v>
      </c>
      <c r="BI17" s="57">
        <f ca="1">AVERAGE(OFFSET($BH$3,0,0,'Données projet'!$E$11+1,1))-AVERAGE(OFFSET($H$3,0,0,'Données projet'!$E$11+1,1))</f>
        <v>250.90550982248311</v>
      </c>
      <c r="BJ17" s="57">
        <f t="shared" si="38"/>
        <v>254.68874167908001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115.40218017388374</v>
      </c>
      <c r="BZ17" s="13">
        <f>BY17*VLOOKUP('Données projet'!$B$12,Paramètres!$A$1:$I$89,3,0)*VLOOKUP('Données projet'!$B$12,Paramètres!$A$1:$I$89,5,0)</f>
        <v>64.509818717201014</v>
      </c>
      <c r="CA17" s="13">
        <f t="shared" si="39"/>
        <v>18.303638959560171</v>
      </c>
      <c r="CB17" s="20">
        <f t="shared" si="10"/>
        <v>144.23343878702573</v>
      </c>
      <c r="CC17" s="57">
        <f t="shared" si="11"/>
        <v>437.56677212035902</v>
      </c>
      <c r="CD17" s="57">
        <f ca="1">AVERAGE(OFFSET($CC$3,0,0,'Données projet'!$E$12+1,1))-AVERAGE(OFFSET($H$3,0,0,'Données projet'!$E$12+1,1))</f>
        <v>462.54745364638171</v>
      </c>
      <c r="CE17" s="57">
        <f t="shared" si="40"/>
        <v>571.50914830067313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12.2</v>
      </c>
      <c r="CT17" s="12">
        <f>IF('Données projet'!$A$140&gt;35,CT16+CS17-DB16,IF(A17&lt;'Données projet'!$A$140,$CQ$205^A17,IF(A17='Données projet'!$A$140,'Données projet'!$B$140,CT16+CS17-DB16)))</f>
        <v>105.80000000000001</v>
      </c>
      <c r="CU17" s="17">
        <f>CT17*VLOOKUP('Données projet'!$B$13,Paramètres!$A$1:$I$89,3,0)*VLOOKUP('Données projet'!$B$13,Paramètres!$A$1:$I$89,5,0)</f>
        <v>100.67928000000002</v>
      </c>
      <c r="CV17" s="13">
        <f t="shared" si="41"/>
        <v>27.123762824785597</v>
      </c>
      <c r="CW17" s="20">
        <f t="shared" si="13"/>
        <v>222.5902995865016</v>
      </c>
      <c r="CX17" s="57">
        <f t="shared" si="14"/>
        <v>515.92363291983497</v>
      </c>
      <c r="CY17" s="57">
        <f ca="1">AVERAGE(OFFSET($CX$3,0,0,'Données projet'!$E$13+1,1))-AVERAGE(OFFSET($H$3,0,0,'Données projet'!$E$13+1,1))</f>
        <v>314.67680626853303</v>
      </c>
      <c r="CZ17" s="57">
        <f t="shared" si="42"/>
        <v>372.57247561536263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10.8</v>
      </c>
      <c r="DO17" s="12">
        <f>IF('Données projet'!$A$166&gt;35,DO16+DN17-DW16,IF(A17&lt;'Données projet'!$A$166,$DL$205^A17,IF(A17='Données projet'!$A$166,'Données projet'!$B$166,DO16+DN17-DW16)))</f>
        <v>54.2</v>
      </c>
      <c r="DP17" s="17">
        <f>DO17*VLOOKUP('Données projet'!$B$14,Paramètres!$A$1:$I$89,3,0)*VLOOKUP('Données projet'!$B$14,Paramètres!$A$1:$I$89,5,0)</f>
        <v>35.511839999999999</v>
      </c>
      <c r="DQ17" s="13">
        <f t="shared" si="43"/>
        <v>10.800946192888624</v>
      </c>
      <c r="DR17" s="20">
        <f t="shared" si="16"/>
        <v>80.661435952614355</v>
      </c>
      <c r="DS17" s="57">
        <f t="shared" si="17"/>
        <v>373.99476928594765</v>
      </c>
      <c r="DT17" s="57">
        <f ca="1">AVERAGE(OFFSET($DS$3,0,0,'Données projet'!$E$14+1,1))-AVERAGE(OFFSET($H$3,0,0,'Données projet'!$E$14+1,1))</f>
        <v>188.80259324758066</v>
      </c>
      <c r="DU17" s="57">
        <f t="shared" si="44"/>
        <v>195.48048518255354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10.8</v>
      </c>
      <c r="EJ17" s="12">
        <f>IF('Données projet'!$A$192&gt;35,EJ16+EI17-ER16,IF(A17&lt;'Données projet'!$A$192,$EG$205^A17,IF(A17='Données projet'!$A$192,'Données projet'!$B$192,EJ16+EI17-ER16)))</f>
        <v>54.2</v>
      </c>
      <c r="EK17" s="17">
        <f>EJ17*VLOOKUP('Données projet'!$B$15,Paramètres!$A$1:$I$89,3,0)*VLOOKUP('Données projet'!$B$15,Paramètres!$A$1:$I$89,5,0)</f>
        <v>43.967040000000004</v>
      </c>
      <c r="EL17" s="13">
        <f t="shared" si="45"/>
        <v>13.04425511497986</v>
      </c>
      <c r="EM17" s="20">
        <f t="shared" si="19"/>
        <v>99.294672325256599</v>
      </c>
      <c r="EN17" s="57">
        <f t="shared" si="20"/>
        <v>392.62800565858993</v>
      </c>
      <c r="EO17" s="57">
        <f ca="1">AVERAGE(OFFSET($EN$3,0,0,'Données projet'!$E$15+1,1))-AVERAGE(OFFSET($H$3,0,0,'Données projet'!$E$15+1,1))</f>
        <v>250.90550982248311</v>
      </c>
      <c r="EP17" s="57">
        <f t="shared" si="46"/>
        <v>254.68874167908001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7" t="e">
        <f t="shared" si="23"/>
        <v>#N/A</v>
      </c>
      <c r="FJ17" s="57" t="e">
        <f ca="1">AVERAGE(OFFSET($FI$3,0,0,'Données projet'!$E$16+1,1))-AVERAGE(OFFSET($H$3,0,0,'Données projet'!$E$16+1,1))</f>
        <v>#N/A</v>
      </c>
      <c r="FK17" s="57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7" t="e">
        <f t="shared" si="26"/>
        <v>#N/A</v>
      </c>
      <c r="GE17" s="57" t="e">
        <f ca="1">AVERAGE(OFFSET($GD$3,0,0,'Données projet'!$E$17+1,1))-AVERAGE(OFFSET($H$3,0,0,'Données projet'!$E$17+1,1))</f>
        <v>#N/A</v>
      </c>
      <c r="GF17" s="57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7" t="e">
        <f t="shared" si="29"/>
        <v>#N/A</v>
      </c>
      <c r="GZ17" s="57" t="e">
        <f ca="1">AVERAGE(OFFSET($GY$3,0,0,'Données projet'!$E$18+1,1))-AVERAGE(OFFSET($H$3,0,0,'Données projet'!$E$18+1,1))</f>
        <v>#N/A</v>
      </c>
      <c r="HA17" s="57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0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4">
        <f t="shared" si="1"/>
        <v>323.95183439748814</v>
      </c>
      <c r="I18" s="6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21.03829319564419</v>
      </c>
      <c r="P18" s="13">
        <f t="shared" si="33"/>
        <v>6.8008648676982615</v>
      </c>
      <c r="Q18" s="20">
        <f t="shared" si="2"/>
        <v>48.486533626988098</v>
      </c>
      <c r="R18" s="57">
        <f t="shared" si="0"/>
        <v>341.81986696032141</v>
      </c>
      <c r="S18" s="57">
        <f ca="1">AVERAGE(OFFSET($R$3,0,0,'Données projet'!$E$9+1,1))-AVERAGE(OFFSET($H$3,0,0,'Données projet'!$E$9+1,1))</f>
        <v>267.44861001389006</v>
      </c>
      <c r="T18" s="57">
        <f t="shared" si="34"/>
        <v>165.25921510802965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22.596685284210423</v>
      </c>
      <c r="AK18" s="13">
        <f t="shared" si="35"/>
        <v>7.2441259820371586</v>
      </c>
      <c r="AL18" s="20">
        <f t="shared" si="4"/>
        <v>51.972746288714539</v>
      </c>
      <c r="AM18" s="57">
        <f t="shared" si="5"/>
        <v>345.30607962204783</v>
      </c>
      <c r="AN18" s="57">
        <f ca="1">AVERAGE(OFFSET($AM$3,0,0,'Données projet'!$E$10+1,1))-AVERAGE(OFFSET($H$3,0,0,'Données projet'!$E$10+1,1))</f>
        <v>294.92430430387071</v>
      </c>
      <c r="AO18" s="57">
        <f t="shared" si="36"/>
        <v>181.52228471516497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65</v>
      </c>
      <c r="BB18" s="12">
        <f>VLOOKUP(A18,'Données projet'!$A$87:$I$107,9,0)</f>
        <v>10.8</v>
      </c>
      <c r="BC18" s="12">
        <f t="array" ref="BC18">INDEX(BB:BB,MIN(IF(ISNUMBER(BB18:BB214),ROW(BB18:BB214),"")))</f>
        <v>10.8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52.728000000000009</v>
      </c>
      <c r="BF18" s="13">
        <f t="shared" si="37"/>
        <v>15.316084592505286</v>
      </c>
      <c r="BG18" s="20">
        <f t="shared" si="7"/>
        <v>118.51011399861339</v>
      </c>
      <c r="BH18" s="57">
        <f t="shared" si="8"/>
        <v>411.84344733194672</v>
      </c>
      <c r="BI18" s="57">
        <f ca="1">AVERAGE(OFFSET($BH$3,0,0,'Données projet'!$E$11+1,1))-AVERAGE(OFFSET($H$3,0,0,'Données projet'!$E$11+1,1))</f>
        <v>250.90550982248311</v>
      </c>
      <c r="BJ18" s="57">
        <f t="shared" si="38"/>
        <v>254.68874167908001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162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162</v>
      </c>
      <c r="BZ18" s="13">
        <f>BY18*VLOOKUP('Données projet'!$B$12,Paramètres!$A$1:$I$89,3,0)*VLOOKUP('Données projet'!$B$12,Paramètres!$A$1:$I$89,5,0)</f>
        <v>90.557999999999993</v>
      </c>
      <c r="CA18" s="13">
        <f t="shared" si="39"/>
        <v>24.699752708509138</v>
      </c>
      <c r="CB18" s="20">
        <f t="shared" si="10"/>
        <v>200.74058596732007</v>
      </c>
      <c r="CC18" s="57">
        <f t="shared" si="11"/>
        <v>494.07391930065342</v>
      </c>
      <c r="CD18" s="57">
        <f ca="1">AVERAGE(OFFSET($CC$3,0,0,'Données projet'!$E$12+1,1))-AVERAGE(OFFSET($H$3,0,0,'Données projet'!$E$12+1,1))</f>
        <v>462.54745364638171</v>
      </c>
      <c r="CE18" s="57">
        <f t="shared" si="40"/>
        <v>571.50914830067313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118</v>
      </c>
      <c r="CR18" s="12">
        <f>VLOOKUP(A18,'Données projet'!$A$139:$I$159,9,0)</f>
        <v>12.2</v>
      </c>
      <c r="CS18" s="12">
        <f t="array" ref="CS18">INDEX(CR:CR,MIN(IF(ISNUMBER(CR18:CR214),ROW(CR18:CR214),"")))</f>
        <v>12.2</v>
      </c>
      <c r="CT18" s="12">
        <f>IF('Données projet'!$A$140&gt;35,CT17+CS18-DB17,IF(A18&lt;'Données projet'!$A$140,$CQ$205^A18,IF(A18='Données projet'!$A$140,'Données projet'!$B$140,CT17+CS18-DB17)))</f>
        <v>118.00000000000001</v>
      </c>
      <c r="CU18" s="17">
        <f>CT18*VLOOKUP('Données projet'!$B$13,Paramètres!$A$1:$I$89,3,0)*VLOOKUP('Données projet'!$B$13,Paramètres!$A$1:$I$89,5,0)</f>
        <v>112.28880000000001</v>
      </c>
      <c r="CV18" s="13">
        <f t="shared" si="41"/>
        <v>29.869595672288149</v>
      </c>
      <c r="CW18" s="20">
        <f t="shared" si="13"/>
        <v>247.59253912923518</v>
      </c>
      <c r="CX18" s="57">
        <f t="shared" si="14"/>
        <v>540.92587246256846</v>
      </c>
      <c r="CY18" s="57">
        <f ca="1">AVERAGE(OFFSET($CX$3,0,0,'Données projet'!$E$13+1,1))-AVERAGE(OFFSET($H$3,0,0,'Données projet'!$E$13+1,1))</f>
        <v>314.67680626853303</v>
      </c>
      <c r="CZ18" s="57">
        <f t="shared" si="42"/>
        <v>372.57247561536263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17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65</v>
      </c>
      <c r="DM18" s="12">
        <f>VLOOKUP(A18,'Données projet'!$A$165:$I$185,9,0)</f>
        <v>10.8</v>
      </c>
      <c r="DN18" s="12">
        <f t="array" ref="DN18">INDEX(DM:DM,MIN(IF(ISNUMBER(DM18:DM214),ROW(DM18:DM214),"")))</f>
        <v>10.8</v>
      </c>
      <c r="DO18" s="12">
        <f>IF('Données projet'!$A$166&gt;35,DO17+DN18-DW17,IF(A18&lt;'Données projet'!$A$166,$DL$205^A18,IF(A18='Données projet'!$A$166,'Données projet'!$B$166,DO17+DN18-DW17)))</f>
        <v>65</v>
      </c>
      <c r="DP18" s="17">
        <f>DO18*VLOOKUP('Données projet'!$B$14,Paramètres!$A$1:$I$89,3,0)*VLOOKUP('Données projet'!$B$14,Paramètres!$A$1:$I$89,5,0)</f>
        <v>42.588000000000001</v>
      </c>
      <c r="DQ18" s="13">
        <f t="shared" si="43"/>
        <v>12.682073764365764</v>
      </c>
      <c r="DR18" s="20">
        <f t="shared" si="16"/>
        <v>96.262045139603686</v>
      </c>
      <c r="DS18" s="57">
        <f t="shared" si="17"/>
        <v>389.595378472937</v>
      </c>
      <c r="DT18" s="57">
        <f ca="1">AVERAGE(OFFSET($DS$3,0,0,'Données projet'!$E$14+1,1))-AVERAGE(OFFSET($H$3,0,0,'Données projet'!$E$14+1,1))</f>
        <v>188.80259324758066</v>
      </c>
      <c r="DU18" s="57">
        <f t="shared" si="44"/>
        <v>195.48048518255354</v>
      </c>
      <c r="DV18" s="15">
        <f>IF(ISNA(VLOOKUP(A18,'Données projet'!$A$165:$I$185,3,0)),0,VLOOKUP(A18,'Données projet'!$A$165:$I$185,3,0))</f>
        <v>1</v>
      </c>
      <c r="DW18" s="15">
        <f>IF(ISNA(VLOOKUP(A18,'Données projet'!$A$165:$I$185,4,0)),0,VLOOKUP(A18,'Données projet'!$A$165:$I$185,4,0))</f>
        <v>32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65</v>
      </c>
      <c r="EH18" s="12">
        <f>VLOOKUP(A18,'Données projet'!$A$191:$I$211,9,0)</f>
        <v>10.8</v>
      </c>
      <c r="EI18" s="12">
        <f t="array" ref="EI18">INDEX(EH:EH,MIN(IF(ISNUMBER(EH18:EH214),ROW(EH18:EH214),"")))</f>
        <v>10.8</v>
      </c>
      <c r="EJ18" s="12">
        <f>IF('Données projet'!$A$192&gt;35,EJ17+EI18-ER17,IF(A18&lt;'Données projet'!$A$192,$EG$205^A18,IF(A18='Données projet'!$A$192,'Données projet'!$B$192,EJ17+EI18-ER17)))</f>
        <v>65</v>
      </c>
      <c r="EK18" s="17">
        <f>EJ18*VLOOKUP('Données projet'!$B$15,Paramètres!$A$1:$I$89,3,0)*VLOOKUP('Données projet'!$B$15,Paramètres!$A$1:$I$89,5,0)</f>
        <v>52.728000000000009</v>
      </c>
      <c r="EL18" s="13">
        <f t="shared" si="45"/>
        <v>15.316084592505286</v>
      </c>
      <c r="EM18" s="20">
        <f t="shared" si="19"/>
        <v>118.51011399861339</v>
      </c>
      <c r="EN18" s="57">
        <f t="shared" si="20"/>
        <v>411.84344733194672</v>
      </c>
      <c r="EO18" s="57">
        <f ca="1">AVERAGE(OFFSET($EN$3,0,0,'Données projet'!$E$15+1,1))-AVERAGE(OFFSET($H$3,0,0,'Données projet'!$E$15+1,1))</f>
        <v>250.90550982248311</v>
      </c>
      <c r="EP18" s="57">
        <f t="shared" si="46"/>
        <v>254.68874167908001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32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7" t="e">
        <f t="shared" si="23"/>
        <v>#N/A</v>
      </c>
      <c r="FJ18" s="57" t="e">
        <f ca="1">AVERAGE(OFFSET($FI$3,0,0,'Données projet'!$E$16+1,1))-AVERAGE(OFFSET($H$3,0,0,'Données projet'!$E$16+1,1))</f>
        <v>#N/A</v>
      </c>
      <c r="FK18" s="57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7" t="e">
        <f t="shared" si="26"/>
        <v>#N/A</v>
      </c>
      <c r="GE18" s="57" t="e">
        <f ca="1">AVERAGE(OFFSET($GD$3,0,0,'Données projet'!$E$17+1,1))-AVERAGE(OFFSET($H$3,0,0,'Données projet'!$E$17+1,1))</f>
        <v>#N/A</v>
      </c>
      <c r="GF18" s="57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7" t="e">
        <f t="shared" si="29"/>
        <v>#N/A</v>
      </c>
      <c r="GZ18" s="57" t="e">
        <f ca="1">AVERAGE(OFFSET($GY$3,0,0,'Données projet'!$E$18+1,1))-AVERAGE(OFFSET($H$3,0,0,'Données projet'!$E$18+1,1))</f>
        <v>#N/A</v>
      </c>
      <c r="HA18" s="57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0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4">
        <f t="shared" si="1"/>
        <v>325.93083409915766</v>
      </c>
      <c r="I19" s="6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26.072138005225284</v>
      </c>
      <c r="P19" s="13">
        <f t="shared" si="33"/>
        <v>8.2202636982343371</v>
      </c>
      <c r="Q19" s="20">
        <f t="shared" si="2"/>
        <v>59.725932966858835</v>
      </c>
      <c r="R19" s="57">
        <f t="shared" si="0"/>
        <v>353.05926630019212</v>
      </c>
      <c r="S19" s="57">
        <f ca="1">AVERAGE(OFFSET($R$3,0,0,'Données projet'!$E$9+1,1))-AVERAGE(OFFSET($H$3,0,0,'Données projet'!$E$9+1,1))</f>
        <v>267.44861001389006</v>
      </c>
      <c r="T19" s="57">
        <f t="shared" si="34"/>
        <v>165.25921510802965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28.003407487093821</v>
      </c>
      <c r="AK19" s="13">
        <f t="shared" si="35"/>
        <v>8.7560372090925433</v>
      </c>
      <c r="AL19" s="20">
        <f t="shared" si="4"/>
        <v>64.022699512524582</v>
      </c>
      <c r="AM19" s="57">
        <f t="shared" si="5"/>
        <v>357.3560328458579</v>
      </c>
      <c r="AN19" s="57">
        <f ca="1">AVERAGE(OFFSET($AM$3,0,0,'Données projet'!$E$10+1,1))-AVERAGE(OFFSET($H$3,0,0,'Données projet'!$E$10+1,1))</f>
        <v>294.92430430387071</v>
      </c>
      <c r="AO19" s="57">
        <f t="shared" si="36"/>
        <v>181.52228471516497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37.96416</v>
      </c>
      <c r="BF19" s="13">
        <f t="shared" si="37"/>
        <v>11.457417801534429</v>
      </c>
      <c r="BG19" s="20">
        <f t="shared" si="7"/>
        <v>86.075914671005776</v>
      </c>
      <c r="BH19" s="57">
        <f t="shared" si="8"/>
        <v>379.40924800433908</v>
      </c>
      <c r="BI19" s="57">
        <f ca="1">AVERAGE(OFFSET($BH$3,0,0,'Données projet'!$E$11+1,1))-AVERAGE(OFFSET($H$3,0,0,'Données projet'!$E$11+1,1))</f>
        <v>250.90550982248311</v>
      </c>
      <c r="BJ19" s="57">
        <f t="shared" si="38"/>
        <v>254.68874167908001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28.2</v>
      </c>
      <c r="BY19" s="12">
        <f>IF('Données projet'!$A$114&gt;35,BY18+BX19-CG18,IF(A19&lt;'Données projet'!$A$114,$BV$205^A19,IF(A19='Données projet'!$A$114,'Données projet'!$B$114,BY18+BX19-CG18)))</f>
        <v>190.2</v>
      </c>
      <c r="BZ19" s="13">
        <f>BY19*VLOOKUP('Données projet'!$B$12,Paramètres!$A$1:$I$89,3,0)*VLOOKUP('Données projet'!$B$12,Paramètres!$A$1:$I$89,5,0)</f>
        <v>106.32179999999998</v>
      </c>
      <c r="CA19" s="13">
        <f t="shared" si="39"/>
        <v>28.462664081653866</v>
      </c>
      <c r="CB19" s="20">
        <f t="shared" si="10"/>
        <v>234.7496082755471</v>
      </c>
      <c r="CC19" s="57">
        <f t="shared" si="11"/>
        <v>528.08294160888045</v>
      </c>
      <c r="CD19" s="57">
        <f ca="1">AVERAGE(OFFSET($CC$3,0,0,'Données projet'!$E$12+1,1))-AVERAGE(OFFSET($H$3,0,0,'Données projet'!$E$12+1,1))</f>
        <v>462.54745364638171</v>
      </c>
      <c r="CE19" s="57">
        <f t="shared" si="40"/>
        <v>571.50914830067313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11.4</v>
      </c>
      <c r="CT19" s="12">
        <f>IF('Données projet'!$A$140&gt;35,CT18+CS19-DB18,IF(A19&lt;'Données projet'!$A$140,$CQ$205^A19,IF(A19='Données projet'!$A$140,'Données projet'!$B$140,CT18+CS19-DB18)))</f>
        <v>112.4</v>
      </c>
      <c r="CU19" s="17">
        <f>CT19*VLOOKUP('Données projet'!$B$13,Paramètres!$A$1:$I$89,3,0)*VLOOKUP('Données projet'!$B$13,Paramètres!$A$1:$I$89,5,0)</f>
        <v>106.95984000000001</v>
      </c>
      <c r="CV19" s="13">
        <f t="shared" si="41"/>
        <v>28.613534977813039</v>
      </c>
      <c r="CW19" s="20">
        <f t="shared" si="13"/>
        <v>236.12362808635771</v>
      </c>
      <c r="CX19" s="57">
        <f t="shared" si="14"/>
        <v>529.45696141969097</v>
      </c>
      <c r="CY19" s="57">
        <f ca="1">AVERAGE(OFFSET($CX$3,0,0,'Données projet'!$E$13+1,1))-AVERAGE(OFFSET($H$3,0,0,'Données projet'!$E$13+1,1))</f>
        <v>314.67680626853303</v>
      </c>
      <c r="CZ19" s="57">
        <f t="shared" si="42"/>
        <v>372.57247561536263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13.8</v>
      </c>
      <c r="DO19" s="12">
        <f>IF('Données projet'!$A$166&gt;35,DO18+DN19-DW18,IF(A19&lt;'Données projet'!$A$166,$DL$205^A19,IF(A19='Données projet'!$A$166,'Données projet'!$B$166,DO18+DN19-DW18)))</f>
        <v>46.8</v>
      </c>
      <c r="DP19" s="17">
        <f>DO19*VLOOKUP('Données projet'!$B$14,Paramètres!$A$1:$I$89,3,0)*VLOOKUP('Données projet'!$B$14,Paramètres!$A$1:$I$89,5,0)</f>
        <v>30.663360000000001</v>
      </c>
      <c r="DQ19" s="13">
        <f t="shared" si="43"/>
        <v>9.4870080424679557</v>
      </c>
      <c r="DR19" s="20">
        <f t="shared" si="16"/>
        <v>69.928557673965017</v>
      </c>
      <c r="DS19" s="57">
        <f t="shared" si="17"/>
        <v>363.26189100729835</v>
      </c>
      <c r="DT19" s="57">
        <f ca="1">AVERAGE(OFFSET($DS$3,0,0,'Données projet'!$E$14+1,1))-AVERAGE(OFFSET($H$3,0,0,'Données projet'!$E$14+1,1))</f>
        <v>188.80259324758066</v>
      </c>
      <c r="DU19" s="57">
        <f t="shared" si="44"/>
        <v>195.48048518255354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13.8</v>
      </c>
      <c r="EJ19" s="12">
        <f>IF('Données projet'!$A$192&gt;35,EJ18+EI19-ER18,IF(A19&lt;'Données projet'!$A$192,$EG$205^A19,IF(A19='Données projet'!$A$192,'Données projet'!$B$192,EJ18+EI19-ER18)))</f>
        <v>46.8</v>
      </c>
      <c r="EK19" s="17">
        <f>EJ19*VLOOKUP('Données projet'!$B$15,Paramètres!$A$1:$I$89,3,0)*VLOOKUP('Données projet'!$B$15,Paramètres!$A$1:$I$89,5,0)</f>
        <v>37.96416</v>
      </c>
      <c r="EL19" s="13">
        <f t="shared" si="45"/>
        <v>11.457417801534429</v>
      </c>
      <c r="EM19" s="20">
        <f t="shared" si="19"/>
        <v>86.075914671005776</v>
      </c>
      <c r="EN19" s="57">
        <f t="shared" si="20"/>
        <v>379.40924800433908</v>
      </c>
      <c r="EO19" s="57">
        <f ca="1">AVERAGE(OFFSET($EN$3,0,0,'Données projet'!$E$15+1,1))-AVERAGE(OFFSET($H$3,0,0,'Données projet'!$E$15+1,1))</f>
        <v>250.90550982248311</v>
      </c>
      <c r="EP19" s="57">
        <f t="shared" si="46"/>
        <v>254.68874167908001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7" t="e">
        <f t="shared" si="23"/>
        <v>#N/A</v>
      </c>
      <c r="FJ19" s="57" t="e">
        <f ca="1">AVERAGE(OFFSET($FI$3,0,0,'Données projet'!$E$16+1,1))-AVERAGE(OFFSET($H$3,0,0,'Données projet'!$E$16+1,1))</f>
        <v>#N/A</v>
      </c>
      <c r="FK19" s="57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7" t="e">
        <f t="shared" si="26"/>
        <v>#N/A</v>
      </c>
      <c r="GE19" s="57" t="e">
        <f ca="1">AVERAGE(OFFSET($GD$3,0,0,'Données projet'!$E$17+1,1))-AVERAGE(OFFSET($H$3,0,0,'Données projet'!$E$17+1,1))</f>
        <v>#N/A</v>
      </c>
      <c r="GF19" s="57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7" t="e">
        <f t="shared" si="29"/>
        <v>#N/A</v>
      </c>
      <c r="GZ19" s="57" t="e">
        <f ca="1">AVERAGE(OFFSET($GY$3,0,0,'Données projet'!$E$18+1,1))-AVERAGE(OFFSET($H$3,0,0,'Données projet'!$E$18+1,1))</f>
        <v>#N/A</v>
      </c>
      <c r="HA19" s="57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0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4">
        <f t="shared" si="1"/>
        <v>327.90651543290716</v>
      </c>
      <c r="I20" s="6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32.310433828550828</v>
      </c>
      <c r="P20" s="13">
        <f t="shared" si="33"/>
        <v>9.9359032392271498</v>
      </c>
      <c r="Q20" s="20">
        <f t="shared" si="2"/>
        <v>73.579037059713301</v>
      </c>
      <c r="R20" s="57">
        <f t="shared" si="0"/>
        <v>366.91237039304661</v>
      </c>
      <c r="S20" s="57">
        <f ca="1">AVERAGE(OFFSET($R$3,0,0,'Données projet'!$E$9+1,1))-AVERAGE(OFFSET($H$3,0,0,'Données projet'!$E$9+1,1))</f>
        <v>267.44861001389006</v>
      </c>
      <c r="T20" s="57">
        <f t="shared" si="34"/>
        <v>165.25921510802965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34.703799297332367</v>
      </c>
      <c r="AK20" s="13">
        <f t="shared" si="35"/>
        <v>10.583497277259243</v>
      </c>
      <c r="AL20" s="20">
        <f t="shared" si="4"/>
        <v>78.875374867413711</v>
      </c>
      <c r="AM20" s="57">
        <f t="shared" si="5"/>
        <v>372.20870820074703</v>
      </c>
      <c r="AN20" s="57">
        <f ca="1">AVERAGE(OFFSET($AM$3,0,0,'Données projet'!$E$10+1,1))-AVERAGE(OFFSET($H$3,0,0,'Données projet'!$E$10+1,1))</f>
        <v>294.92430430387071</v>
      </c>
      <c r="AO20" s="57">
        <f t="shared" si="36"/>
        <v>181.52228471516497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49.158719999999995</v>
      </c>
      <c r="BF20" s="13">
        <f t="shared" si="37"/>
        <v>14.396281334716242</v>
      </c>
      <c r="BG20" s="20">
        <f t="shared" si="7"/>
        <v>110.69162732463077</v>
      </c>
      <c r="BH20" s="57">
        <f t="shared" si="8"/>
        <v>404.02496065796407</v>
      </c>
      <c r="BI20" s="57">
        <f ca="1">AVERAGE(OFFSET($BH$3,0,0,'Données projet'!$E$11+1,1))-AVERAGE(OFFSET($H$3,0,0,'Données projet'!$E$11+1,1))</f>
        <v>250.90550982248311</v>
      </c>
      <c r="BJ20" s="57">
        <f t="shared" si="38"/>
        <v>254.68874167908001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28.2</v>
      </c>
      <c r="BY20" s="12">
        <f>IF('Données projet'!$A$114&gt;35,BY19+BX20-CG19,IF(A20&lt;'Données projet'!$A$114,$BV$205^A20,IF(A20='Données projet'!$A$114,'Données projet'!$B$114,BY19+BX20-CG19)))</f>
        <v>218.39999999999998</v>
      </c>
      <c r="BZ20" s="13">
        <f>BY20*VLOOKUP('Données projet'!$B$12,Paramètres!$A$1:$I$89,3,0)*VLOOKUP('Données projet'!$B$12,Paramètres!$A$1:$I$89,5,0)</f>
        <v>122.0856</v>
      </c>
      <c r="CA20" s="13">
        <f t="shared" si="39"/>
        <v>32.160942364346717</v>
      </c>
      <c r="CB20" s="20">
        <f t="shared" si="10"/>
        <v>268.64606128457052</v>
      </c>
      <c r="CC20" s="57">
        <f t="shared" si="11"/>
        <v>561.97939461790384</v>
      </c>
      <c r="CD20" s="57">
        <f ca="1">AVERAGE(OFFSET($CC$3,0,0,'Données projet'!$E$12+1,1))-AVERAGE(OFFSET($H$3,0,0,'Données projet'!$E$12+1,1))</f>
        <v>462.54745364638171</v>
      </c>
      <c r="CE20" s="57">
        <f t="shared" si="40"/>
        <v>571.50914830067313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11.4</v>
      </c>
      <c r="CT20" s="12">
        <f>IF('Données projet'!$A$140&gt;35,CT19+CS20-DB19,IF(A20&lt;'Données projet'!$A$140,$CQ$205^A20,IF(A20='Données projet'!$A$140,'Données projet'!$B$140,CT19+CS20-DB19)))</f>
        <v>123.80000000000001</v>
      </c>
      <c r="CU20" s="17">
        <f>CT20*VLOOKUP('Données projet'!$B$13,Paramètres!$A$1:$I$89,3,0)*VLOOKUP('Données projet'!$B$13,Paramètres!$A$1:$I$89,5,0)</f>
        <v>117.80808</v>
      </c>
      <c r="CV20" s="13">
        <f t="shared" si="41"/>
        <v>31.163222740883366</v>
      </c>
      <c r="CW20" s="20">
        <f t="shared" si="13"/>
        <v>259.4583522737052</v>
      </c>
      <c r="CX20" s="57">
        <f t="shared" si="14"/>
        <v>552.79168560703852</v>
      </c>
      <c r="CY20" s="57">
        <f ca="1">AVERAGE(OFFSET($CX$3,0,0,'Données projet'!$E$13+1,1))-AVERAGE(OFFSET($H$3,0,0,'Données projet'!$E$13+1,1))</f>
        <v>314.67680626853303</v>
      </c>
      <c r="CZ20" s="57">
        <f t="shared" si="42"/>
        <v>372.57247561536263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13.8</v>
      </c>
      <c r="DO20" s="12">
        <f>IF('Données projet'!$A$166&gt;35,DO19+DN20-DW19,IF(A20&lt;'Données projet'!$A$166,$DL$205^A20,IF(A20='Données projet'!$A$166,'Données projet'!$B$166,DO19+DN20-DW19)))</f>
        <v>60.599999999999994</v>
      </c>
      <c r="DP20" s="17">
        <f>DO20*VLOOKUP('Données projet'!$B$14,Paramètres!$A$1:$I$89,3,0)*VLOOKUP('Données projet'!$B$14,Paramètres!$A$1:$I$89,5,0)</f>
        <v>39.705120000000001</v>
      </c>
      <c r="DQ20" s="13">
        <f t="shared" si="43"/>
        <v>11.920455304143069</v>
      </c>
      <c r="DR20" s="20">
        <f t="shared" si="16"/>
        <v>89.914543654715828</v>
      </c>
      <c r="DS20" s="57">
        <f t="shared" si="17"/>
        <v>383.24787698804914</v>
      </c>
      <c r="DT20" s="57">
        <f ca="1">AVERAGE(OFFSET($DS$3,0,0,'Données projet'!$E$14+1,1))-AVERAGE(OFFSET($H$3,0,0,'Données projet'!$E$14+1,1))</f>
        <v>188.80259324758066</v>
      </c>
      <c r="DU20" s="57">
        <f t="shared" si="44"/>
        <v>195.48048518255354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13.8</v>
      </c>
      <c r="EJ20" s="12">
        <f>IF('Données projet'!$A$192&gt;35,EJ19+EI20-ER19,IF(A20&lt;'Données projet'!$A$192,$EG$205^A20,IF(A20='Données projet'!$A$192,'Données projet'!$B$192,EJ19+EI20-ER19)))</f>
        <v>60.599999999999994</v>
      </c>
      <c r="EK20" s="17">
        <f>EJ20*VLOOKUP('Données projet'!$B$15,Paramètres!$A$1:$I$89,3,0)*VLOOKUP('Données projet'!$B$15,Paramètres!$A$1:$I$89,5,0)</f>
        <v>49.158719999999995</v>
      </c>
      <c r="EL20" s="13">
        <f t="shared" si="45"/>
        <v>14.396281334716242</v>
      </c>
      <c r="EM20" s="20">
        <f t="shared" si="19"/>
        <v>110.69162732463077</v>
      </c>
      <c r="EN20" s="57">
        <f t="shared" si="20"/>
        <v>404.02496065796407</v>
      </c>
      <c r="EO20" s="57">
        <f ca="1">AVERAGE(OFFSET($EN$3,0,0,'Données projet'!$E$15+1,1))-AVERAGE(OFFSET($H$3,0,0,'Données projet'!$E$15+1,1))</f>
        <v>250.90550982248311</v>
      </c>
      <c r="EP20" s="57">
        <f t="shared" si="46"/>
        <v>254.68874167908001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7" t="e">
        <f t="shared" si="23"/>
        <v>#N/A</v>
      </c>
      <c r="FJ20" s="57" t="e">
        <f ca="1">AVERAGE(OFFSET($FI$3,0,0,'Données projet'!$E$16+1,1))-AVERAGE(OFFSET($H$3,0,0,'Données projet'!$E$16+1,1))</f>
        <v>#N/A</v>
      </c>
      <c r="FK20" s="57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7" t="e">
        <f t="shared" si="26"/>
        <v>#N/A</v>
      </c>
      <c r="GE20" s="57" t="e">
        <f ca="1">AVERAGE(OFFSET($GD$3,0,0,'Données projet'!$E$17+1,1))-AVERAGE(OFFSET($H$3,0,0,'Données projet'!$E$17+1,1))</f>
        <v>#N/A</v>
      </c>
      <c r="GF20" s="57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7" t="e">
        <f t="shared" si="29"/>
        <v>#N/A</v>
      </c>
      <c r="GZ20" s="57" t="e">
        <f ca="1">AVERAGE(OFFSET($GY$3,0,0,'Données projet'!$E$18+1,1))-AVERAGE(OFFSET($H$3,0,0,'Données projet'!$E$18+1,1))</f>
        <v>#N/A</v>
      </c>
      <c r="HA20" s="57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0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4">
        <f t="shared" si="1"/>
        <v>329.87909583157108</v>
      </c>
      <c r="I21" s="6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40.041370369393334</v>
      </c>
      <c r="P21" s="13">
        <f t="shared" si="33"/>
        <v>12.009611467876571</v>
      </c>
      <c r="Q21" s="20">
        <f t="shared" si="2"/>
        <v>90.655460033245092</v>
      </c>
      <c r="R21" s="57">
        <f t="shared" si="0"/>
        <v>383.98879336657842</v>
      </c>
      <c r="S21" s="57">
        <f ca="1">AVERAGE(OFFSET($R$3,0,0,'Données projet'!$E$9+1,1))-AVERAGE(OFFSET($H$3,0,0,'Données projet'!$E$9+1,1))</f>
        <v>267.44861001389006</v>
      </c>
      <c r="T21" s="57">
        <f t="shared" si="34"/>
        <v>165.25921510802965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43.007397804163212</v>
      </c>
      <c r="AK21" s="13">
        <f t="shared" si="35"/>
        <v>12.792363936215189</v>
      </c>
      <c r="AL21" s="20">
        <f t="shared" si="4"/>
        <v>97.184585031159045</v>
      </c>
      <c r="AM21" s="57">
        <f t="shared" si="5"/>
        <v>390.51791836449235</v>
      </c>
      <c r="AN21" s="57">
        <f ca="1">AVERAGE(OFFSET($AM$3,0,0,'Données projet'!$E$10+1,1))-AVERAGE(OFFSET($H$3,0,0,'Données projet'!$E$10+1,1))</f>
        <v>294.92430430387071</v>
      </c>
      <c r="AO21" s="57">
        <f t="shared" si="36"/>
        <v>181.52228471516497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60.353279999999998</v>
      </c>
      <c r="BF21" s="13">
        <f t="shared" si="37"/>
        <v>17.257558739100197</v>
      </c>
      <c r="BG21" s="20">
        <f t="shared" si="7"/>
        <v>135.17221080393281</v>
      </c>
      <c r="BH21" s="57">
        <f t="shared" si="8"/>
        <v>428.50554413726616</v>
      </c>
      <c r="BI21" s="57">
        <f ca="1">AVERAGE(OFFSET($BH$3,0,0,'Données projet'!$E$11+1,1))-AVERAGE(OFFSET($H$3,0,0,'Données projet'!$E$11+1,1))</f>
        <v>250.90550982248311</v>
      </c>
      <c r="BJ21" s="57">
        <f t="shared" si="38"/>
        <v>254.68874167908001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28.2</v>
      </c>
      <c r="BY21" s="12">
        <f>IF('Données projet'!$A$114&gt;35,BY20+BX21-CG20,IF(A21&lt;'Données projet'!$A$114,$BV$205^A21,IF(A21='Données projet'!$A$114,'Données projet'!$B$114,BY20+BX21-CG20)))</f>
        <v>246.59999999999997</v>
      </c>
      <c r="BZ21" s="13">
        <f>BY21*VLOOKUP('Données projet'!$B$12,Paramètres!$A$1:$I$89,3,0)*VLOOKUP('Données projet'!$B$12,Paramètres!$A$1:$I$89,5,0)</f>
        <v>137.84939999999997</v>
      </c>
      <c r="CA21" s="13">
        <f t="shared" si="39"/>
        <v>35.803890229822542</v>
      </c>
      <c r="CB21" s="20">
        <f t="shared" si="10"/>
        <v>302.44614715027416</v>
      </c>
      <c r="CC21" s="57">
        <f t="shared" si="11"/>
        <v>595.77948048360747</v>
      </c>
      <c r="CD21" s="57">
        <f ca="1">AVERAGE(OFFSET($CC$3,0,0,'Données projet'!$E$12+1,1))-AVERAGE(OFFSET($H$3,0,0,'Données projet'!$E$12+1,1))</f>
        <v>462.54745364638171</v>
      </c>
      <c r="CE21" s="57">
        <f t="shared" si="40"/>
        <v>571.50914830067313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11.4</v>
      </c>
      <c r="CT21" s="12">
        <f>IF('Données projet'!$A$140&gt;35,CT20+CS21-DB20,IF(A21&lt;'Données projet'!$A$140,$CQ$205^A21,IF(A21='Données projet'!$A$140,'Données projet'!$B$140,CT20+CS21-DB20)))</f>
        <v>135.20000000000002</v>
      </c>
      <c r="CU21" s="17">
        <f>CT21*VLOOKUP('Données projet'!$B$13,Paramètres!$A$1:$I$89,3,0)*VLOOKUP('Données projet'!$B$13,Paramètres!$A$1:$I$89,5,0)</f>
        <v>128.65632000000002</v>
      </c>
      <c r="CV21" s="13">
        <f t="shared" si="41"/>
        <v>33.685686839545582</v>
      </c>
      <c r="CW21" s="20">
        <f t="shared" si="13"/>
        <v>282.74566191220862</v>
      </c>
      <c r="CX21" s="57">
        <f t="shared" si="14"/>
        <v>576.07899524554193</v>
      </c>
      <c r="CY21" s="57">
        <f ca="1">AVERAGE(OFFSET($CX$3,0,0,'Données projet'!$E$13+1,1))-AVERAGE(OFFSET($H$3,0,0,'Données projet'!$E$13+1,1))</f>
        <v>314.67680626853303</v>
      </c>
      <c r="CZ21" s="57">
        <f t="shared" si="42"/>
        <v>372.57247561536263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13.8</v>
      </c>
      <c r="DO21" s="12">
        <f>IF('Données projet'!$A$166&gt;35,DO20+DN21-DW20,IF(A21&lt;'Données projet'!$A$166,$DL$205^A21,IF(A21='Données projet'!$A$166,'Données projet'!$B$166,DO20+DN21-DW20)))</f>
        <v>74.399999999999991</v>
      </c>
      <c r="DP21" s="17">
        <f>DO21*VLOOKUP('Données projet'!$B$14,Paramètres!$A$1:$I$89,3,0)*VLOOKUP('Données projet'!$B$14,Paramètres!$A$1:$I$89,5,0)</f>
        <v>48.74687999999999</v>
      </c>
      <c r="DQ21" s="13">
        <f t="shared" si="43"/>
        <v>14.289659449206793</v>
      </c>
      <c r="DR21" s="20">
        <f t="shared" si="16"/>
        <v>109.78863954070181</v>
      </c>
      <c r="DS21" s="57">
        <f t="shared" si="17"/>
        <v>403.12197287403512</v>
      </c>
      <c r="DT21" s="57">
        <f ca="1">AVERAGE(OFFSET($DS$3,0,0,'Données projet'!$E$14+1,1))-AVERAGE(OFFSET($H$3,0,0,'Données projet'!$E$14+1,1))</f>
        <v>188.80259324758066</v>
      </c>
      <c r="DU21" s="57">
        <f t="shared" si="44"/>
        <v>195.48048518255354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13.8</v>
      </c>
      <c r="EJ21" s="12">
        <f>IF('Données projet'!$A$192&gt;35,EJ20+EI21-ER20,IF(A21&lt;'Données projet'!$A$192,$EG$205^A21,IF(A21='Données projet'!$A$192,'Données projet'!$B$192,EJ20+EI21-ER20)))</f>
        <v>74.399999999999991</v>
      </c>
      <c r="EK21" s="17">
        <f>EJ21*VLOOKUP('Données projet'!$B$15,Paramètres!$A$1:$I$89,3,0)*VLOOKUP('Données projet'!$B$15,Paramètres!$A$1:$I$89,5,0)</f>
        <v>60.353279999999998</v>
      </c>
      <c r="EL21" s="13">
        <f t="shared" si="45"/>
        <v>17.257558739100197</v>
      </c>
      <c r="EM21" s="20">
        <f t="shared" si="19"/>
        <v>135.17221080393281</v>
      </c>
      <c r="EN21" s="57">
        <f t="shared" si="20"/>
        <v>428.50554413726616</v>
      </c>
      <c r="EO21" s="57">
        <f ca="1">AVERAGE(OFFSET($EN$3,0,0,'Données projet'!$E$15+1,1))-AVERAGE(OFFSET($H$3,0,0,'Données projet'!$E$15+1,1))</f>
        <v>250.90550982248311</v>
      </c>
      <c r="EP21" s="57">
        <f t="shared" si="46"/>
        <v>254.68874167908001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7" t="e">
        <f t="shared" si="23"/>
        <v>#N/A</v>
      </c>
      <c r="FJ21" s="57" t="e">
        <f ca="1">AVERAGE(OFFSET($FI$3,0,0,'Données projet'!$E$16+1,1))-AVERAGE(OFFSET($H$3,0,0,'Données projet'!$E$16+1,1))</f>
        <v>#N/A</v>
      </c>
      <c r="FK21" s="57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7" t="e">
        <f t="shared" si="26"/>
        <v>#N/A</v>
      </c>
      <c r="GE21" s="57" t="e">
        <f ca="1">AVERAGE(OFFSET($GD$3,0,0,'Données projet'!$E$17+1,1))-AVERAGE(OFFSET($H$3,0,0,'Données projet'!$E$17+1,1))</f>
        <v>#N/A</v>
      </c>
      <c r="GF21" s="57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7" t="e">
        <f t="shared" si="29"/>
        <v>#N/A</v>
      </c>
      <c r="GZ21" s="57" t="e">
        <f ca="1">AVERAGE(OFFSET($GY$3,0,0,'Données projet'!$E$18+1,1))-AVERAGE(OFFSET($H$3,0,0,'Données projet'!$E$18+1,1))</f>
        <v>#N/A</v>
      </c>
      <c r="HA21" s="57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0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4">
        <f t="shared" si="1"/>
        <v>331.84876720429367</v>
      </c>
      <c r="I22" s="6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49.622092651760646</v>
      </c>
      <c r="P22" s="13">
        <f t="shared" si="33"/>
        <v>14.516120390537463</v>
      </c>
      <c r="Q22" s="20">
        <f t="shared" si="2"/>
        <v>111.70738771533587</v>
      </c>
      <c r="R22" s="57">
        <f t="shared" si="0"/>
        <v>405.04072104866918</v>
      </c>
      <c r="S22" s="57">
        <f ca="1">AVERAGE(OFFSET($R$3,0,0,'Données projet'!$E$9+1,1))-AVERAGE(OFFSET($H$3,0,0,'Données projet'!$E$9+1,1))</f>
        <v>267.44861001389006</v>
      </c>
      <c r="T22" s="57">
        <f t="shared" si="34"/>
        <v>165.25921510802965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53.297803218557732</v>
      </c>
      <c r="AK22" s="13">
        <f t="shared" si="35"/>
        <v>15.462240012873817</v>
      </c>
      <c r="AL22" s="20">
        <f t="shared" si="4"/>
        <v>119.75707529474329</v>
      </c>
      <c r="AM22" s="57">
        <f t="shared" si="5"/>
        <v>413.0904086280766</v>
      </c>
      <c r="AN22" s="57">
        <f ca="1">AVERAGE(OFFSET($AM$3,0,0,'Données projet'!$E$10+1,1))-AVERAGE(OFFSET($H$3,0,0,'Données projet'!$E$10+1,1))</f>
        <v>294.92430430387071</v>
      </c>
      <c r="AO22" s="57">
        <f t="shared" si="36"/>
        <v>181.52228471516497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71.547839999999994</v>
      </c>
      <c r="BF22" s="13">
        <f t="shared" si="37"/>
        <v>20.05735014974319</v>
      </c>
      <c r="BG22" s="20">
        <f t="shared" si="7"/>
        <v>159.54570617746938</v>
      </c>
      <c r="BH22" s="57">
        <f t="shared" si="8"/>
        <v>452.87903951080273</v>
      </c>
      <c r="BI22" s="57">
        <f ca="1">AVERAGE(OFFSET($BH$3,0,0,'Données projet'!$E$11+1,1))-AVERAGE(OFFSET($H$3,0,0,'Données projet'!$E$11+1,1))</f>
        <v>250.90550982248311</v>
      </c>
      <c r="BJ22" s="57">
        <f t="shared" si="38"/>
        <v>254.68874167908001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28.2</v>
      </c>
      <c r="BY22" s="12">
        <f>IF('Données projet'!$A$114&gt;35,BY21+BX22-CG21,IF(A22&lt;'Données projet'!$A$114,$BV$205^A22,IF(A22='Données projet'!$A$114,'Données projet'!$B$114,BY21+BX22-CG21)))</f>
        <v>274.79999999999995</v>
      </c>
      <c r="BZ22" s="13">
        <f>BY22*VLOOKUP('Données projet'!$B$12,Paramètres!$A$1:$I$89,3,0)*VLOOKUP('Données projet'!$B$12,Paramètres!$A$1:$I$89,5,0)</f>
        <v>153.61319999999998</v>
      </c>
      <c r="CA22" s="13">
        <f t="shared" si="39"/>
        <v>39.398557339898318</v>
      </c>
      <c r="CB22" s="20">
        <f t="shared" si="10"/>
        <v>336.16214403365615</v>
      </c>
      <c r="CC22" s="57">
        <f t="shared" si="11"/>
        <v>629.49547736698946</v>
      </c>
      <c r="CD22" s="57">
        <f ca="1">AVERAGE(OFFSET($CC$3,0,0,'Données projet'!$E$12+1,1))-AVERAGE(OFFSET($H$3,0,0,'Données projet'!$E$12+1,1))</f>
        <v>462.54745364638171</v>
      </c>
      <c r="CE22" s="57">
        <f t="shared" si="40"/>
        <v>571.50914830067313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11.4</v>
      </c>
      <c r="CT22" s="12">
        <f>IF('Données projet'!$A$140&gt;35,CT21+CS22-DB21,IF(A22&lt;'Données projet'!$A$140,$CQ$205^A22,IF(A22='Données projet'!$A$140,'Données projet'!$B$140,CT21+CS22-DB21)))</f>
        <v>146.60000000000002</v>
      </c>
      <c r="CU22" s="17">
        <f>CT22*VLOOKUP('Données projet'!$B$13,Paramètres!$A$1:$I$89,3,0)*VLOOKUP('Données projet'!$B$13,Paramètres!$A$1:$I$89,5,0)</f>
        <v>139.50456000000003</v>
      </c>
      <c r="CV22" s="13">
        <f t="shared" si="41"/>
        <v>36.183483741074348</v>
      </c>
      <c r="CW22" s="20">
        <f t="shared" si="13"/>
        <v>305.99000951570451</v>
      </c>
      <c r="CX22" s="57">
        <f t="shared" si="14"/>
        <v>599.32334284903777</v>
      </c>
      <c r="CY22" s="57">
        <f ca="1">AVERAGE(OFFSET($CX$3,0,0,'Données projet'!$E$13+1,1))-AVERAGE(OFFSET($H$3,0,0,'Données projet'!$E$13+1,1))</f>
        <v>314.67680626853303</v>
      </c>
      <c r="CZ22" s="57">
        <f t="shared" si="42"/>
        <v>372.57247561536263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13.8</v>
      </c>
      <c r="DO22" s="12">
        <f>IF('Données projet'!$A$166&gt;35,DO21+DN22-DW21,IF(A22&lt;'Données projet'!$A$166,$DL$205^A22,IF(A22='Données projet'!$A$166,'Données projet'!$B$166,DO21+DN22-DW21)))</f>
        <v>88.199999999999989</v>
      </c>
      <c r="DP22" s="17">
        <f>DO22*VLOOKUP('Données projet'!$B$14,Paramètres!$A$1:$I$89,3,0)*VLOOKUP('Données projet'!$B$14,Paramètres!$A$1:$I$89,5,0)</f>
        <v>57.788639999999994</v>
      </c>
      <c r="DQ22" s="13">
        <f t="shared" si="43"/>
        <v>16.607951763417912</v>
      </c>
      <c r="DR22" s="20">
        <f t="shared" si="16"/>
        <v>129.57406398795285</v>
      </c>
      <c r="DS22" s="57">
        <f t="shared" si="17"/>
        <v>422.90739732128617</v>
      </c>
      <c r="DT22" s="57">
        <f ca="1">AVERAGE(OFFSET($DS$3,0,0,'Données projet'!$E$14+1,1))-AVERAGE(OFFSET($H$3,0,0,'Données projet'!$E$14+1,1))</f>
        <v>188.80259324758066</v>
      </c>
      <c r="DU22" s="57">
        <f t="shared" si="44"/>
        <v>195.48048518255354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13.8</v>
      </c>
      <c r="EJ22" s="12">
        <f>IF('Données projet'!$A$192&gt;35,EJ21+EI22-ER21,IF(A22&lt;'Données projet'!$A$192,$EG$205^A22,IF(A22='Données projet'!$A$192,'Données projet'!$B$192,EJ21+EI22-ER21)))</f>
        <v>88.199999999999989</v>
      </c>
      <c r="EK22" s="17">
        <f>EJ22*VLOOKUP('Données projet'!$B$15,Paramètres!$A$1:$I$89,3,0)*VLOOKUP('Données projet'!$B$15,Paramètres!$A$1:$I$89,5,0)</f>
        <v>71.547839999999994</v>
      </c>
      <c r="EL22" s="13">
        <f t="shared" si="45"/>
        <v>20.05735014974319</v>
      </c>
      <c r="EM22" s="20">
        <f t="shared" si="19"/>
        <v>159.54570617746938</v>
      </c>
      <c r="EN22" s="57">
        <f t="shared" si="20"/>
        <v>452.87903951080273</v>
      </c>
      <c r="EO22" s="57">
        <f ca="1">AVERAGE(OFFSET($EN$3,0,0,'Données projet'!$E$15+1,1))-AVERAGE(OFFSET($H$3,0,0,'Données projet'!$E$15+1,1))</f>
        <v>250.90550982248311</v>
      </c>
      <c r="EP22" s="57">
        <f t="shared" si="46"/>
        <v>254.68874167908001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7" t="e">
        <f t="shared" si="23"/>
        <v>#N/A</v>
      </c>
      <c r="FJ22" s="57" t="e">
        <f ca="1">AVERAGE(OFFSET($FI$3,0,0,'Données projet'!$E$16+1,1))-AVERAGE(OFFSET($H$3,0,0,'Données projet'!$E$16+1,1))</f>
        <v>#N/A</v>
      </c>
      <c r="FK22" s="57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7" t="e">
        <f t="shared" si="26"/>
        <v>#N/A</v>
      </c>
      <c r="GE22" s="57" t="e">
        <f ca="1">AVERAGE(OFFSET($GD$3,0,0,'Données projet'!$E$17+1,1))-AVERAGE(OFFSET($H$3,0,0,'Données projet'!$E$17+1,1))</f>
        <v>#N/A</v>
      </c>
      <c r="GF22" s="57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7" t="e">
        <f t="shared" si="29"/>
        <v>#N/A</v>
      </c>
      <c r="GZ22" s="57" t="e">
        <f ca="1">AVERAGE(OFFSET($GY$3,0,0,'Données projet'!$E$18+1,1))-AVERAGE(OFFSET($H$3,0,0,'Données projet'!$E$18+1,1))</f>
        <v>#N/A</v>
      </c>
      <c r="HA22" s="57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0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4">
        <f t="shared" si="1"/>
        <v>333.81570011831167</v>
      </c>
      <c r="I23" s="6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61.495200000000004</v>
      </c>
      <c r="P23" s="13">
        <f t="shared" si="33"/>
        <v>17.545759224285259</v>
      </c>
      <c r="Q23" s="20">
        <f t="shared" si="2"/>
        <v>137.66300398229683</v>
      </c>
      <c r="R23" s="57">
        <f t="shared" si="0"/>
        <v>430.99633731563017</v>
      </c>
      <c r="S23" s="57">
        <f ca="1">AVERAGE(OFFSET($R$3,0,0,'Données projet'!$E$9+1,1))-AVERAGE(OFFSET($H$3,0,0,'Données projet'!$E$9+1,1))</f>
        <v>267.44861001389006</v>
      </c>
      <c r="T23" s="57">
        <f t="shared" si="34"/>
        <v>165.25921510802965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66.050399999999996</v>
      </c>
      <c r="AK23" s="13">
        <f t="shared" si="35"/>
        <v>18.689342126897891</v>
      </c>
      <c r="AL23" s="20">
        <f t="shared" si="4"/>
        <v>147.58838420434714</v>
      </c>
      <c r="AM23" s="57">
        <f t="shared" si="5"/>
        <v>440.92171753768048</v>
      </c>
      <c r="AN23" s="57">
        <f ca="1">AVERAGE(OFFSET($AM$3,0,0,'Données projet'!$E$10+1,1))-AVERAGE(OFFSET($H$3,0,0,'Données projet'!$E$10+1,1))</f>
        <v>294.92430430387071</v>
      </c>
      <c r="AO23" s="57">
        <f t="shared" si="36"/>
        <v>181.52228471516497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82.742399999999989</v>
      </c>
      <c r="BF23" s="13">
        <f t="shared" si="37"/>
        <v>22.806394174303204</v>
      </c>
      <c r="BG23" s="20">
        <f t="shared" si="7"/>
        <v>183.83081652024472</v>
      </c>
      <c r="BH23" s="57">
        <f t="shared" si="8"/>
        <v>477.16414985357801</v>
      </c>
      <c r="BI23" s="57">
        <f ca="1">AVERAGE(OFFSET($BH$3,0,0,'Données projet'!$E$11+1,1))-AVERAGE(OFFSET($H$3,0,0,'Données projet'!$E$11+1,1))</f>
        <v>250.90550982248311</v>
      </c>
      <c r="BJ23" s="57">
        <f t="shared" si="38"/>
        <v>254.68874167908001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303</v>
      </c>
      <c r="BW23" s="12">
        <f>VLOOKUP(A23,'Données projet'!$A$113:$I$133,9,0)</f>
        <v>28.2</v>
      </c>
      <c r="BX23" s="12">
        <f t="array" ref="BX23">INDEX(BW:BW,MIN(IF(ISNUMBER(BW23:BW219),ROW(BW23:BW219),"")))</f>
        <v>28.2</v>
      </c>
      <c r="BY23" s="12">
        <f>IF('Données projet'!$A$114&gt;35,BY22+BX23-CG22,IF(A23&lt;'Données projet'!$A$114,$BV$205^A23,IF(A23='Données projet'!$A$114,'Données projet'!$B$114,BY22+BX23-CG22)))</f>
        <v>302.99999999999994</v>
      </c>
      <c r="BZ23" s="13">
        <f>BY23*VLOOKUP('Données projet'!$B$12,Paramètres!$A$1:$I$89,3,0)*VLOOKUP('Données projet'!$B$12,Paramètres!$A$1:$I$89,5,0)</f>
        <v>169.37699999999995</v>
      </c>
      <c r="CA23" s="13">
        <f t="shared" si="39"/>
        <v>42.950462509094685</v>
      </c>
      <c r="CB23" s="20">
        <f t="shared" si="10"/>
        <v>369.80366387000646</v>
      </c>
      <c r="CC23" s="57">
        <f t="shared" si="11"/>
        <v>663.13699720333977</v>
      </c>
      <c r="CD23" s="57">
        <f ca="1">AVERAGE(OFFSET($CC$3,0,0,'Données projet'!$E$12+1,1))-AVERAGE(OFFSET($H$3,0,0,'Données projet'!$E$12+1,1))</f>
        <v>462.54745364638171</v>
      </c>
      <c r="CE23" s="57">
        <f t="shared" si="40"/>
        <v>571.50914830067313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43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1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27.215467735643657</v>
      </c>
      <c r="CN23" s="22">
        <f t="shared" si="12"/>
        <v>27.215467735643657</v>
      </c>
      <c r="CO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158</v>
      </c>
      <c r="CR23" s="12">
        <f>VLOOKUP(A23,'Données projet'!$A$139:$I$159,9,0)</f>
        <v>11.4</v>
      </c>
      <c r="CS23" s="12">
        <f t="array" ref="CS23">INDEX(CR:CR,MIN(IF(ISNUMBER(CR23:CR219),ROW(CR23:CR219),"")))</f>
        <v>11.4</v>
      </c>
      <c r="CT23" s="12">
        <f>IF('Données projet'!$A$140&gt;35,CT22+CS23-DB22,IF(A23&lt;'Données projet'!$A$140,$CQ$205^A23,IF(A23='Données projet'!$A$140,'Données projet'!$B$140,CT22+CS23-DB22)))</f>
        <v>158.00000000000003</v>
      </c>
      <c r="CU23" s="17">
        <f>CT23*VLOOKUP('Données projet'!$B$13,Paramètres!$A$1:$I$89,3,0)*VLOOKUP('Données projet'!$B$13,Paramètres!$A$1:$I$89,5,0)</f>
        <v>150.35280000000003</v>
      </c>
      <c r="CV23" s="13">
        <f t="shared" si="41"/>
        <v>38.658749721546236</v>
      </c>
      <c r="CW23" s="20">
        <f t="shared" si="13"/>
        <v>329.1951157650264</v>
      </c>
      <c r="CX23" s="57">
        <f t="shared" si="14"/>
        <v>622.52844909835972</v>
      </c>
      <c r="CY23" s="57">
        <f ca="1">AVERAGE(OFFSET($CX$3,0,0,'Données projet'!$E$13+1,1))-AVERAGE(OFFSET($H$3,0,0,'Données projet'!$E$13+1,1))</f>
        <v>314.67680626853303</v>
      </c>
      <c r="CZ23" s="57">
        <f t="shared" si="42"/>
        <v>372.57247561536263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22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102</v>
      </c>
      <c r="DM23" s="12">
        <f>VLOOKUP(A23,'Données projet'!$A$165:$I$185,9,0)</f>
        <v>13.8</v>
      </c>
      <c r="DN23" s="12">
        <f t="array" ref="DN23">INDEX(DM:DM,MIN(IF(ISNUMBER(DM23:DM219),ROW(DM23:DM219),"")))</f>
        <v>13.8</v>
      </c>
      <c r="DO23" s="12">
        <f>IF('Données projet'!$A$166&gt;35,DO22+DN23-DW22,IF(A23&lt;'Données projet'!$A$166,$DL$205^A23,IF(A23='Données projet'!$A$166,'Données projet'!$B$166,DO22+DN23-DW22)))</f>
        <v>101.99999999999999</v>
      </c>
      <c r="DP23" s="17">
        <f>DO23*VLOOKUP('Données projet'!$B$14,Paramètres!$A$1:$I$89,3,0)*VLOOKUP('Données projet'!$B$14,Paramètres!$A$1:$I$89,5,0)</f>
        <v>66.830399999999983</v>
      </c>
      <c r="DQ23" s="13">
        <f t="shared" si="43"/>
        <v>18.884224063325345</v>
      </c>
      <c r="DR23" s="20">
        <f t="shared" si="16"/>
        <v>149.28630357695829</v>
      </c>
      <c r="DS23" s="57">
        <f t="shared" si="17"/>
        <v>442.6196369102916</v>
      </c>
      <c r="DT23" s="57">
        <f ca="1">AVERAGE(OFFSET($DS$3,0,0,'Données projet'!$E$14+1,1))-AVERAGE(OFFSET($H$3,0,0,'Données projet'!$E$14+1,1))</f>
        <v>188.80259324758066</v>
      </c>
      <c r="DU23" s="57">
        <f t="shared" si="44"/>
        <v>195.48048518255354</v>
      </c>
      <c r="DV23" s="15">
        <f>IF(ISNA(VLOOKUP(A23,'Données projet'!$A$165:$I$185,3,0)),0,VLOOKUP(A23,'Données projet'!$A$165:$I$185,3,0))</f>
        <v>2</v>
      </c>
      <c r="DW23" s="15">
        <f>IF(ISNA(VLOOKUP(A23,'Données projet'!$A$165:$I$185,4,0)),0,VLOOKUP(A23,'Données projet'!$A$165:$I$185,4,0))</f>
        <v>35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102</v>
      </c>
      <c r="EH23" s="12">
        <f>VLOOKUP(A23,'Données projet'!$A$191:$I$211,9,0)</f>
        <v>13.8</v>
      </c>
      <c r="EI23" s="12">
        <f t="array" ref="EI23">INDEX(EH:EH,MIN(IF(ISNUMBER(EH23:EH219),ROW(EH23:EH219),"")))</f>
        <v>13.8</v>
      </c>
      <c r="EJ23" s="12">
        <f>IF('Données projet'!$A$192&gt;35,EJ22+EI23-ER22,IF(A23&lt;'Données projet'!$A$192,$EG$205^A23,IF(A23='Données projet'!$A$192,'Données projet'!$B$192,EJ22+EI23-ER22)))</f>
        <v>101.99999999999999</v>
      </c>
      <c r="EK23" s="17">
        <f>EJ23*VLOOKUP('Données projet'!$B$15,Paramètres!$A$1:$I$89,3,0)*VLOOKUP('Données projet'!$B$15,Paramètres!$A$1:$I$89,5,0)</f>
        <v>82.742399999999989</v>
      </c>
      <c r="EL23" s="13">
        <f t="shared" si="45"/>
        <v>22.806394174303204</v>
      </c>
      <c r="EM23" s="20">
        <f t="shared" si="19"/>
        <v>183.83081652024472</v>
      </c>
      <c r="EN23" s="57">
        <f t="shared" si="20"/>
        <v>477.16414985357801</v>
      </c>
      <c r="EO23" s="57">
        <f ca="1">AVERAGE(OFFSET($EN$3,0,0,'Données projet'!$E$15+1,1))-AVERAGE(OFFSET($H$3,0,0,'Données projet'!$E$15+1,1))</f>
        <v>250.90550982248311</v>
      </c>
      <c r="EP23" s="57">
        <f t="shared" si="46"/>
        <v>254.68874167908001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35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7" t="e">
        <f t="shared" si="23"/>
        <v>#N/A</v>
      </c>
      <c r="FJ23" s="57" t="e">
        <f ca="1">AVERAGE(OFFSET($FI$3,0,0,'Données projet'!$E$16+1,1))-AVERAGE(OFFSET($H$3,0,0,'Données projet'!$E$16+1,1))</f>
        <v>#N/A</v>
      </c>
      <c r="FK23" s="57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7" t="e">
        <f t="shared" si="26"/>
        <v>#N/A</v>
      </c>
      <c r="GE23" s="57" t="e">
        <f ca="1">AVERAGE(OFFSET($GD$3,0,0,'Données projet'!$E$17+1,1))-AVERAGE(OFFSET($H$3,0,0,'Données projet'!$E$17+1,1))</f>
        <v>#N/A</v>
      </c>
      <c r="GF23" s="57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7" t="e">
        <f t="shared" si="29"/>
        <v>#N/A</v>
      </c>
      <c r="GZ23" s="57" t="e">
        <f ca="1">AVERAGE(OFFSET($GY$3,0,0,'Données projet'!$E$18+1,1))-AVERAGE(OFFSET($H$3,0,0,'Données projet'!$E$18+1,1))</f>
        <v>#N/A</v>
      </c>
      <c r="HA23" s="57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0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4">
        <f t="shared" si="1"/>
        <v>335.78004712061238</v>
      </c>
      <c r="I24" s="6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62.506080000000011</v>
      </c>
      <c r="P24" s="13">
        <f t="shared" si="33"/>
        <v>17.800367834870475</v>
      </c>
      <c r="Q24" s="20">
        <f t="shared" si="2"/>
        <v>139.86706331239944</v>
      </c>
      <c r="R24" s="57">
        <f t="shared" si="0"/>
        <v>433.20039664573278</v>
      </c>
      <c r="S24" s="57">
        <f ca="1">AVERAGE(OFFSET($R$3,0,0,'Données projet'!$E$9+1,1))-AVERAGE(OFFSET($H$3,0,0,'Données projet'!$E$9+1,1))</f>
        <v>267.44861001389006</v>
      </c>
      <c r="T24" s="57">
        <f t="shared" si="34"/>
        <v>165.25921510802965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</v>
      </c>
      <c r="AI24" s="13">
        <f>IF('Données projet'!$A$62&gt;35,AI23+AH24-AQ23,IF(A24&lt;'Données projet'!$A$62,$AF$205^A24,IF(A24='Données projet'!$A$62,'Données projet'!$B$62,AI23+AH24-AQ23)))</f>
        <v>74.2</v>
      </c>
      <c r="AJ24" s="13">
        <f>AI24*VLOOKUP('Données projet'!$B$10,Paramètres!$A$1:$I$89,3,0)*VLOOKUP('Données projet'!$B$10,Paramètres!$A$1:$I$89,5,0)</f>
        <v>67.136160000000004</v>
      </c>
      <c r="AK24" s="13">
        <f t="shared" si="35"/>
        <v>18.960545405756019</v>
      </c>
      <c r="AL24" s="20">
        <f t="shared" si="4"/>
        <v>149.95176191502506</v>
      </c>
      <c r="AM24" s="57">
        <f t="shared" si="5"/>
        <v>443.2850952483584</v>
      </c>
      <c r="AN24" s="57">
        <f ca="1">AVERAGE(OFFSET($AM$3,0,0,'Données projet'!$E$10+1,1))-AVERAGE(OFFSET($H$3,0,0,'Données projet'!$E$10+1,1))</f>
        <v>294.92430430387071</v>
      </c>
      <c r="AO24" s="57">
        <f t="shared" si="36"/>
        <v>181.52228471516497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66.356159999999988</v>
      </c>
      <c r="BF24" s="13">
        <f t="shared" si="37"/>
        <v>18.765767596743419</v>
      </c>
      <c r="BG24" s="20">
        <f t="shared" si="7"/>
        <v>148.25402389766143</v>
      </c>
      <c r="BH24" s="57">
        <f t="shared" si="8"/>
        <v>441.58735723099471</v>
      </c>
      <c r="BI24" s="57">
        <f ca="1">AVERAGE(OFFSET($BH$3,0,0,'Données projet'!$E$11+1,1))-AVERAGE(OFFSET($H$3,0,0,'Données projet'!$E$11+1,1))</f>
        <v>250.90550982248311</v>
      </c>
      <c r="BJ24" s="57">
        <f t="shared" si="38"/>
        <v>254.68874167908001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31.8</v>
      </c>
      <c r="BY24" s="12">
        <f>IF('Données projet'!$A$114&gt;35,BY23+BX24-CG23,IF(A24&lt;'Données projet'!$A$114,$BV$205^A24,IF(A24='Données projet'!$A$114,'Données projet'!$B$114,BY23+BX24-CG23)))</f>
        <v>291.79999999999995</v>
      </c>
      <c r="BZ24" s="13">
        <f>BY24*VLOOKUP('Données projet'!$B$12,Paramètres!$A$1:$I$89,3,0)*VLOOKUP('Données projet'!$B$12,Paramètres!$A$1:$I$89,5,0)</f>
        <v>163.11619999999996</v>
      </c>
      <c r="CA24" s="13">
        <f t="shared" si="39"/>
        <v>41.544592017733109</v>
      </c>
      <c r="CB24" s="20">
        <f t="shared" si="10"/>
        <v>356.4508794308851</v>
      </c>
      <c r="CC24" s="57">
        <f t="shared" si="11"/>
        <v>649.78421276421841</v>
      </c>
      <c r="CD24" s="57">
        <f ca="1">AVERAGE(OFFSET($CC$3,0,0,'Données projet'!$E$12+1,1))-AVERAGE(OFFSET($H$3,0,0,'Données projet'!$E$12+1,1))</f>
        <v>462.54745364638171</v>
      </c>
      <c r="CE24" s="57">
        <f t="shared" si="40"/>
        <v>571.50914830067313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19.244241789037325</v>
      </c>
      <c r="CN24" s="22">
        <f t="shared" si="12"/>
        <v>19.244241789037325</v>
      </c>
      <c r="CO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10.4</v>
      </c>
      <c r="CT24" s="12">
        <f>IF('Données projet'!$A$140&gt;35,CT23+CS24-DB23,IF(A24&lt;'Données projet'!$A$140,$CQ$205^A24,IF(A24='Données projet'!$A$140,'Données projet'!$B$140,CT23+CS24-DB23)))</f>
        <v>146.40000000000003</v>
      </c>
      <c r="CU24" s="17">
        <f>CT24*VLOOKUP('Données projet'!$B$13,Paramètres!$A$1:$I$89,3,0)*VLOOKUP('Données projet'!$B$13,Paramètres!$A$1:$I$89,5,0)</f>
        <v>139.31424000000004</v>
      </c>
      <c r="CV24" s="13">
        <f t="shared" si="41"/>
        <v>36.139862641388611</v>
      </c>
      <c r="CW24" s="20">
        <f t="shared" si="13"/>
        <v>305.58256210041856</v>
      </c>
      <c r="CX24" s="57">
        <f t="shared" si="14"/>
        <v>598.91589543375187</v>
      </c>
      <c r="CY24" s="57">
        <f ca="1">AVERAGE(OFFSET($CX$3,0,0,'Données projet'!$E$13+1,1))-AVERAGE(OFFSET($H$3,0,0,'Données projet'!$E$13+1,1))</f>
        <v>314.67680626853303</v>
      </c>
      <c r="CZ24" s="57">
        <f t="shared" si="42"/>
        <v>372.57247561536263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14.8</v>
      </c>
      <c r="DO24" s="12">
        <f>IF('Données projet'!$A$166&gt;35,DO23+DN24-DW23,IF(A24&lt;'Données projet'!$A$166,$DL$205^A24,IF(A24='Données projet'!$A$166,'Données projet'!$B$166,DO23+DN24-DW23)))</f>
        <v>81.799999999999983</v>
      </c>
      <c r="DP24" s="17">
        <f>DO24*VLOOKUP('Données projet'!$B$14,Paramètres!$A$1:$I$89,3,0)*VLOOKUP('Données projet'!$B$14,Paramètres!$A$1:$I$89,5,0)</f>
        <v>53.595359999999992</v>
      </c>
      <c r="DQ24" s="13">
        <f t="shared" si="43"/>
        <v>15.538491412048067</v>
      </c>
      <c r="DR24" s="20">
        <f t="shared" si="16"/>
        <v>120.40812454265038</v>
      </c>
      <c r="DS24" s="57">
        <f t="shared" si="17"/>
        <v>413.74145787598371</v>
      </c>
      <c r="DT24" s="57">
        <f ca="1">AVERAGE(OFFSET($DS$3,0,0,'Données projet'!$E$14+1,1))-AVERAGE(OFFSET($H$3,0,0,'Données projet'!$E$14+1,1))</f>
        <v>188.80259324758066</v>
      </c>
      <c r="DU24" s="57">
        <f t="shared" si="44"/>
        <v>195.48048518255354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14.8</v>
      </c>
      <c r="EJ24" s="12">
        <f>IF('Données projet'!$A$192&gt;35,EJ23+EI24-ER23,IF(A24&lt;'Données projet'!$A$192,$EG$205^A24,IF(A24='Données projet'!$A$192,'Données projet'!$B$192,EJ23+EI24-ER23)))</f>
        <v>81.799999999999983</v>
      </c>
      <c r="EK24" s="17">
        <f>EJ24*VLOOKUP('Données projet'!$B$15,Paramètres!$A$1:$I$89,3,0)*VLOOKUP('Données projet'!$B$15,Paramètres!$A$1:$I$89,5,0)</f>
        <v>66.356159999999988</v>
      </c>
      <c r="EL24" s="13">
        <f t="shared" si="45"/>
        <v>18.765767596743419</v>
      </c>
      <c r="EM24" s="20">
        <f t="shared" si="19"/>
        <v>148.25402389766143</v>
      </c>
      <c r="EN24" s="57">
        <f t="shared" si="20"/>
        <v>441.58735723099471</v>
      </c>
      <c r="EO24" s="57">
        <f ca="1">AVERAGE(OFFSET($EN$3,0,0,'Données projet'!$E$15+1,1))-AVERAGE(OFFSET($H$3,0,0,'Données projet'!$E$15+1,1))</f>
        <v>250.90550982248311</v>
      </c>
      <c r="EP24" s="57">
        <f t="shared" si="46"/>
        <v>254.68874167908001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7" t="e">
        <f t="shared" si="23"/>
        <v>#N/A</v>
      </c>
      <c r="FJ24" s="57" t="e">
        <f ca="1">AVERAGE(OFFSET($FI$3,0,0,'Données projet'!$E$16+1,1))-AVERAGE(OFFSET($H$3,0,0,'Données projet'!$E$16+1,1))</f>
        <v>#N/A</v>
      </c>
      <c r="FK24" s="57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7" t="e">
        <f t="shared" si="26"/>
        <v>#N/A</v>
      </c>
      <c r="GE24" s="57" t="e">
        <f ca="1">AVERAGE(OFFSET($GD$3,0,0,'Données projet'!$E$17+1,1))-AVERAGE(OFFSET($H$3,0,0,'Données projet'!$E$17+1,1))</f>
        <v>#N/A</v>
      </c>
      <c r="GF24" s="57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7" t="e">
        <f t="shared" si="29"/>
        <v>#N/A</v>
      </c>
      <c r="GZ24" s="57" t="e">
        <f ca="1">AVERAGE(OFFSET($GY$3,0,0,'Données projet'!$E$18+1,1))-AVERAGE(OFFSET($H$3,0,0,'Données projet'!$E$18+1,1))</f>
        <v>#N/A</v>
      </c>
      <c r="HA24" s="57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0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4">
        <f t="shared" si="1"/>
        <v>337.74194540896866</v>
      </c>
      <c r="I25" s="6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68.571360000000013</v>
      </c>
      <c r="P25" s="13">
        <f t="shared" si="33"/>
        <v>19.318251258205343</v>
      </c>
      <c r="Q25" s="20">
        <f t="shared" si="2"/>
        <v>153.07440627470763</v>
      </c>
      <c r="R25" s="57">
        <f t="shared" si="0"/>
        <v>446.40773960804097</v>
      </c>
      <c r="S25" s="57">
        <f ca="1">AVERAGE(OFFSET($R$3,0,0,'Données projet'!$E$9+1,1))-AVERAGE(OFFSET($H$3,0,0,'Données projet'!$E$9+1,1))</f>
        <v>267.44861001389006</v>
      </c>
      <c r="T25" s="57">
        <f t="shared" si="34"/>
        <v>165.25921510802965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</v>
      </c>
      <c r="AI25" s="13">
        <f>IF('Données projet'!$A$62&gt;35,AI24+AH25-AQ24,IF(A25&lt;'Données projet'!$A$62,$AF$205^A25,IF(A25='Données projet'!$A$62,'Données projet'!$B$62,AI24+AH25-AQ24)))</f>
        <v>81.400000000000006</v>
      </c>
      <c r="AJ25" s="13">
        <f>AI25*VLOOKUP('Données projet'!$B$10,Paramètres!$A$1:$I$89,3,0)*VLOOKUP('Données projet'!$B$10,Paramètres!$A$1:$I$89,5,0)</f>
        <v>73.650720000000007</v>
      </c>
      <c r="AK25" s="13">
        <f t="shared" si="35"/>
        <v>20.577360172493922</v>
      </c>
      <c r="AL25" s="20">
        <f t="shared" si="4"/>
        <v>164.11390630042692</v>
      </c>
      <c r="AM25" s="57">
        <f t="shared" si="5"/>
        <v>457.4472396337602</v>
      </c>
      <c r="AN25" s="57">
        <f ca="1">AVERAGE(OFFSET($AM$3,0,0,'Données projet'!$E$10+1,1))-AVERAGE(OFFSET($H$3,0,0,'Données projet'!$E$10+1,1))</f>
        <v>294.92430430387071</v>
      </c>
      <c r="AO25" s="57">
        <f t="shared" si="36"/>
        <v>181.52228471516497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78.361919999999984</v>
      </c>
      <c r="BF25" s="13">
        <f t="shared" si="37"/>
        <v>21.736184076066191</v>
      </c>
      <c r="BG25" s="20">
        <f t="shared" si="7"/>
        <v>174.33753126581527</v>
      </c>
      <c r="BH25" s="57">
        <f t="shared" si="8"/>
        <v>467.67086459914856</v>
      </c>
      <c r="BI25" s="57">
        <f ca="1">AVERAGE(OFFSET($BH$3,0,0,'Données projet'!$E$11+1,1))-AVERAGE(OFFSET($H$3,0,0,'Données projet'!$E$11+1,1))</f>
        <v>250.90550982248311</v>
      </c>
      <c r="BJ25" s="57">
        <f t="shared" si="38"/>
        <v>254.68874167908001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31.8</v>
      </c>
      <c r="BY25" s="12">
        <f>IF('Données projet'!$A$114&gt;35,BY24+BX25-CG24,IF(A25&lt;'Données projet'!$A$114,$BV$205^A25,IF(A25='Données projet'!$A$114,'Données projet'!$B$114,BY24+BX25-CG24)))</f>
        <v>323.59999999999997</v>
      </c>
      <c r="BZ25" s="13">
        <f>BY25*VLOOKUP('Données projet'!$B$12,Paramètres!$A$1:$I$89,3,0)*VLOOKUP('Données projet'!$B$12,Paramètres!$A$1:$I$89,5,0)</f>
        <v>180.89240000000001</v>
      </c>
      <c r="CA25" s="13">
        <f t="shared" si="39"/>
        <v>45.520671542487669</v>
      </c>
      <c r="CB25" s="20">
        <f t="shared" si="10"/>
        <v>394.33609960316602</v>
      </c>
      <c r="CC25" s="57">
        <f t="shared" si="11"/>
        <v>687.66943293649933</v>
      </c>
      <c r="CD25" s="57">
        <f ca="1">AVERAGE(OFFSET($CC$3,0,0,'Données projet'!$E$12+1,1))-AVERAGE(OFFSET($H$3,0,0,'Données projet'!$E$12+1,1))</f>
        <v>462.54745364638171</v>
      </c>
      <c r="CE25" s="57">
        <f t="shared" si="40"/>
        <v>571.50914830067313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13.60773386782183</v>
      </c>
      <c r="CN25" s="22">
        <f t="shared" si="12"/>
        <v>13.60773386782183</v>
      </c>
      <c r="CO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10.4</v>
      </c>
      <c r="CT25" s="12">
        <f>IF('Données projet'!$A$140&gt;35,CT24+CS25-DB24,IF(A25&lt;'Données projet'!$A$140,$CQ$205^A25,IF(A25='Données projet'!$A$140,'Données projet'!$B$140,CT24+CS25-DB24)))</f>
        <v>156.80000000000004</v>
      </c>
      <c r="CU25" s="17">
        <f>CT25*VLOOKUP('Données projet'!$B$13,Paramètres!$A$1:$I$89,3,0)*VLOOKUP('Données projet'!$B$13,Paramètres!$A$1:$I$89,5,0)</f>
        <v>149.21088000000003</v>
      </c>
      <c r="CV25" s="13">
        <f t="shared" si="41"/>
        <v>38.399200254302222</v>
      </c>
      <c r="CW25" s="20">
        <f t="shared" si="13"/>
        <v>326.75422310957646</v>
      </c>
      <c r="CX25" s="57">
        <f t="shared" si="14"/>
        <v>620.08755644290977</v>
      </c>
      <c r="CY25" s="57">
        <f ca="1">AVERAGE(OFFSET($CX$3,0,0,'Données projet'!$E$13+1,1))-AVERAGE(OFFSET($H$3,0,0,'Données projet'!$E$13+1,1))</f>
        <v>314.67680626853303</v>
      </c>
      <c r="CZ25" s="57">
        <f t="shared" si="42"/>
        <v>372.57247561536263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14.8</v>
      </c>
      <c r="DO25" s="12">
        <f>IF('Données projet'!$A$166&gt;35,DO24+DN25-DW24,IF(A25&lt;'Données projet'!$A$166,$DL$205^A25,IF(A25='Données projet'!$A$166,'Données projet'!$B$166,DO24+DN25-DW24)))</f>
        <v>96.59999999999998</v>
      </c>
      <c r="DP25" s="17">
        <f>DO25*VLOOKUP('Données projet'!$B$14,Paramètres!$A$1:$I$89,3,0)*VLOOKUP('Données projet'!$B$14,Paramètres!$A$1:$I$89,5,0)</f>
        <v>63.292319999999982</v>
      </c>
      <c r="DQ25" s="13">
        <f t="shared" si="43"/>
        <v>17.998065245956816</v>
      </c>
      <c r="DR25" s="20">
        <f t="shared" si="16"/>
        <v>141.58075430337473</v>
      </c>
      <c r="DS25" s="57">
        <f t="shared" si="17"/>
        <v>434.91408763670802</v>
      </c>
      <c r="DT25" s="57">
        <f ca="1">AVERAGE(OFFSET($DS$3,0,0,'Données projet'!$E$14+1,1))-AVERAGE(OFFSET($H$3,0,0,'Données projet'!$E$14+1,1))</f>
        <v>188.80259324758066</v>
      </c>
      <c r="DU25" s="57">
        <f t="shared" si="44"/>
        <v>195.48048518255354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14.8</v>
      </c>
      <c r="EJ25" s="12">
        <f>IF('Données projet'!$A$192&gt;35,EJ24+EI25-ER24,IF(A25&lt;'Données projet'!$A$192,$EG$205^A25,IF(A25='Données projet'!$A$192,'Données projet'!$B$192,EJ24+EI25-ER24)))</f>
        <v>96.59999999999998</v>
      </c>
      <c r="EK25" s="17">
        <f>EJ25*VLOOKUP('Données projet'!$B$15,Paramètres!$A$1:$I$89,3,0)*VLOOKUP('Données projet'!$B$15,Paramètres!$A$1:$I$89,5,0)</f>
        <v>78.361919999999984</v>
      </c>
      <c r="EL25" s="13">
        <f t="shared" si="45"/>
        <v>21.736184076066191</v>
      </c>
      <c r="EM25" s="20">
        <f t="shared" si="19"/>
        <v>174.33753126581527</v>
      </c>
      <c r="EN25" s="57">
        <f t="shared" si="20"/>
        <v>467.67086459914856</v>
      </c>
      <c r="EO25" s="57">
        <f ca="1">AVERAGE(OFFSET($EN$3,0,0,'Données projet'!$E$15+1,1))-AVERAGE(OFFSET($H$3,0,0,'Données projet'!$E$15+1,1))</f>
        <v>250.90550982248311</v>
      </c>
      <c r="EP25" s="57">
        <f t="shared" si="46"/>
        <v>254.68874167908001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7" t="e">
        <f t="shared" si="23"/>
        <v>#N/A</v>
      </c>
      <c r="FJ25" s="57" t="e">
        <f ca="1">AVERAGE(OFFSET($FI$3,0,0,'Données projet'!$E$16+1,1))-AVERAGE(OFFSET($H$3,0,0,'Données projet'!$E$16+1,1))</f>
        <v>#N/A</v>
      </c>
      <c r="FK25" s="57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7" t="e">
        <f t="shared" si="26"/>
        <v>#N/A</v>
      </c>
      <c r="GE25" s="57" t="e">
        <f ca="1">AVERAGE(OFFSET($GD$3,0,0,'Données projet'!$E$17+1,1))-AVERAGE(OFFSET($H$3,0,0,'Données projet'!$E$17+1,1))</f>
        <v>#N/A</v>
      </c>
      <c r="GF25" s="57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7" t="e">
        <f t="shared" si="29"/>
        <v>#N/A</v>
      </c>
      <c r="GZ25" s="57" t="e">
        <f ca="1">AVERAGE(OFFSET($GY$3,0,0,'Données projet'!$E$18+1,1))-AVERAGE(OFFSET($H$3,0,0,'Données projet'!$E$18+1,1))</f>
        <v>#N/A</v>
      </c>
      <c r="HA25" s="57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0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4">
        <f t="shared" si="1"/>
        <v>339.70151900360332</v>
      </c>
      <c r="I26" s="6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74.636640000000014</v>
      </c>
      <c r="P26" s="13">
        <f t="shared" si="33"/>
        <v>20.82056558443978</v>
      </c>
      <c r="Q26" s="20">
        <f t="shared" si="2"/>
        <v>166.25463305956598</v>
      </c>
      <c r="R26" s="57">
        <f t="shared" si="0"/>
        <v>459.58796639289926</v>
      </c>
      <c r="S26" s="57">
        <f ca="1">AVERAGE(OFFSET($R$3,0,0,'Données projet'!$E$9+1,1))-AVERAGE(OFFSET($H$3,0,0,'Données projet'!$E$9+1,1))</f>
        <v>267.44861001389006</v>
      </c>
      <c r="T26" s="57">
        <f t="shared" si="34"/>
        <v>165.25921510802965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</v>
      </c>
      <c r="AI26" s="13">
        <f>IF('Données projet'!$A$62&gt;35,AI25+AH26-AQ25,IF(A26&lt;'Données projet'!$A$62,$AF$205^A26,IF(A26='Données projet'!$A$62,'Données projet'!$B$62,AI25+AH26-AQ25)))</f>
        <v>88.600000000000009</v>
      </c>
      <c r="AJ26" s="13">
        <f>AI26*VLOOKUP('Données projet'!$B$10,Paramètres!$A$1:$I$89,3,0)*VLOOKUP('Données projet'!$B$10,Paramètres!$A$1:$I$89,5,0)</f>
        <v>80.165279999999996</v>
      </c>
      <c r="AK26" s="13">
        <f t="shared" si="35"/>
        <v>22.177591092468788</v>
      </c>
      <c r="AL26" s="20">
        <f t="shared" si="4"/>
        <v>178.24716715271646</v>
      </c>
      <c r="AM26" s="57">
        <f t="shared" si="5"/>
        <v>471.5805004860498</v>
      </c>
      <c r="AN26" s="57">
        <f ca="1">AVERAGE(OFFSET($AM$3,0,0,'Données projet'!$E$10+1,1))-AVERAGE(OFFSET($H$3,0,0,'Données projet'!$E$10+1,1))</f>
        <v>294.92430430387071</v>
      </c>
      <c r="AO26" s="57">
        <f t="shared" si="36"/>
        <v>181.52228471516497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90.367679999999993</v>
      </c>
      <c r="BF26" s="13">
        <f t="shared" si="37"/>
        <v>24.653879504109455</v>
      </c>
      <c r="BG26" s="20">
        <f t="shared" si="7"/>
        <v>200.32921613632394</v>
      </c>
      <c r="BH26" s="57">
        <f t="shared" si="8"/>
        <v>493.66254946965728</v>
      </c>
      <c r="BI26" s="57">
        <f ca="1">AVERAGE(OFFSET($BH$3,0,0,'Données projet'!$E$11+1,1))-AVERAGE(OFFSET($H$3,0,0,'Données projet'!$E$11+1,1))</f>
        <v>250.90550982248311</v>
      </c>
      <c r="BJ26" s="57">
        <f t="shared" si="38"/>
        <v>254.68874167908001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31.8</v>
      </c>
      <c r="BY26" s="12">
        <f>IF('Données projet'!$A$114&gt;35,BY25+BX26-CG25,IF(A26&lt;'Données projet'!$A$114,$BV$205^A26,IF(A26='Données projet'!$A$114,'Données projet'!$B$114,BY25+BX26-CG25)))</f>
        <v>355.4</v>
      </c>
      <c r="BZ26" s="13">
        <f>BY26*VLOOKUP('Données projet'!$B$12,Paramètres!$A$1:$I$89,3,0)*VLOOKUP('Données projet'!$B$12,Paramètres!$A$1:$I$89,5,0)</f>
        <v>198.66859999999997</v>
      </c>
      <c r="CA26" s="13">
        <f t="shared" si="39"/>
        <v>49.451452656287465</v>
      </c>
      <c r="CB26" s="20">
        <f t="shared" si="10"/>
        <v>432.14242504303394</v>
      </c>
      <c r="CC26" s="57">
        <f t="shared" si="11"/>
        <v>725.47575837636725</v>
      </c>
      <c r="CD26" s="57">
        <f ca="1">AVERAGE(OFFSET($CC$3,0,0,'Données projet'!$E$12+1,1))-AVERAGE(OFFSET($H$3,0,0,'Données projet'!$E$12+1,1))</f>
        <v>462.54745364638171</v>
      </c>
      <c r="CE26" s="57">
        <f t="shared" si="40"/>
        <v>571.50914830067313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9.6221208945186643</v>
      </c>
      <c r="CN26" s="22">
        <f t="shared" si="12"/>
        <v>9.6221208945186643</v>
      </c>
      <c r="CO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10.4</v>
      </c>
      <c r="CT26" s="12">
        <f>IF('Données projet'!$A$140&gt;35,CT25+CS26-DB25,IF(A26&lt;'Données projet'!$A$140,$CQ$205^A26,IF(A26='Données projet'!$A$140,'Données projet'!$B$140,CT25+CS26-DB25)))</f>
        <v>167.20000000000005</v>
      </c>
      <c r="CU26" s="17">
        <f>CT26*VLOOKUP('Données projet'!$B$13,Paramètres!$A$1:$I$89,3,0)*VLOOKUP('Données projet'!$B$13,Paramètres!$A$1:$I$89,5,0)</f>
        <v>159.10752000000002</v>
      </c>
      <c r="CV26" s="13">
        <f t="shared" si="41"/>
        <v>40.64114856504164</v>
      </c>
      <c r="CW26" s="20">
        <f t="shared" si="13"/>
        <v>347.89559775078084</v>
      </c>
      <c r="CX26" s="57">
        <f t="shared" si="14"/>
        <v>641.22893108411415</v>
      </c>
      <c r="CY26" s="57">
        <f ca="1">AVERAGE(OFFSET($CX$3,0,0,'Données projet'!$E$13+1,1))-AVERAGE(OFFSET($H$3,0,0,'Données projet'!$E$13+1,1))</f>
        <v>314.67680626853303</v>
      </c>
      <c r="CZ26" s="57">
        <f t="shared" si="42"/>
        <v>372.57247561536263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14.8</v>
      </c>
      <c r="DO26" s="12">
        <f>IF('Données projet'!$A$166&gt;35,DO25+DN26-DW25,IF(A26&lt;'Données projet'!$A$166,$DL$205^A26,IF(A26='Données projet'!$A$166,'Données projet'!$B$166,DO25+DN26-DW25)))</f>
        <v>111.39999999999998</v>
      </c>
      <c r="DP26" s="17">
        <f>DO26*VLOOKUP('Données projet'!$B$14,Paramètres!$A$1:$I$89,3,0)*VLOOKUP('Données projet'!$B$14,Paramètres!$A$1:$I$89,5,0)</f>
        <v>72.98927999999998</v>
      </c>
      <c r="DQ26" s="13">
        <f t="shared" si="43"/>
        <v>20.413984824940087</v>
      </c>
      <c r="DR26" s="20">
        <f t="shared" si="16"/>
        <v>162.67735290343725</v>
      </c>
      <c r="DS26" s="57">
        <f t="shared" si="17"/>
        <v>456.01068623677054</v>
      </c>
      <c r="DT26" s="57">
        <f ca="1">AVERAGE(OFFSET($DS$3,0,0,'Données projet'!$E$14+1,1))-AVERAGE(OFFSET($H$3,0,0,'Données projet'!$E$14+1,1))</f>
        <v>188.80259324758066</v>
      </c>
      <c r="DU26" s="57">
        <f t="shared" si="44"/>
        <v>195.48048518255354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14.8</v>
      </c>
      <c r="EJ26" s="12">
        <f>IF('Données projet'!$A$192&gt;35,EJ25+EI26-ER25,IF(A26&lt;'Données projet'!$A$192,$EG$205^A26,IF(A26='Données projet'!$A$192,'Données projet'!$B$192,EJ25+EI26-ER25)))</f>
        <v>111.39999999999998</v>
      </c>
      <c r="EK26" s="17">
        <f>EJ26*VLOOKUP('Données projet'!$B$15,Paramètres!$A$1:$I$89,3,0)*VLOOKUP('Données projet'!$B$15,Paramètres!$A$1:$I$89,5,0)</f>
        <v>90.367679999999993</v>
      </c>
      <c r="EL26" s="13">
        <f t="shared" si="45"/>
        <v>24.653879504109455</v>
      </c>
      <c r="EM26" s="20">
        <f t="shared" si="19"/>
        <v>200.32921613632394</v>
      </c>
      <c r="EN26" s="57">
        <f t="shared" si="20"/>
        <v>493.66254946965728</v>
      </c>
      <c r="EO26" s="57">
        <f ca="1">AVERAGE(OFFSET($EN$3,0,0,'Données projet'!$E$15+1,1))-AVERAGE(OFFSET($H$3,0,0,'Données projet'!$E$15+1,1))</f>
        <v>250.90550982248311</v>
      </c>
      <c r="EP26" s="57">
        <f t="shared" si="46"/>
        <v>254.68874167908001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7" t="e">
        <f t="shared" si="23"/>
        <v>#N/A</v>
      </c>
      <c r="FJ26" s="57" t="e">
        <f ca="1">AVERAGE(OFFSET($FI$3,0,0,'Données projet'!$E$16+1,1))-AVERAGE(OFFSET($H$3,0,0,'Données projet'!$E$16+1,1))</f>
        <v>#N/A</v>
      </c>
      <c r="FK26" s="57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7" t="e">
        <f t="shared" si="26"/>
        <v>#N/A</v>
      </c>
      <c r="GE26" s="57" t="e">
        <f ca="1">AVERAGE(OFFSET($GD$3,0,0,'Données projet'!$E$17+1,1))-AVERAGE(OFFSET($H$3,0,0,'Données projet'!$E$17+1,1))</f>
        <v>#N/A</v>
      </c>
      <c r="GF26" s="57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7" t="e">
        <f t="shared" si="29"/>
        <v>#N/A</v>
      </c>
      <c r="GZ26" s="57" t="e">
        <f ca="1">AVERAGE(OFFSET($GY$3,0,0,'Données projet'!$E$18+1,1))-AVERAGE(OFFSET($H$3,0,0,'Données projet'!$E$18+1,1))</f>
        <v>#N/A</v>
      </c>
      <c r="HA26" s="57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0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4">
        <f t="shared" si="1"/>
        <v>341.65888053051549</v>
      </c>
      <c r="I27" s="6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80.701920000000015</v>
      </c>
      <c r="P27" s="13">
        <f t="shared" si="33"/>
        <v>22.308719863780368</v>
      </c>
      <c r="Q27" s="20">
        <f t="shared" si="2"/>
        <v>179.41019776275084</v>
      </c>
      <c r="R27" s="57">
        <f t="shared" si="0"/>
        <v>472.74353109608415</v>
      </c>
      <c r="S27" s="57">
        <f ca="1">AVERAGE(OFFSET($R$3,0,0,'Données projet'!$E$9+1,1))-AVERAGE(OFFSET($H$3,0,0,'Données projet'!$E$9+1,1))</f>
        <v>267.44861001389006</v>
      </c>
      <c r="T27" s="57">
        <f t="shared" si="34"/>
        <v>165.25921510802965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</v>
      </c>
      <c r="AI27" s="13">
        <f>IF('Données projet'!$A$62&gt;35,AI26+AH27-AQ26,IF(A27&lt;'Données projet'!$A$62,$AF$205^A27,IF(A27='Données projet'!$A$62,'Données projet'!$B$62,AI26+AH27-AQ26)))</f>
        <v>95.800000000000011</v>
      </c>
      <c r="AJ27" s="13">
        <f>AI27*VLOOKUP('Données projet'!$B$10,Paramètres!$A$1:$I$89,3,0)*VLOOKUP('Données projet'!$B$10,Paramètres!$A$1:$I$89,5,0)</f>
        <v>86.679839999999999</v>
      </c>
      <c r="AK27" s="13">
        <f t="shared" si="35"/>
        <v>23.762739053789723</v>
      </c>
      <c r="AL27" s="20">
        <f t="shared" si="4"/>
        <v>192.35415851868379</v>
      </c>
      <c r="AM27" s="57">
        <f t="shared" si="5"/>
        <v>485.6874918520171</v>
      </c>
      <c r="AN27" s="57">
        <f ca="1">AVERAGE(OFFSET($AM$3,0,0,'Données projet'!$E$10+1,1))-AVERAGE(OFFSET($H$3,0,0,'Données projet'!$E$10+1,1))</f>
        <v>294.92430430387071</v>
      </c>
      <c r="AO27" s="57">
        <f t="shared" si="36"/>
        <v>181.52228471516497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102.37344</v>
      </c>
      <c r="BF27" s="13">
        <f t="shared" si="37"/>
        <v>27.526662647523008</v>
      </c>
      <c r="BG27" s="20">
        <f t="shared" si="7"/>
        <v>226.24267877776924</v>
      </c>
      <c r="BH27" s="57">
        <f t="shared" si="8"/>
        <v>519.5760121111025</v>
      </c>
      <c r="BI27" s="57">
        <f ca="1">AVERAGE(OFFSET($BH$3,0,0,'Données projet'!$E$11+1,1))-AVERAGE(OFFSET($H$3,0,0,'Données projet'!$E$11+1,1))</f>
        <v>250.90550982248311</v>
      </c>
      <c r="BJ27" s="57">
        <f t="shared" si="38"/>
        <v>254.68874167908001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31.8</v>
      </c>
      <c r="BY27" s="12">
        <f>IF('Données projet'!$A$114&gt;35,BY26+BX27-CG26,IF(A27&lt;'Données projet'!$A$114,$BV$205^A27,IF(A27='Données projet'!$A$114,'Données projet'!$B$114,BY26+BX27-CG26)))</f>
        <v>387.2</v>
      </c>
      <c r="BZ27" s="13">
        <f>BY27*VLOOKUP('Données projet'!$B$12,Paramètres!$A$1:$I$89,3,0)*VLOOKUP('Données projet'!$B$12,Paramètres!$A$1:$I$89,5,0)</f>
        <v>216.44479999999999</v>
      </c>
      <c r="CA27" s="13">
        <f t="shared" si="39"/>
        <v>53.341449419561528</v>
      </c>
      <c r="CB27" s="20">
        <f t="shared" si="10"/>
        <v>469.87771773906962</v>
      </c>
      <c r="CC27" s="57">
        <f t="shared" si="11"/>
        <v>763.21105107240294</v>
      </c>
      <c r="CD27" s="57">
        <f ca="1">AVERAGE(OFFSET($CC$3,0,0,'Données projet'!$E$12+1,1))-AVERAGE(OFFSET($H$3,0,0,'Données projet'!$E$12+1,1))</f>
        <v>462.54745364638171</v>
      </c>
      <c r="CE27" s="57">
        <f t="shared" si="40"/>
        <v>571.50914830067313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6.8038669339109168</v>
      </c>
      <c r="CN27" s="22">
        <f t="shared" si="12"/>
        <v>6.8038669339109168</v>
      </c>
      <c r="CO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10.4</v>
      </c>
      <c r="CT27" s="12">
        <f>IF('Données projet'!$A$140&gt;35,CT26+CS27-DB26,IF(A27&lt;'Données projet'!$A$140,$CQ$205^A27,IF(A27='Données projet'!$A$140,'Données projet'!$B$140,CT26+CS27-DB26)))</f>
        <v>177.60000000000005</v>
      </c>
      <c r="CU27" s="17">
        <f>CT27*VLOOKUP('Données projet'!$B$13,Paramètres!$A$1:$I$89,3,0)*VLOOKUP('Données projet'!$B$13,Paramètres!$A$1:$I$89,5,0)</f>
        <v>169.00416000000004</v>
      </c>
      <c r="CV27" s="13">
        <f t="shared" si="41"/>
        <v>42.866912347244458</v>
      </c>
      <c r="CW27" s="20">
        <f t="shared" si="13"/>
        <v>369.00878433811749</v>
      </c>
      <c r="CX27" s="57">
        <f t="shared" si="14"/>
        <v>662.34211767145075</v>
      </c>
      <c r="CY27" s="57">
        <f ca="1">AVERAGE(OFFSET($CX$3,0,0,'Données projet'!$E$13+1,1))-AVERAGE(OFFSET($H$3,0,0,'Données projet'!$E$13+1,1))</f>
        <v>314.67680626853303</v>
      </c>
      <c r="CZ27" s="57">
        <f t="shared" si="42"/>
        <v>372.57247561536263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14.8</v>
      </c>
      <c r="DO27" s="12">
        <f>IF('Données projet'!$A$166&gt;35,DO26+DN27-DW26,IF(A27&lt;'Données projet'!$A$166,$DL$205^A27,IF(A27='Données projet'!$A$166,'Données projet'!$B$166,DO26+DN27-DW26)))</f>
        <v>126.19999999999997</v>
      </c>
      <c r="DP27" s="17">
        <f>DO27*VLOOKUP('Données projet'!$B$14,Paramètres!$A$1:$I$89,3,0)*VLOOKUP('Données projet'!$B$14,Paramètres!$A$1:$I$89,5,0)</f>
        <v>82.686239999999984</v>
      </c>
      <c r="DQ27" s="13">
        <f t="shared" si="43"/>
        <v>22.79271598914541</v>
      </c>
      <c r="DR27" s="20">
        <f t="shared" si="16"/>
        <v>183.70918168109486</v>
      </c>
      <c r="DS27" s="57">
        <f t="shared" si="17"/>
        <v>477.0425150144282</v>
      </c>
      <c r="DT27" s="57">
        <f ca="1">AVERAGE(OFFSET($DS$3,0,0,'Données projet'!$E$14+1,1))-AVERAGE(OFFSET($H$3,0,0,'Données projet'!$E$14+1,1))</f>
        <v>188.80259324758066</v>
      </c>
      <c r="DU27" s="57">
        <f t="shared" si="44"/>
        <v>195.48048518255354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14.8</v>
      </c>
      <c r="EJ27" s="12">
        <f>IF('Données projet'!$A$192&gt;35,EJ26+EI27-ER26,IF(A27&lt;'Données projet'!$A$192,$EG$205^A27,IF(A27='Données projet'!$A$192,'Données projet'!$B$192,EJ26+EI27-ER26)))</f>
        <v>126.19999999999997</v>
      </c>
      <c r="EK27" s="17">
        <f>EJ27*VLOOKUP('Données projet'!$B$15,Paramètres!$A$1:$I$89,3,0)*VLOOKUP('Données projet'!$B$15,Paramètres!$A$1:$I$89,5,0)</f>
        <v>102.37344</v>
      </c>
      <c r="EL27" s="13">
        <f t="shared" si="45"/>
        <v>27.526662647523008</v>
      </c>
      <c r="EM27" s="20">
        <f t="shared" si="19"/>
        <v>226.24267877776924</v>
      </c>
      <c r="EN27" s="57">
        <f t="shared" si="20"/>
        <v>519.5760121111025</v>
      </c>
      <c r="EO27" s="57">
        <f ca="1">AVERAGE(OFFSET($EN$3,0,0,'Données projet'!$E$15+1,1))-AVERAGE(OFFSET($H$3,0,0,'Données projet'!$E$15+1,1))</f>
        <v>250.90550982248311</v>
      </c>
      <c r="EP27" s="57">
        <f t="shared" si="46"/>
        <v>254.68874167908001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7" t="e">
        <f t="shared" si="23"/>
        <v>#N/A</v>
      </c>
      <c r="FJ27" s="57" t="e">
        <f ca="1">AVERAGE(OFFSET($FI$3,0,0,'Données projet'!$E$16+1,1))-AVERAGE(OFFSET($H$3,0,0,'Données projet'!$E$16+1,1))</f>
        <v>#N/A</v>
      </c>
      <c r="FK27" s="57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7" t="e">
        <f t="shared" si="26"/>
        <v>#N/A</v>
      </c>
      <c r="GE27" s="57" t="e">
        <f ca="1">AVERAGE(OFFSET($GD$3,0,0,'Données projet'!$E$17+1,1))-AVERAGE(OFFSET($H$3,0,0,'Données projet'!$E$17+1,1))</f>
        <v>#N/A</v>
      </c>
      <c r="GF27" s="57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7" t="e">
        <f t="shared" si="29"/>
        <v>#N/A</v>
      </c>
      <c r="GZ27" s="57" t="e">
        <f ca="1">AVERAGE(OFFSET($GY$3,0,0,'Données projet'!$E$18+1,1))-AVERAGE(OFFSET($H$3,0,0,'Données projet'!$E$18+1,1))</f>
        <v>#N/A</v>
      </c>
      <c r="HA27" s="57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0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4">
        <f t="shared" si="1"/>
        <v>343.61413269921098</v>
      </c>
      <c r="I28" s="6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86.767200000000017</v>
      </c>
      <c r="P28" s="13">
        <f t="shared" si="33"/>
        <v>23.783899326718451</v>
      </c>
      <c r="Q28" s="20">
        <f t="shared" si="2"/>
        <v>192.54316466070134</v>
      </c>
      <c r="R28" s="57">
        <f t="shared" si="0"/>
        <v>485.87649799403465</v>
      </c>
      <c r="S28" s="57">
        <f ca="1">AVERAGE(OFFSET($R$3,0,0,'Données projet'!$E$9+1,1))-AVERAGE(OFFSET($H$3,0,0,'Données projet'!$E$9+1,1))</f>
        <v>267.44861001389006</v>
      </c>
      <c r="T28" s="57">
        <f t="shared" si="34"/>
        <v>165.25921510802965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103</v>
      </c>
      <c r="AG28" s="12">
        <f>VLOOKUP(A28,'Données projet'!$A$61:$I$81,9,0)</f>
        <v>7.2</v>
      </c>
      <c r="AH28" s="12">
        <f t="array" ref="AH28">INDEX(AG:AG,MIN(IF(ISNUMBER(AG28:AG224),ROW(AG28:AG224),"")))</f>
        <v>7.2</v>
      </c>
      <c r="AI28" s="13">
        <f>IF('Données projet'!$A$62&gt;35,AI27+AH28-AQ27,IF(A28&lt;'Données projet'!$A$62,$AF$205^A28,IF(A28='Données projet'!$A$62,'Données projet'!$B$62,AI27+AH28-AQ27)))</f>
        <v>103.00000000000001</v>
      </c>
      <c r="AJ28" s="13">
        <f>AI28*VLOOKUP('Données projet'!$B$10,Paramètres!$A$1:$I$89,3,0)*VLOOKUP('Données projet'!$B$10,Paramètres!$A$1:$I$89,5,0)</f>
        <v>93.194400000000002</v>
      </c>
      <c r="AK28" s="13">
        <f t="shared" si="35"/>
        <v>25.33406653691528</v>
      </c>
      <c r="AL28" s="20">
        <f t="shared" si="4"/>
        <v>206.43707921846078</v>
      </c>
      <c r="AM28" s="57">
        <f t="shared" si="5"/>
        <v>499.7704125517941</v>
      </c>
      <c r="AN28" s="57">
        <f ca="1">AVERAGE(OFFSET($AM$3,0,0,'Données projet'!$E$10+1,1))-AVERAGE(OFFSET($H$3,0,0,'Données projet'!$E$10+1,1))</f>
        <v>294.92430430387071</v>
      </c>
      <c r="AO28" s="57">
        <f t="shared" si="36"/>
        <v>181.52228471516497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28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114.3792</v>
      </c>
      <c r="BF28" s="13">
        <f t="shared" si="37"/>
        <v>30.360402323573549</v>
      </c>
      <c r="BG28" s="20">
        <f t="shared" si="7"/>
        <v>252.08814071355724</v>
      </c>
      <c r="BH28" s="57">
        <f t="shared" si="8"/>
        <v>545.42147404689058</v>
      </c>
      <c r="BI28" s="57">
        <f ca="1">AVERAGE(OFFSET($BH$3,0,0,'Données projet'!$E$11+1,1))-AVERAGE(OFFSET($H$3,0,0,'Données projet'!$E$11+1,1))</f>
        <v>250.90550982248311</v>
      </c>
      <c r="BJ28" s="57">
        <f t="shared" si="38"/>
        <v>254.68874167908001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419</v>
      </c>
      <c r="BW28" s="12">
        <f>VLOOKUP(A28,'Données projet'!$A$113:$I$133,9,0)</f>
        <v>31.8</v>
      </c>
      <c r="BX28" s="12">
        <f t="array" ref="BX28">INDEX(BW:BW,MIN(IF(ISNUMBER(BW28:BW224),ROW(BW28:BW224),"")))</f>
        <v>31.8</v>
      </c>
      <c r="BY28" s="12">
        <f>IF('Données projet'!$A$114&gt;35,BY27+BX28-CG27,IF(A28&lt;'Données projet'!$A$114,$BV$205^A28,IF(A28='Données projet'!$A$114,'Données projet'!$B$114,BY27+BX28-CG27)))</f>
        <v>419</v>
      </c>
      <c r="BZ28" s="13">
        <f>BY28*VLOOKUP('Données projet'!$B$12,Paramètres!$A$1:$I$89,3,0)*VLOOKUP('Données projet'!$B$12,Paramètres!$A$1:$I$89,5,0)</f>
        <v>234.221</v>
      </c>
      <c r="CA28" s="13">
        <f t="shared" si="39"/>
        <v>57.194392182630075</v>
      </c>
      <c r="CB28" s="20">
        <f t="shared" si="10"/>
        <v>507.54847471808063</v>
      </c>
      <c r="CC28" s="57">
        <f t="shared" si="11"/>
        <v>800.88180805141394</v>
      </c>
      <c r="CD28" s="57">
        <f ca="1">AVERAGE(OFFSET($CC$3,0,0,'Données projet'!$E$12+1,1))-AVERAGE(OFFSET($H$3,0,0,'Données projet'!$E$12+1,1))</f>
        <v>462.54745364638171</v>
      </c>
      <c r="CE28" s="57">
        <f t="shared" si="40"/>
        <v>571.50914830067313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60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0.55000000000000004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24.374782328696071</v>
      </c>
      <c r="CM28" s="21">
        <f>EXP(-LN(2)/2)*CM27+(1-EXP(-LN(2)/2))/(LN(2)/2)*CG28*CJ28*VLOOKUP('Données projet'!$B$12,Paramètres!$A$1:$I$89,3,0)*0.475*44/12</f>
        <v>4.811060447259333</v>
      </c>
      <c r="CN28" s="22">
        <f t="shared" si="12"/>
        <v>29.185842775955404</v>
      </c>
      <c r="CO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188</v>
      </c>
      <c r="CR28" s="12">
        <f>VLOOKUP(A28,'Données projet'!$A$139:$I$159,9,0)</f>
        <v>10.4</v>
      </c>
      <c r="CS28" s="12">
        <f t="array" ref="CS28">INDEX(CR:CR,MIN(IF(ISNUMBER(CR28:CR224),ROW(CR28:CR224),"")))</f>
        <v>10.4</v>
      </c>
      <c r="CT28" s="12">
        <f>IF('Données projet'!$A$140&gt;35,CT27+CS28-DB27,IF(A28&lt;'Données projet'!$A$140,$CQ$205^A28,IF(A28='Données projet'!$A$140,'Données projet'!$B$140,CT27+CS28-DB27)))</f>
        <v>188.00000000000006</v>
      </c>
      <c r="CU28" s="17">
        <f>CT28*VLOOKUP('Données projet'!$B$13,Paramètres!$A$1:$I$89,3,0)*VLOOKUP('Données projet'!$B$13,Paramètres!$A$1:$I$89,5,0)</f>
        <v>178.90080000000006</v>
      </c>
      <c r="CV28" s="13">
        <f t="shared" si="41"/>
        <v>45.077547304318657</v>
      </c>
      <c r="CW28" s="20">
        <f t="shared" si="13"/>
        <v>390.09562155502181</v>
      </c>
      <c r="CX28" s="57">
        <f t="shared" si="14"/>
        <v>683.42895488835507</v>
      </c>
      <c r="CY28" s="57">
        <f ca="1">AVERAGE(OFFSET($CX$3,0,0,'Données projet'!$E$13+1,1))-AVERAGE(OFFSET($H$3,0,0,'Données projet'!$E$13+1,1))</f>
        <v>314.67680626853303</v>
      </c>
      <c r="CZ28" s="57">
        <f t="shared" si="42"/>
        <v>372.57247561536263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26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141</v>
      </c>
      <c r="DM28" s="12">
        <f>VLOOKUP(A28,'Données projet'!$A$165:$I$185,9,0)</f>
        <v>14.8</v>
      </c>
      <c r="DN28" s="12">
        <f t="array" ref="DN28">INDEX(DM:DM,MIN(IF(ISNUMBER(DM28:DM224),ROW(DM28:DM224),"")))</f>
        <v>14.8</v>
      </c>
      <c r="DO28" s="12">
        <f>IF('Données projet'!$A$166&gt;35,DO27+DN28-DW27,IF(A28&lt;'Données projet'!$A$166,$DL$205^A28,IF(A28='Données projet'!$A$166,'Données projet'!$B$166,DO27+DN28-DW27)))</f>
        <v>140.99999999999997</v>
      </c>
      <c r="DP28" s="17">
        <f>DO28*VLOOKUP('Données projet'!$B$14,Paramètres!$A$1:$I$89,3,0)*VLOOKUP('Données projet'!$B$14,Paramètres!$A$1:$I$89,5,0)</f>
        <v>92.383199999999974</v>
      </c>
      <c r="DQ28" s="13">
        <f t="shared" si="43"/>
        <v>25.13911825557507</v>
      </c>
      <c r="DR28" s="20">
        <f t="shared" si="16"/>
        <v>204.68470429512652</v>
      </c>
      <c r="DS28" s="57">
        <f t="shared" si="17"/>
        <v>498.01803762845987</v>
      </c>
      <c r="DT28" s="57">
        <f ca="1">AVERAGE(OFFSET($DS$3,0,0,'Données projet'!$E$14+1,1))-AVERAGE(OFFSET($H$3,0,0,'Données projet'!$E$14+1,1))</f>
        <v>188.80259324758066</v>
      </c>
      <c r="DU28" s="57">
        <f t="shared" si="44"/>
        <v>195.48048518255354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35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141</v>
      </c>
      <c r="EH28" s="12">
        <f>VLOOKUP(A28,'Données projet'!$A$191:$I$211,9,0)</f>
        <v>14.8</v>
      </c>
      <c r="EI28" s="12">
        <f t="array" ref="EI28">INDEX(EH:EH,MIN(IF(ISNUMBER(EH28:EH224),ROW(EH28:EH224),"")))</f>
        <v>14.8</v>
      </c>
      <c r="EJ28" s="12">
        <f>IF('Données projet'!$A$192&gt;35,EJ27+EI28-ER27,IF(A28&lt;'Données projet'!$A$192,$EG$205^A28,IF(A28='Données projet'!$A$192,'Données projet'!$B$192,EJ27+EI28-ER27)))</f>
        <v>140.99999999999997</v>
      </c>
      <c r="EK28" s="17">
        <f>EJ28*VLOOKUP('Données projet'!$B$15,Paramètres!$A$1:$I$89,3,0)*VLOOKUP('Données projet'!$B$15,Paramètres!$A$1:$I$89,5,0)</f>
        <v>114.3792</v>
      </c>
      <c r="EL28" s="13">
        <f t="shared" si="45"/>
        <v>30.360402323573549</v>
      </c>
      <c r="EM28" s="20">
        <f t="shared" si="19"/>
        <v>252.08814071355724</v>
      </c>
      <c r="EN28" s="57">
        <f t="shared" si="20"/>
        <v>545.42147404689058</v>
      </c>
      <c r="EO28" s="57">
        <f ca="1">AVERAGE(OFFSET($EN$3,0,0,'Données projet'!$E$15+1,1))-AVERAGE(OFFSET($H$3,0,0,'Données projet'!$E$15+1,1))</f>
        <v>250.90550982248311</v>
      </c>
      <c r="EP28" s="57">
        <f t="shared" si="46"/>
        <v>254.68874167908001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35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7" t="e">
        <f t="shared" si="23"/>
        <v>#N/A</v>
      </c>
      <c r="FJ28" s="57" t="e">
        <f ca="1">AVERAGE(OFFSET($FI$3,0,0,'Données projet'!$E$16+1,1))-AVERAGE(OFFSET($H$3,0,0,'Données projet'!$E$16+1,1))</f>
        <v>#N/A</v>
      </c>
      <c r="FK28" s="57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7" t="e">
        <f t="shared" si="26"/>
        <v>#N/A</v>
      </c>
      <c r="GE28" s="57" t="e">
        <f ca="1">AVERAGE(OFFSET($GD$3,0,0,'Données projet'!$E$17+1,1))-AVERAGE(OFFSET($H$3,0,0,'Données projet'!$E$17+1,1))</f>
        <v>#N/A</v>
      </c>
      <c r="GF28" s="57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7" t="e">
        <f t="shared" si="29"/>
        <v>#N/A</v>
      </c>
      <c r="GZ28" s="57" t="e">
        <f ca="1">AVERAGE(OFFSET($GY$3,0,0,'Données projet'!$E$18+1,1))-AVERAGE(OFFSET($H$3,0,0,'Données projet'!$E$18+1,1))</f>
        <v>#N/A</v>
      </c>
      <c r="HA28" s="57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0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4">
        <f t="shared" si="1"/>
        <v>345.5673695373402</v>
      </c>
      <c r="I29" s="6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70.930080000000018</v>
      </c>
      <c r="P29" s="13">
        <f t="shared" si="33"/>
        <v>19.904251483253464</v>
      </c>
      <c r="Q29" s="20">
        <f t="shared" si="2"/>
        <v>158.20312733333313</v>
      </c>
      <c r="R29" s="57">
        <f t="shared" si="0"/>
        <v>451.53646066666647</v>
      </c>
      <c r="S29" s="57">
        <f ca="1">AVERAGE(OFFSET($R$3,0,0,'Données projet'!$E$9+1,1))-AVERAGE(OFFSET($H$3,0,0,'Données projet'!$E$9+1,1))</f>
        <v>267.44861001389006</v>
      </c>
      <c r="T29" s="57">
        <f t="shared" si="34"/>
        <v>165.25921510802965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84.200000000000017</v>
      </c>
      <c r="AJ29" s="13">
        <f>AI29*VLOOKUP('Données projet'!$B$10,Paramètres!$A$1:$I$89,3,0)*VLOOKUP('Données projet'!$B$10,Paramètres!$A$1:$I$89,5,0)</f>
        <v>76.184160000000006</v>
      </c>
      <c r="AK29" s="13">
        <f t="shared" si="35"/>
        <v>21.201554232857223</v>
      </c>
      <c r="AL29" s="20">
        <f t="shared" si="4"/>
        <v>169.613452288893</v>
      </c>
      <c r="AM29" s="57">
        <f t="shared" si="5"/>
        <v>462.94678562222634</v>
      </c>
      <c r="AN29" s="57">
        <f ca="1">AVERAGE(OFFSET($AM$3,0,0,'Données projet'!$E$10+1,1))-AVERAGE(OFFSET($H$3,0,0,'Données projet'!$E$10+1,1))</f>
        <v>294.92430430387071</v>
      </c>
      <c r="AO29" s="57">
        <f t="shared" si="36"/>
        <v>181.52228471516497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97.506239999999977</v>
      </c>
      <c r="BF29" s="13">
        <f t="shared" si="37"/>
        <v>26.367023243681039</v>
      </c>
      <c r="BG29" s="20">
        <f t="shared" si="7"/>
        <v>215.74593348274445</v>
      </c>
      <c r="BH29" s="57">
        <f t="shared" si="8"/>
        <v>509.07926681607773</v>
      </c>
      <c r="BI29" s="57">
        <f ca="1">AVERAGE(OFFSET($BH$3,0,0,'Données projet'!$E$11+1,1))-AVERAGE(OFFSET($H$3,0,0,'Données projet'!$E$11+1,1))</f>
        <v>250.90550982248311</v>
      </c>
      <c r="BJ29" s="57">
        <f t="shared" si="38"/>
        <v>254.68874167908001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33</v>
      </c>
      <c r="BY29" s="12">
        <f>IF('Données projet'!$A$114&gt;35,BY28+BX29-CG28,IF(A29&lt;'Données projet'!$A$114,$BV$205^A29,IF(A29='Données projet'!$A$114,'Données projet'!$B$114,BY28+BX29-CG28)))</f>
        <v>392</v>
      </c>
      <c r="BZ29" s="13">
        <f>BY29*VLOOKUP('Données projet'!$B$12,Paramètres!$A$1:$I$89,3,0)*VLOOKUP('Données projet'!$B$12,Paramètres!$A$1:$I$89,5,0)</f>
        <v>219.12800000000001</v>
      </c>
      <c r="CA29" s="13">
        <f t="shared" si="39"/>
        <v>53.925317044064428</v>
      </c>
      <c r="CB29" s="20">
        <f t="shared" si="10"/>
        <v>475.56786051841215</v>
      </c>
      <c r="CC29" s="57">
        <f t="shared" si="11"/>
        <v>768.90119385174546</v>
      </c>
      <c r="CD29" s="57">
        <f ca="1">AVERAGE(OFFSET($CC$3,0,0,'Données projet'!$E$12+1,1))-AVERAGE(OFFSET($H$3,0,0,'Données projet'!$E$12+1,1))</f>
        <v>462.54745364638171</v>
      </c>
      <c r="CE29" s="57">
        <f t="shared" si="40"/>
        <v>571.50914830067313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23.708252624103782</v>
      </c>
      <c r="CM29" s="21">
        <f>EXP(-LN(2)/2)*CM28+(1-EXP(-LN(2)/2))/(LN(2)/2)*CG29*CJ29*VLOOKUP('Données projet'!$B$12,Paramètres!$A$1:$I$89,3,0)*0.475*44/12</f>
        <v>3.4019334669554588</v>
      </c>
      <c r="CN29" s="22">
        <f t="shared" si="12"/>
        <v>27.110186091059241</v>
      </c>
      <c r="CO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9.4</v>
      </c>
      <c r="CT29" s="12">
        <f>IF('Données projet'!$A$140&gt;35,CT28+CS29-DB28,IF(A29&lt;'Données projet'!$A$140,$CQ$205^A29,IF(A29='Données projet'!$A$140,'Données projet'!$B$140,CT28+CS29-DB28)))</f>
        <v>171.40000000000006</v>
      </c>
      <c r="CU29" s="17">
        <f>CT29*VLOOKUP('Données projet'!$B$13,Paramètres!$A$1:$I$89,3,0)*VLOOKUP('Données projet'!$B$13,Paramètres!$A$1:$I$89,5,0)</f>
        <v>163.10424000000006</v>
      </c>
      <c r="CV29" s="13">
        <f t="shared" si="41"/>
        <v>41.541900444856886</v>
      </c>
      <c r="CW29" s="20">
        <f t="shared" si="13"/>
        <v>356.42536127479252</v>
      </c>
      <c r="CX29" s="57">
        <f t="shared" si="14"/>
        <v>649.75869460812578</v>
      </c>
      <c r="CY29" s="57">
        <f ca="1">AVERAGE(OFFSET($CX$3,0,0,'Données projet'!$E$13+1,1))-AVERAGE(OFFSET($H$3,0,0,'Données projet'!$E$13+1,1))</f>
        <v>314.67680626853303</v>
      </c>
      <c r="CZ29" s="57">
        <f t="shared" si="42"/>
        <v>372.57247561536263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14.2</v>
      </c>
      <c r="DO29" s="12">
        <f>IF('Données projet'!$A$166&gt;35,DO28+DN29-DW28,IF(A29&lt;'Données projet'!$A$166,$DL$205^A29,IF(A29='Données projet'!$A$166,'Données projet'!$B$166,DO28+DN29-DW28)))</f>
        <v>120.19999999999996</v>
      </c>
      <c r="DP29" s="17">
        <f>DO29*VLOOKUP('Données projet'!$B$14,Paramètres!$A$1:$I$89,3,0)*VLOOKUP('Données projet'!$B$14,Paramètres!$A$1:$I$89,5,0)</f>
        <v>78.755039999999966</v>
      </c>
      <c r="DQ29" s="13">
        <f t="shared" si="43"/>
        <v>21.832507629707017</v>
      </c>
      <c r="DR29" s="20">
        <f t="shared" si="16"/>
        <v>175.18997878840631</v>
      </c>
      <c r="DS29" s="57">
        <f t="shared" si="17"/>
        <v>468.52331212173965</v>
      </c>
      <c r="DT29" s="57">
        <f ca="1">AVERAGE(OFFSET($DS$3,0,0,'Données projet'!$E$14+1,1))-AVERAGE(OFFSET($H$3,0,0,'Données projet'!$E$14+1,1))</f>
        <v>188.80259324758066</v>
      </c>
      <c r="DU29" s="57">
        <f t="shared" si="44"/>
        <v>195.48048518255354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14.2</v>
      </c>
      <c r="EJ29" s="12">
        <f>IF('Données projet'!$A$192&gt;35,EJ28+EI29-ER28,IF(A29&lt;'Données projet'!$A$192,$EG$205^A29,IF(A29='Données projet'!$A$192,'Données projet'!$B$192,EJ28+EI29-ER28)))</f>
        <v>120.19999999999996</v>
      </c>
      <c r="EK29" s="17">
        <f>EJ29*VLOOKUP('Données projet'!$B$15,Paramètres!$A$1:$I$89,3,0)*VLOOKUP('Données projet'!$B$15,Paramètres!$A$1:$I$89,5,0)</f>
        <v>97.506239999999977</v>
      </c>
      <c r="EL29" s="13">
        <f t="shared" si="45"/>
        <v>26.367023243681039</v>
      </c>
      <c r="EM29" s="20">
        <f t="shared" si="19"/>
        <v>215.74593348274445</v>
      </c>
      <c r="EN29" s="57">
        <f t="shared" si="20"/>
        <v>509.07926681607773</v>
      </c>
      <c r="EO29" s="57">
        <f ca="1">AVERAGE(OFFSET($EN$3,0,0,'Données projet'!$E$15+1,1))-AVERAGE(OFFSET($H$3,0,0,'Données projet'!$E$15+1,1))</f>
        <v>250.90550982248311</v>
      </c>
      <c r="EP29" s="57">
        <f t="shared" si="46"/>
        <v>254.68874167908001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7" t="e">
        <f t="shared" si="23"/>
        <v>#N/A</v>
      </c>
      <c r="FJ29" s="57" t="e">
        <f ca="1">AVERAGE(OFFSET($FI$3,0,0,'Données projet'!$E$16+1,1))-AVERAGE(OFFSET($H$3,0,0,'Données projet'!$E$16+1,1))</f>
        <v>#N/A</v>
      </c>
      <c r="FK29" s="57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7" t="e">
        <f t="shared" si="26"/>
        <v>#N/A</v>
      </c>
      <c r="GE29" s="57" t="e">
        <f ca="1">AVERAGE(OFFSET($GD$3,0,0,'Données projet'!$E$17+1,1))-AVERAGE(OFFSET($H$3,0,0,'Données projet'!$E$17+1,1))</f>
        <v>#N/A</v>
      </c>
      <c r="GF29" s="57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7" t="e">
        <f t="shared" si="29"/>
        <v>#N/A</v>
      </c>
      <c r="GZ29" s="57" t="e">
        <f ca="1">AVERAGE(OFFSET($GY$3,0,0,'Données projet'!$E$18+1,1))-AVERAGE(OFFSET($H$3,0,0,'Données projet'!$E$18+1,1))</f>
        <v>#N/A</v>
      </c>
      <c r="HA29" s="57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0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4">
        <f t="shared" si="1"/>
        <v>347.51867743004942</v>
      </c>
      <c r="I30" s="6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78.680160000000029</v>
      </c>
      <c r="P30" s="13">
        <f t="shared" si="33"/>
        <v>21.814164609384523</v>
      </c>
      <c r="Q30" s="20">
        <f t="shared" si="2"/>
        <v>175.02761536134474</v>
      </c>
      <c r="R30" s="57">
        <f t="shared" si="0"/>
        <v>468.36094869467809</v>
      </c>
      <c r="S30" s="57">
        <f ca="1">AVERAGE(OFFSET($R$3,0,0,'Données projet'!$E$9+1,1))-AVERAGE(OFFSET($H$3,0,0,'Données projet'!$E$9+1,1))</f>
        <v>267.44861001389006</v>
      </c>
      <c r="T30" s="57">
        <f t="shared" si="34"/>
        <v>165.25921510802965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93.40000000000002</v>
      </c>
      <c r="AJ30" s="13">
        <f>AI30*VLOOKUP('Données projet'!$B$10,Paramètres!$A$1:$I$89,3,0)*VLOOKUP('Données projet'!$B$10,Paramètres!$A$1:$I$89,5,0)</f>
        <v>84.508320000000026</v>
      </c>
      <c r="AK30" s="13">
        <f t="shared" si="35"/>
        <v>23.235950088324714</v>
      </c>
      <c r="AL30" s="20">
        <f t="shared" si="4"/>
        <v>187.65460373716556</v>
      </c>
      <c r="AM30" s="57">
        <f t="shared" si="5"/>
        <v>480.9879370704989</v>
      </c>
      <c r="AN30" s="57">
        <f ca="1">AVERAGE(OFFSET($AM$3,0,0,'Données projet'!$E$10+1,1))-AVERAGE(OFFSET($H$3,0,0,'Données projet'!$E$10+1,1))</f>
        <v>294.92430430387071</v>
      </c>
      <c r="AO30" s="57">
        <f t="shared" si="36"/>
        <v>181.52228471516497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109.02527999999997</v>
      </c>
      <c r="BF30" s="13">
        <f t="shared" si="37"/>
        <v>29.101214110737224</v>
      </c>
      <c r="BG30" s="20">
        <f t="shared" si="7"/>
        <v>240.57031057620057</v>
      </c>
      <c r="BH30" s="57">
        <f t="shared" si="8"/>
        <v>533.90364390953391</v>
      </c>
      <c r="BI30" s="57">
        <f ca="1">AVERAGE(OFFSET($BH$3,0,0,'Données projet'!$E$11+1,1))-AVERAGE(OFFSET($H$3,0,0,'Données projet'!$E$11+1,1))</f>
        <v>250.90550982248311</v>
      </c>
      <c r="BJ30" s="57">
        <f t="shared" si="38"/>
        <v>254.68874167908001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33</v>
      </c>
      <c r="BY30" s="12">
        <f>IF('Données projet'!$A$114&gt;35,BY29+BX30-CG29,IF(A30&lt;'Données projet'!$A$114,$BV$205^A30,IF(A30='Données projet'!$A$114,'Données projet'!$B$114,BY29+BX30-CG29)))</f>
        <v>425</v>
      </c>
      <c r="BZ30" s="13">
        <f>BY30*VLOOKUP('Données projet'!$B$12,Paramètres!$A$1:$I$89,3,0)*VLOOKUP('Données projet'!$B$12,Paramètres!$A$1:$I$89,5,0)</f>
        <v>237.57500000000002</v>
      </c>
      <c r="CA30" s="13">
        <f t="shared" si="39"/>
        <v>57.917471937261162</v>
      </c>
      <c r="CB30" s="20">
        <f t="shared" si="10"/>
        <v>514.64938862406325</v>
      </c>
      <c r="CC30" s="57">
        <f t="shared" si="11"/>
        <v>807.98272195739651</v>
      </c>
      <c r="CD30" s="57">
        <f ca="1">AVERAGE(OFFSET($CC$3,0,0,'Données projet'!$E$12+1,1))-AVERAGE(OFFSET($H$3,0,0,'Données projet'!$E$12+1,1))</f>
        <v>462.54745364638171</v>
      </c>
      <c r="CE30" s="57">
        <f t="shared" si="40"/>
        <v>571.50914830067313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23.059949209334846</v>
      </c>
      <c r="CM30" s="21">
        <f>EXP(-LN(2)/2)*CM29+(1-EXP(-LN(2)/2))/(LN(2)/2)*CG30*CJ30*VLOOKUP('Données projet'!$B$12,Paramètres!$A$1:$I$89,3,0)*0.475*44/12</f>
        <v>2.405530223629667</v>
      </c>
      <c r="CN30" s="22">
        <f t="shared" si="12"/>
        <v>25.465479432964514</v>
      </c>
      <c r="CO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9.4</v>
      </c>
      <c r="CT30" s="12">
        <f>IF('Données projet'!$A$140&gt;35,CT29+CS30-DB29,IF(A30&lt;'Données projet'!$A$140,$CQ$205^A30,IF(A30='Données projet'!$A$140,'Données projet'!$B$140,CT29+CS30-DB29)))</f>
        <v>180.80000000000007</v>
      </c>
      <c r="CU30" s="17">
        <f>CT30*VLOOKUP('Données projet'!$B$13,Paramètres!$A$1:$I$89,3,0)*VLOOKUP('Données projet'!$B$13,Paramètres!$A$1:$I$89,5,0)</f>
        <v>172.04928000000007</v>
      </c>
      <c r="CV30" s="13">
        <f t="shared" si="41"/>
        <v>43.548673566823723</v>
      </c>
      <c r="CW30" s="20">
        <f t="shared" si="13"/>
        <v>375.49976912888474</v>
      </c>
      <c r="CX30" s="57">
        <f t="shared" si="14"/>
        <v>668.83310246221799</v>
      </c>
      <c r="CY30" s="57">
        <f ca="1">AVERAGE(OFFSET($CX$3,0,0,'Données projet'!$E$13+1,1))-AVERAGE(OFFSET($H$3,0,0,'Données projet'!$E$13+1,1))</f>
        <v>314.67680626853303</v>
      </c>
      <c r="CZ30" s="57">
        <f t="shared" si="42"/>
        <v>372.57247561536263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14.2</v>
      </c>
      <c r="DO30" s="12">
        <f>IF('Données projet'!$A$166&gt;35,DO29+DN30-DW29,IF(A30&lt;'Données projet'!$A$166,$DL$205^A30,IF(A30='Données projet'!$A$166,'Données projet'!$B$166,DO29+DN30-DW29)))</f>
        <v>134.39999999999995</v>
      </c>
      <c r="DP30" s="17">
        <f>DO30*VLOOKUP('Données projet'!$B$14,Paramètres!$A$1:$I$89,3,0)*VLOOKUP('Données projet'!$B$14,Paramètres!$A$1:$I$89,5,0)</f>
        <v>88.058879999999974</v>
      </c>
      <c r="DQ30" s="13">
        <f t="shared" si="43"/>
        <v>24.096481170231179</v>
      </c>
      <c r="DR30" s="20">
        <f t="shared" si="16"/>
        <v>195.33725403815257</v>
      </c>
      <c r="DS30" s="57">
        <f t="shared" si="17"/>
        <v>488.67058737148591</v>
      </c>
      <c r="DT30" s="57">
        <f ca="1">AVERAGE(OFFSET($DS$3,0,0,'Données projet'!$E$14+1,1))-AVERAGE(OFFSET($H$3,0,0,'Données projet'!$E$14+1,1))</f>
        <v>188.80259324758066</v>
      </c>
      <c r="DU30" s="57">
        <f t="shared" si="44"/>
        <v>195.48048518255354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14.2</v>
      </c>
      <c r="EJ30" s="12">
        <f>IF('Données projet'!$A$192&gt;35,EJ29+EI30-ER29,IF(A30&lt;'Données projet'!$A$192,$EG$205^A30,IF(A30='Données projet'!$A$192,'Données projet'!$B$192,EJ29+EI30-ER29)))</f>
        <v>134.39999999999995</v>
      </c>
      <c r="EK30" s="17">
        <f>EJ30*VLOOKUP('Données projet'!$B$15,Paramètres!$A$1:$I$89,3,0)*VLOOKUP('Données projet'!$B$15,Paramètres!$A$1:$I$89,5,0)</f>
        <v>109.02527999999997</v>
      </c>
      <c r="EL30" s="13">
        <f t="shared" si="45"/>
        <v>29.101214110737224</v>
      </c>
      <c r="EM30" s="20">
        <f t="shared" si="19"/>
        <v>240.57031057620057</v>
      </c>
      <c r="EN30" s="57">
        <f t="shared" si="20"/>
        <v>533.90364390953391</v>
      </c>
      <c r="EO30" s="57">
        <f ca="1">AVERAGE(OFFSET($EN$3,0,0,'Données projet'!$E$15+1,1))-AVERAGE(OFFSET($H$3,0,0,'Données projet'!$E$15+1,1))</f>
        <v>250.90550982248311</v>
      </c>
      <c r="EP30" s="57">
        <f t="shared" si="46"/>
        <v>254.68874167908001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7" t="e">
        <f t="shared" si="23"/>
        <v>#N/A</v>
      </c>
      <c r="FJ30" s="57" t="e">
        <f ca="1">AVERAGE(OFFSET($FI$3,0,0,'Données projet'!$E$16+1,1))-AVERAGE(OFFSET($H$3,0,0,'Données projet'!$E$16+1,1))</f>
        <v>#N/A</v>
      </c>
      <c r="FK30" s="57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7" t="e">
        <f t="shared" si="26"/>
        <v>#N/A</v>
      </c>
      <c r="GE30" s="57" t="e">
        <f ca="1">AVERAGE(OFFSET($GD$3,0,0,'Données projet'!$E$17+1,1))-AVERAGE(OFFSET($H$3,0,0,'Données projet'!$E$17+1,1))</f>
        <v>#N/A</v>
      </c>
      <c r="GF30" s="57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7" t="e">
        <f t="shared" si="29"/>
        <v>#N/A</v>
      </c>
      <c r="GZ30" s="57" t="e">
        <f ca="1">AVERAGE(OFFSET($GY$3,0,0,'Données projet'!$E$18+1,1))-AVERAGE(OFFSET($H$3,0,0,'Données projet'!$E$18+1,1))</f>
        <v>#N/A</v>
      </c>
      <c r="HA30" s="57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0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4">
        <f t="shared" si="1"/>
        <v>349.46813600102513</v>
      </c>
      <c r="I31" s="6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86.430240000000026</v>
      </c>
      <c r="P31" s="13">
        <f t="shared" si="33"/>
        <v>23.702267442352529</v>
      </c>
      <c r="Q31" s="20">
        <f t="shared" si="2"/>
        <v>191.81411712876402</v>
      </c>
      <c r="R31" s="57">
        <f t="shared" si="0"/>
        <v>485.14745046209737</v>
      </c>
      <c r="S31" s="57">
        <f ca="1">AVERAGE(OFFSET($R$3,0,0,'Données projet'!$E$9+1,1))-AVERAGE(OFFSET($H$3,0,0,'Données projet'!$E$9+1,1))</f>
        <v>267.44861001389006</v>
      </c>
      <c r="T31" s="57">
        <f t="shared" si="34"/>
        <v>165.25921510802965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102.60000000000002</v>
      </c>
      <c r="AJ31" s="13">
        <f>AI31*VLOOKUP('Données projet'!$B$10,Paramètres!$A$1:$I$89,3,0)*VLOOKUP('Données projet'!$B$10,Paramètres!$A$1:$I$89,5,0)</f>
        <v>92.832480000000018</v>
      </c>
      <c r="AK31" s="13">
        <f t="shared" si="35"/>
        <v>25.247114117480137</v>
      </c>
      <c r="AL31" s="20">
        <f t="shared" si="4"/>
        <v>205.65529308794461</v>
      </c>
      <c r="AM31" s="57">
        <f t="shared" si="5"/>
        <v>498.9886264212779</v>
      </c>
      <c r="AN31" s="57">
        <f ca="1">AVERAGE(OFFSET($AM$3,0,0,'Données projet'!$E$10+1,1))-AVERAGE(OFFSET($H$3,0,0,'Données projet'!$E$10+1,1))</f>
        <v>294.92430430387071</v>
      </c>
      <c r="AO31" s="57">
        <f t="shared" si="36"/>
        <v>181.52228471516497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120.54431999999997</v>
      </c>
      <c r="BF31" s="13">
        <f t="shared" si="37"/>
        <v>31.80191953664422</v>
      </c>
      <c r="BG31" s="20">
        <f t="shared" si="7"/>
        <v>265.33636719298863</v>
      </c>
      <c r="BH31" s="57">
        <f t="shared" si="8"/>
        <v>558.669700526322</v>
      </c>
      <c r="BI31" s="57">
        <f ca="1">AVERAGE(OFFSET($BH$3,0,0,'Données projet'!$E$11+1,1))-AVERAGE(OFFSET($H$3,0,0,'Données projet'!$E$11+1,1))</f>
        <v>250.90550982248311</v>
      </c>
      <c r="BJ31" s="57">
        <f t="shared" si="38"/>
        <v>254.68874167908001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33</v>
      </c>
      <c r="BY31" s="12">
        <f>IF('Données projet'!$A$114&gt;35,BY30+BX31-CG30,IF(A31&lt;'Données projet'!$A$114,$BV$205^A31,IF(A31='Données projet'!$A$114,'Données projet'!$B$114,BY30+BX31-CG30)))</f>
        <v>458</v>
      </c>
      <c r="BZ31" s="13">
        <f>BY31*VLOOKUP('Données projet'!$B$12,Paramètres!$A$1:$I$89,3,0)*VLOOKUP('Données projet'!$B$12,Paramètres!$A$1:$I$89,5,0)</f>
        <v>256.02199999999999</v>
      </c>
      <c r="CA31" s="13">
        <f t="shared" si="39"/>
        <v>61.873669712051253</v>
      </c>
      <c r="CB31" s="20">
        <f t="shared" si="10"/>
        <v>553.66829141515586</v>
      </c>
      <c r="CC31" s="57">
        <f t="shared" si="11"/>
        <v>847.00162474848912</v>
      </c>
      <c r="CD31" s="57">
        <f ca="1">AVERAGE(OFFSET($CC$3,0,0,'Données projet'!$E$12+1,1))-AVERAGE(OFFSET($H$3,0,0,'Données projet'!$E$12+1,1))</f>
        <v>462.54745364638171</v>
      </c>
      <c r="CE31" s="57">
        <f t="shared" si="40"/>
        <v>571.50914830067313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22.429373685535559</v>
      </c>
      <c r="CM31" s="21">
        <f>EXP(-LN(2)/2)*CM30+(1-EXP(-LN(2)/2))/(LN(2)/2)*CG31*CJ31*VLOOKUP('Données projet'!$B$12,Paramètres!$A$1:$I$89,3,0)*0.475*44/12</f>
        <v>1.7009667334777299</v>
      </c>
      <c r="CN31" s="22">
        <f t="shared" si="12"/>
        <v>24.13034041901329</v>
      </c>
      <c r="CO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9.4</v>
      </c>
      <c r="CT31" s="12">
        <f>IF('Données projet'!$A$140&gt;35,CT30+CS31-DB30,IF(A31&lt;'Données projet'!$A$140,$CQ$205^A31,IF(A31='Données projet'!$A$140,'Données projet'!$B$140,CT30+CS31-DB30)))</f>
        <v>190.20000000000007</v>
      </c>
      <c r="CU31" s="17">
        <f>CT31*VLOOKUP('Données projet'!$B$13,Paramètres!$A$1:$I$89,3,0)*VLOOKUP('Données projet'!$B$13,Paramètres!$A$1:$I$89,5,0)</f>
        <v>180.99432000000007</v>
      </c>
      <c r="CV31" s="13">
        <f t="shared" si="41"/>
        <v>45.543333072238994</v>
      </c>
      <c r="CW31" s="20">
        <f t="shared" si="13"/>
        <v>394.55307910081638</v>
      </c>
      <c r="CX31" s="57">
        <f t="shared" si="14"/>
        <v>687.88641243414963</v>
      </c>
      <c r="CY31" s="57">
        <f ca="1">AVERAGE(OFFSET($CX$3,0,0,'Données projet'!$E$13+1,1))-AVERAGE(OFFSET($H$3,0,0,'Données projet'!$E$13+1,1))</f>
        <v>314.67680626853303</v>
      </c>
      <c r="CZ31" s="57">
        <f t="shared" si="42"/>
        <v>372.57247561536263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14.2</v>
      </c>
      <c r="DO31" s="12">
        <f>IF('Données projet'!$A$166&gt;35,DO30+DN31-DW30,IF(A31&lt;'Données projet'!$A$166,$DL$205^A31,IF(A31='Données projet'!$A$166,'Données projet'!$B$166,DO30+DN31-DW30)))</f>
        <v>148.59999999999994</v>
      </c>
      <c r="DP31" s="17">
        <f>DO31*VLOOKUP('Données projet'!$B$14,Paramètres!$A$1:$I$89,3,0)*VLOOKUP('Données projet'!$B$14,Paramètres!$A$1:$I$89,5,0)</f>
        <v>97.362719999999953</v>
      </c>
      <c r="DQ31" s="13">
        <f t="shared" si="43"/>
        <v>26.332727987771989</v>
      </c>
      <c r="DR31" s="20">
        <f t="shared" si="16"/>
        <v>215.43623857870276</v>
      </c>
      <c r="DS31" s="57">
        <f t="shared" si="17"/>
        <v>508.7695719120361</v>
      </c>
      <c r="DT31" s="57">
        <f ca="1">AVERAGE(OFFSET($DS$3,0,0,'Données projet'!$E$14+1,1))-AVERAGE(OFFSET($H$3,0,0,'Données projet'!$E$14+1,1))</f>
        <v>188.80259324758066</v>
      </c>
      <c r="DU31" s="57">
        <f t="shared" si="44"/>
        <v>195.48048518255354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14.2</v>
      </c>
      <c r="EJ31" s="12">
        <f>IF('Données projet'!$A$192&gt;35,EJ30+EI31-ER30,IF(A31&lt;'Données projet'!$A$192,$EG$205^A31,IF(A31='Données projet'!$A$192,'Données projet'!$B$192,EJ30+EI31-ER30)))</f>
        <v>148.59999999999994</v>
      </c>
      <c r="EK31" s="17">
        <f>EJ31*VLOOKUP('Données projet'!$B$15,Paramètres!$A$1:$I$89,3,0)*VLOOKUP('Données projet'!$B$15,Paramètres!$A$1:$I$89,5,0)</f>
        <v>120.54431999999997</v>
      </c>
      <c r="EL31" s="13">
        <f t="shared" si="45"/>
        <v>31.80191953664422</v>
      </c>
      <c r="EM31" s="20">
        <f t="shared" si="19"/>
        <v>265.33636719298863</v>
      </c>
      <c r="EN31" s="57">
        <f t="shared" si="20"/>
        <v>558.669700526322</v>
      </c>
      <c r="EO31" s="57">
        <f ca="1">AVERAGE(OFFSET($EN$3,0,0,'Données projet'!$E$15+1,1))-AVERAGE(OFFSET($H$3,0,0,'Données projet'!$E$15+1,1))</f>
        <v>250.90550982248311</v>
      </c>
      <c r="EP31" s="57">
        <f t="shared" si="46"/>
        <v>254.68874167908001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7" t="e">
        <f t="shared" si="23"/>
        <v>#N/A</v>
      </c>
      <c r="FJ31" s="57" t="e">
        <f ca="1">AVERAGE(OFFSET($FI$3,0,0,'Données projet'!$E$16+1,1))-AVERAGE(OFFSET($H$3,0,0,'Données projet'!$E$16+1,1))</f>
        <v>#N/A</v>
      </c>
      <c r="FK31" s="57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7" t="e">
        <f t="shared" si="26"/>
        <v>#N/A</v>
      </c>
      <c r="GE31" s="57" t="e">
        <f ca="1">AVERAGE(OFFSET($GD$3,0,0,'Données projet'!$E$17+1,1))-AVERAGE(OFFSET($H$3,0,0,'Données projet'!$E$17+1,1))</f>
        <v>#N/A</v>
      </c>
      <c r="GF31" s="57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7" t="e">
        <f t="shared" si="29"/>
        <v>#N/A</v>
      </c>
      <c r="GZ31" s="57" t="e">
        <f ca="1">AVERAGE(OFFSET($GY$3,0,0,'Données projet'!$E$18+1,1))-AVERAGE(OFFSET($H$3,0,0,'Données projet'!$E$18+1,1))</f>
        <v>#N/A</v>
      </c>
      <c r="HA31" s="57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0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4">
        <f t="shared" si="1"/>
        <v>351.41581886413837</v>
      </c>
      <c r="I32" s="6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94.180320000000037</v>
      </c>
      <c r="P32" s="13">
        <f t="shared" si="33"/>
        <v>25.570738079029208</v>
      </c>
      <c r="Q32" s="20">
        <f t="shared" si="2"/>
        <v>208.56642615430928</v>
      </c>
      <c r="R32" s="57">
        <f t="shared" si="0"/>
        <v>501.8997594876426</v>
      </c>
      <c r="S32" s="57">
        <f ca="1">AVERAGE(OFFSET($R$3,0,0,'Données projet'!$E$9+1,1))-AVERAGE(OFFSET($H$3,0,0,'Données projet'!$E$9+1,1))</f>
        <v>267.44861001389006</v>
      </c>
      <c r="T32" s="57">
        <f t="shared" si="34"/>
        <v>165.25921510802965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111.80000000000003</v>
      </c>
      <c r="AJ32" s="13">
        <f>AI32*VLOOKUP('Données projet'!$B$10,Paramètres!$A$1:$I$89,3,0)*VLOOKUP('Données projet'!$B$10,Paramètres!$A$1:$I$89,5,0)</f>
        <v>101.15664000000001</v>
      </c>
      <c r="AK32" s="13">
        <f t="shared" si="35"/>
        <v>27.237366379381644</v>
      </c>
      <c r="AL32" s="20">
        <f t="shared" si="4"/>
        <v>223.61956111075639</v>
      </c>
      <c r="AM32" s="57">
        <f t="shared" si="5"/>
        <v>516.95289444408968</v>
      </c>
      <c r="AN32" s="57">
        <f ca="1">AVERAGE(OFFSET($AM$3,0,0,'Données projet'!$E$10+1,1))-AVERAGE(OFFSET($H$3,0,0,'Données projet'!$E$10+1,1))</f>
        <v>294.92430430387071</v>
      </c>
      <c r="AO32" s="57">
        <f t="shared" si="36"/>
        <v>181.52228471516497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132.06335999999996</v>
      </c>
      <c r="BF32" s="13">
        <f t="shared" si="37"/>
        <v>34.472703398877925</v>
      </c>
      <c r="BG32" s="20">
        <f t="shared" si="7"/>
        <v>290.05031041971233</v>
      </c>
      <c r="BH32" s="57">
        <f t="shared" si="8"/>
        <v>583.38364375304559</v>
      </c>
      <c r="BI32" s="57">
        <f ca="1">AVERAGE(OFFSET($BH$3,0,0,'Données projet'!$E$11+1,1))-AVERAGE(OFFSET($H$3,0,0,'Données projet'!$E$11+1,1))</f>
        <v>250.90550982248311</v>
      </c>
      <c r="BJ32" s="57">
        <f t="shared" si="38"/>
        <v>254.68874167908001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33</v>
      </c>
      <c r="BY32" s="12">
        <f>IF('Données projet'!$A$114&gt;35,BY31+BX32-CG31,IF(A32&lt;'Données projet'!$A$114,$BV$205^A32,IF(A32='Données projet'!$A$114,'Données projet'!$B$114,BY31+BX32-CG31)))</f>
        <v>491</v>
      </c>
      <c r="BZ32" s="13">
        <f>BY32*VLOOKUP('Données projet'!$B$12,Paramètres!$A$1:$I$89,3,0)*VLOOKUP('Données projet'!$B$12,Paramètres!$A$1:$I$89,5,0)</f>
        <v>274.46899999999999</v>
      </c>
      <c r="CA32" s="13">
        <f t="shared" si="39"/>
        <v>65.796795812732981</v>
      </c>
      <c r="CB32" s="20">
        <f t="shared" si="10"/>
        <v>592.62959437384313</v>
      </c>
      <c r="CC32" s="57">
        <f t="shared" si="11"/>
        <v>885.9629277071765</v>
      </c>
      <c r="CD32" s="57">
        <f ca="1">AVERAGE(OFFSET($CC$3,0,0,'Données projet'!$E$12+1,1))-AVERAGE(OFFSET($H$3,0,0,'Données projet'!$E$12+1,1))</f>
        <v>462.54745364638171</v>
      </c>
      <c r="CE32" s="57">
        <f t="shared" si="40"/>
        <v>571.50914830067313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21.816041282595091</v>
      </c>
      <c r="CM32" s="21">
        <f>EXP(-LN(2)/2)*CM31+(1-EXP(-LN(2)/2))/(LN(2)/2)*CG32*CJ32*VLOOKUP('Données projet'!$B$12,Paramètres!$A$1:$I$89,3,0)*0.475*44/12</f>
        <v>1.2027651118148337</v>
      </c>
      <c r="CN32" s="22">
        <f t="shared" si="12"/>
        <v>23.018806394409925</v>
      </c>
      <c r="CO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9.4</v>
      </c>
      <c r="CT32" s="12">
        <f>IF('Données projet'!$A$140&gt;35,CT31+CS32-DB31,IF(A32&lt;'Données projet'!$A$140,$CQ$205^A32,IF(A32='Données projet'!$A$140,'Données projet'!$B$140,CT31+CS32-DB31)))</f>
        <v>199.60000000000008</v>
      </c>
      <c r="CU32" s="17">
        <f>CT32*VLOOKUP('Données projet'!$B$13,Paramètres!$A$1:$I$89,3,0)*VLOOKUP('Données projet'!$B$13,Paramètres!$A$1:$I$89,5,0)</f>
        <v>189.93936000000008</v>
      </c>
      <c r="CV32" s="13">
        <f t="shared" si="41"/>
        <v>47.526545959149885</v>
      </c>
      <c r="CW32" s="20">
        <f t="shared" si="13"/>
        <v>413.58645287885287</v>
      </c>
      <c r="CX32" s="57">
        <f t="shared" si="14"/>
        <v>706.91978621218618</v>
      </c>
      <c r="CY32" s="57">
        <f ca="1">AVERAGE(OFFSET($CX$3,0,0,'Données projet'!$E$13+1,1))-AVERAGE(OFFSET($H$3,0,0,'Données projet'!$E$13+1,1))</f>
        <v>314.67680626853303</v>
      </c>
      <c r="CZ32" s="57">
        <f t="shared" si="42"/>
        <v>372.57247561536263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14.2</v>
      </c>
      <c r="DO32" s="12">
        <f>IF('Données projet'!$A$166&gt;35,DO31+DN32-DW31,IF(A32&lt;'Données projet'!$A$166,$DL$205^A32,IF(A32='Données projet'!$A$166,'Données projet'!$B$166,DO31+DN32-DW31)))</f>
        <v>162.79999999999993</v>
      </c>
      <c r="DP32" s="17">
        <f>DO32*VLOOKUP('Données projet'!$B$14,Paramètres!$A$1:$I$89,3,0)*VLOOKUP('Données projet'!$B$14,Paramètres!$A$1:$I$89,5,0)</f>
        <v>106.66655999999995</v>
      </c>
      <c r="DQ32" s="13">
        <f t="shared" si="43"/>
        <v>28.544199055651799</v>
      </c>
      <c r="DR32" s="20">
        <f t="shared" si="16"/>
        <v>235.49207202192679</v>
      </c>
      <c r="DS32" s="57">
        <f t="shared" si="17"/>
        <v>528.82540535526005</v>
      </c>
      <c r="DT32" s="57">
        <f ca="1">AVERAGE(OFFSET($DS$3,0,0,'Données projet'!$E$14+1,1))-AVERAGE(OFFSET($H$3,0,0,'Données projet'!$E$14+1,1))</f>
        <v>188.80259324758066</v>
      </c>
      <c r="DU32" s="57">
        <f t="shared" si="44"/>
        <v>195.48048518255354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14.2</v>
      </c>
      <c r="EJ32" s="12">
        <f>IF('Données projet'!$A$192&gt;35,EJ31+EI32-ER31,IF(A32&lt;'Données projet'!$A$192,$EG$205^A32,IF(A32='Données projet'!$A$192,'Données projet'!$B$192,EJ31+EI32-ER31)))</f>
        <v>162.79999999999993</v>
      </c>
      <c r="EK32" s="17">
        <f>EJ32*VLOOKUP('Données projet'!$B$15,Paramètres!$A$1:$I$89,3,0)*VLOOKUP('Données projet'!$B$15,Paramètres!$A$1:$I$89,5,0)</f>
        <v>132.06335999999996</v>
      </c>
      <c r="EL32" s="13">
        <f t="shared" si="45"/>
        <v>34.472703398877925</v>
      </c>
      <c r="EM32" s="20">
        <f t="shared" si="19"/>
        <v>290.05031041971233</v>
      </c>
      <c r="EN32" s="57">
        <f t="shared" si="20"/>
        <v>583.38364375304559</v>
      </c>
      <c r="EO32" s="57">
        <f ca="1">AVERAGE(OFFSET($EN$3,0,0,'Données projet'!$E$15+1,1))-AVERAGE(OFFSET($H$3,0,0,'Données projet'!$E$15+1,1))</f>
        <v>250.90550982248311</v>
      </c>
      <c r="EP32" s="57">
        <f t="shared" si="46"/>
        <v>254.68874167908001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7" t="e">
        <f t="shared" si="23"/>
        <v>#N/A</v>
      </c>
      <c r="FJ32" s="57" t="e">
        <f ca="1">AVERAGE(OFFSET($FI$3,0,0,'Données projet'!$E$16+1,1))-AVERAGE(OFFSET($H$3,0,0,'Données projet'!$E$16+1,1))</f>
        <v>#N/A</v>
      </c>
      <c r="FK32" s="57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7" t="e">
        <f t="shared" si="26"/>
        <v>#N/A</v>
      </c>
      <c r="GE32" s="57" t="e">
        <f ca="1">AVERAGE(OFFSET($GD$3,0,0,'Données projet'!$E$17+1,1))-AVERAGE(OFFSET($H$3,0,0,'Données projet'!$E$17+1,1))</f>
        <v>#N/A</v>
      </c>
      <c r="GF32" s="57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7" t="e">
        <f t="shared" si="29"/>
        <v>#N/A</v>
      </c>
      <c r="GZ32" s="57" t="e">
        <f ca="1">AVERAGE(OFFSET($GY$3,0,0,'Données projet'!$E$18+1,1))-AVERAGE(OFFSET($H$3,0,0,'Données projet'!$E$18+1,1))</f>
        <v>#N/A</v>
      </c>
      <c r="HA32" s="57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0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4">
        <f t="shared" si="1"/>
        <v>353.361794268501</v>
      </c>
      <c r="I33" s="6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101.93040000000003</v>
      </c>
      <c r="P33" s="13">
        <f t="shared" si="33"/>
        <v>27.421375718582158</v>
      </c>
      <c r="Q33" s="20">
        <f t="shared" si="2"/>
        <v>225.28767604319731</v>
      </c>
      <c r="R33" s="57">
        <f t="shared" si="0"/>
        <v>518.62100937653065</v>
      </c>
      <c r="S33" s="57">
        <f ca="1">AVERAGE(OFFSET($R$3,0,0,'Données projet'!$E$9+1,1))-AVERAGE(OFFSET($H$3,0,0,'Données projet'!$E$9+1,1))</f>
        <v>267.44861001389006</v>
      </c>
      <c r="T33" s="57">
        <f t="shared" si="34"/>
        <v>165.25921510802965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121.00000000000003</v>
      </c>
      <c r="AJ33" s="13">
        <f>AI33*VLOOKUP('Données projet'!$B$10,Paramètres!$A$1:$I$89,3,0)*VLOOKUP('Données projet'!$B$10,Paramètres!$A$1:$I$89,5,0)</f>
        <v>109.48080000000002</v>
      </c>
      <c r="AK33" s="13">
        <f t="shared" si="35"/>
        <v>29.208623339903898</v>
      </c>
      <c r="AL33" s="20">
        <f t="shared" si="4"/>
        <v>241.55074565033269</v>
      </c>
      <c r="AM33" s="57">
        <f t="shared" si="5"/>
        <v>534.88407898366597</v>
      </c>
      <c r="AN33" s="57">
        <f ca="1">AVERAGE(OFFSET($AM$3,0,0,'Données projet'!$E$10+1,1))-AVERAGE(OFFSET($H$3,0,0,'Données projet'!$E$10+1,1))</f>
        <v>294.92430430387071</v>
      </c>
      <c r="AO33" s="57">
        <f t="shared" si="36"/>
        <v>181.52228471516497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143.58239999999995</v>
      </c>
      <c r="BF33" s="13">
        <f t="shared" si="37"/>
        <v>37.116472314400653</v>
      </c>
      <c r="BG33" s="20">
        <f t="shared" si="7"/>
        <v>314.7172026142477</v>
      </c>
      <c r="BH33" s="57">
        <f t="shared" si="8"/>
        <v>608.05053594758101</v>
      </c>
      <c r="BI33" s="57">
        <f ca="1">AVERAGE(OFFSET($BH$3,0,0,'Données projet'!$E$11+1,1))-AVERAGE(OFFSET($H$3,0,0,'Données projet'!$E$11+1,1))</f>
        <v>250.90550982248311</v>
      </c>
      <c r="BJ33" s="57">
        <f t="shared" si="38"/>
        <v>254.68874167908001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524</v>
      </c>
      <c r="BW33" s="12">
        <f>VLOOKUP(A33,'Données projet'!$A$113:$I$133,9,0)</f>
        <v>33</v>
      </c>
      <c r="BX33" s="12">
        <f t="array" ref="BX33">INDEX(BW:BW,MIN(IF(ISNUMBER(BW33:BW229),ROW(BW33:BW229),"")))</f>
        <v>33</v>
      </c>
      <c r="BY33" s="12">
        <f>IF('Données projet'!$A$114&gt;35,BY32+BX33-CG32,IF(A33&lt;'Données projet'!$A$114,$BV$205^A33,IF(A33='Données projet'!$A$114,'Données projet'!$B$114,BY32+BX33-CG32)))</f>
        <v>524</v>
      </c>
      <c r="BZ33" s="13">
        <f>BY33*VLOOKUP('Données projet'!$B$12,Paramètres!$A$1:$I$89,3,0)*VLOOKUP('Données projet'!$B$12,Paramètres!$A$1:$I$89,5,0)</f>
        <v>292.916</v>
      </c>
      <c r="CA33" s="13">
        <f t="shared" si="39"/>
        <v>69.68932587703776</v>
      </c>
      <c r="CB33" s="20">
        <f t="shared" si="10"/>
        <v>631.53760923584082</v>
      </c>
      <c r="CC33" s="57">
        <f t="shared" si="11"/>
        <v>924.87094256917408</v>
      </c>
      <c r="CD33" s="57">
        <f ca="1">AVERAGE(OFFSET($CC$3,0,0,'Données projet'!$E$12+1,1))-AVERAGE(OFFSET($H$3,0,0,'Données projet'!$E$12+1,1))</f>
        <v>462.54745364638171</v>
      </c>
      <c r="CE33" s="57">
        <f t="shared" si="40"/>
        <v>571.50914830067313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90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0.55000000000000004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57.781653979510878</v>
      </c>
      <c r="CM33" s="21">
        <f>EXP(-LN(2)/2)*CM32+(1-EXP(-LN(2)/2))/(LN(2)/2)*CG33*CJ33*VLOOKUP('Données projet'!$B$12,Paramètres!$A$1:$I$89,3,0)*0.475*44/12</f>
        <v>0.85048336673886504</v>
      </c>
      <c r="CN33" s="22">
        <f t="shared" si="12"/>
        <v>58.632137346249742</v>
      </c>
      <c r="CO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209</v>
      </c>
      <c r="CR33" s="12">
        <f>VLOOKUP(A33,'Données projet'!$A$139:$I$159,9,0)</f>
        <v>9.4</v>
      </c>
      <c r="CS33" s="12">
        <f t="array" ref="CS33">INDEX(CR:CR,MIN(IF(ISNUMBER(CR33:CR229),ROW(CR33:CR229),"")))</f>
        <v>9.4</v>
      </c>
      <c r="CT33" s="12">
        <f>IF('Données projet'!$A$140&gt;35,CT32+CS33-DB32,IF(A33&lt;'Données projet'!$A$140,$CQ$205^A33,IF(A33='Données projet'!$A$140,'Données projet'!$B$140,CT32+CS33-DB32)))</f>
        <v>209.00000000000009</v>
      </c>
      <c r="CU33" s="17">
        <f>CT33*VLOOKUP('Données projet'!$B$13,Paramètres!$A$1:$I$89,3,0)*VLOOKUP('Données projet'!$B$13,Paramètres!$A$1:$I$89,5,0)</f>
        <v>198.88440000000008</v>
      </c>
      <c r="CV33" s="13">
        <f t="shared" si="41"/>
        <v>49.498912851979021</v>
      </c>
      <c r="CW33" s="20">
        <f t="shared" si="13"/>
        <v>432.60093655053032</v>
      </c>
      <c r="CX33" s="57">
        <f t="shared" si="14"/>
        <v>725.93426988386364</v>
      </c>
      <c r="CY33" s="57">
        <f ca="1">AVERAGE(OFFSET($CX$3,0,0,'Données projet'!$E$13+1,1))-AVERAGE(OFFSET($H$3,0,0,'Données projet'!$E$13+1,1))</f>
        <v>314.67680626853303</v>
      </c>
      <c r="CZ33" s="57">
        <f t="shared" si="42"/>
        <v>372.57247561536263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177</v>
      </c>
      <c r="DM33" s="12">
        <f>VLOOKUP(A33,'Données projet'!$A$165:$I$185,9,0)</f>
        <v>14.2</v>
      </c>
      <c r="DN33" s="12">
        <f t="array" ref="DN33">INDEX(DM:DM,MIN(IF(ISNUMBER(DM33:DM229),ROW(DM33:DM229),"")))</f>
        <v>14.2</v>
      </c>
      <c r="DO33" s="12">
        <f>IF('Données projet'!$A$166&gt;35,DO32+DN33-DW32,IF(A33&lt;'Données projet'!$A$166,$DL$205^A33,IF(A33='Données projet'!$A$166,'Données projet'!$B$166,DO32+DN33-DW32)))</f>
        <v>176.99999999999991</v>
      </c>
      <c r="DP33" s="17">
        <f>DO33*VLOOKUP('Données projet'!$B$14,Paramètres!$A$1:$I$89,3,0)*VLOOKUP('Données projet'!$B$14,Paramètres!$A$1:$I$89,5,0)</f>
        <v>115.97039999999994</v>
      </c>
      <c r="DQ33" s="13">
        <f t="shared" si="43"/>
        <v>30.733301120222766</v>
      </c>
      <c r="DR33" s="20">
        <f t="shared" si="16"/>
        <v>255.50894611772119</v>
      </c>
      <c r="DS33" s="57">
        <f t="shared" si="17"/>
        <v>548.84227945105454</v>
      </c>
      <c r="DT33" s="57">
        <f ca="1">AVERAGE(OFFSET($DS$3,0,0,'Données projet'!$E$14+1,1))-AVERAGE(OFFSET($H$3,0,0,'Données projet'!$E$14+1,1))</f>
        <v>188.80259324758066</v>
      </c>
      <c r="DU33" s="57">
        <f t="shared" si="44"/>
        <v>195.48048518255354</v>
      </c>
      <c r="DV33" s="15">
        <f>IF(ISNA(VLOOKUP(A33,'Données projet'!$A$165:$I$185,3,0)),0,VLOOKUP(A33,'Données projet'!$A$165:$I$185,3,0))</f>
        <v>4</v>
      </c>
      <c r="DW33" s="15">
        <f>IF(ISNA(VLOOKUP(A33,'Données projet'!$A$165:$I$185,4,0)),0,VLOOKUP(A33,'Données projet'!$A$165:$I$185,4,0))</f>
        <v>35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177</v>
      </c>
      <c r="EH33" s="12">
        <f>VLOOKUP(A33,'Données projet'!$A$191:$I$211,9,0)</f>
        <v>14.2</v>
      </c>
      <c r="EI33" s="12">
        <f t="array" ref="EI33">INDEX(EH:EH,MIN(IF(ISNUMBER(EH33:EH229),ROW(EH33:EH229),"")))</f>
        <v>14.2</v>
      </c>
      <c r="EJ33" s="12">
        <f>IF('Données projet'!$A$192&gt;35,EJ32+EI33-ER32,IF(A33&lt;'Données projet'!$A$192,$EG$205^A33,IF(A33='Données projet'!$A$192,'Données projet'!$B$192,EJ32+EI33-ER32)))</f>
        <v>176.99999999999991</v>
      </c>
      <c r="EK33" s="17">
        <f>EJ33*VLOOKUP('Données projet'!$B$15,Paramètres!$A$1:$I$89,3,0)*VLOOKUP('Données projet'!$B$15,Paramètres!$A$1:$I$89,5,0)</f>
        <v>143.58239999999995</v>
      </c>
      <c r="EL33" s="13">
        <f t="shared" si="45"/>
        <v>37.116472314400653</v>
      </c>
      <c r="EM33" s="20">
        <f t="shared" si="19"/>
        <v>314.7172026142477</v>
      </c>
      <c r="EN33" s="57">
        <f t="shared" si="20"/>
        <v>608.05053594758101</v>
      </c>
      <c r="EO33" s="57">
        <f ca="1">AVERAGE(OFFSET($EN$3,0,0,'Données projet'!$E$15+1,1))-AVERAGE(OFFSET($H$3,0,0,'Données projet'!$E$15+1,1))</f>
        <v>250.90550982248311</v>
      </c>
      <c r="EP33" s="57">
        <f t="shared" si="46"/>
        <v>254.68874167908001</v>
      </c>
      <c r="EQ33" s="15">
        <f>IF(ISNA(VLOOKUP(A33,'Données projet'!$A$191:$I$211,3,0)),0,VLOOKUP(A33,'Données projet'!$A$191:$I$211,3,0))</f>
        <v>4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7" t="e">
        <f t="shared" si="23"/>
        <v>#N/A</v>
      </c>
      <c r="FJ33" s="57" t="e">
        <f ca="1">AVERAGE(OFFSET($FI$3,0,0,'Données projet'!$E$16+1,1))-AVERAGE(OFFSET($H$3,0,0,'Données projet'!$E$16+1,1))</f>
        <v>#N/A</v>
      </c>
      <c r="FK33" s="57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7" t="e">
        <f t="shared" si="26"/>
        <v>#N/A</v>
      </c>
      <c r="GE33" s="57" t="e">
        <f ca="1">AVERAGE(OFFSET($GD$3,0,0,'Données projet'!$E$17+1,1))-AVERAGE(OFFSET($H$3,0,0,'Données projet'!$E$17+1,1))</f>
        <v>#N/A</v>
      </c>
      <c r="GF33" s="57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7" t="e">
        <f t="shared" si="29"/>
        <v>#N/A</v>
      </c>
      <c r="GZ33" s="57" t="e">
        <f ca="1">AVERAGE(OFFSET($GY$3,0,0,'Données projet'!$E$18+1,1))-AVERAGE(OFFSET($H$3,0,0,'Données projet'!$E$18+1,1))</f>
        <v>#N/A</v>
      </c>
      <c r="HA33" s="57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0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4">
        <f t="shared" si="1"/>
        <v>355.3061256550987</v>
      </c>
      <c r="I34" s="6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87.441120000000041</v>
      </c>
      <c r="P34" s="13">
        <f t="shared" si="33"/>
        <v>23.947052577122424</v>
      </c>
      <c r="Q34" s="20">
        <f t="shared" si="2"/>
        <v>194.0010672384883</v>
      </c>
      <c r="R34" s="57">
        <f t="shared" si="0"/>
        <v>487.33440057182162</v>
      </c>
      <c r="S34" s="57">
        <f ca="1">AVERAGE(OFFSET($R$3,0,0,'Données projet'!$E$9+1,1))-AVERAGE(OFFSET($H$3,0,0,'Données projet'!$E$9+1,1))</f>
        <v>267.44861001389006</v>
      </c>
      <c r="T34" s="57">
        <f t="shared" si="34"/>
        <v>165.25921510802965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10.8</v>
      </c>
      <c r="AI34" s="13">
        <f>IF('Données projet'!$A$62&gt;35,AI33+AH34-AQ33,IF(A34&lt;'Données projet'!$A$62,$AF$205^A34,IF(A34='Données projet'!$A$62,'Données projet'!$B$62,AI33+AH34-AQ33)))</f>
        <v>103.80000000000004</v>
      </c>
      <c r="AJ34" s="13">
        <f>AI34*VLOOKUP('Données projet'!$B$10,Paramètres!$A$1:$I$89,3,0)*VLOOKUP('Données projet'!$B$10,Paramètres!$A$1:$I$89,5,0)</f>
        <v>93.91824000000004</v>
      </c>
      <c r="AK34" s="13">
        <f t="shared" si="35"/>
        <v>25.507853654186022</v>
      </c>
      <c r="AL34" s="20">
        <f t="shared" si="4"/>
        <v>208.00044644770739</v>
      </c>
      <c r="AM34" s="57">
        <f t="shared" si="5"/>
        <v>501.33377978104068</v>
      </c>
      <c r="AN34" s="57">
        <f ca="1">AVERAGE(OFFSET($AM$3,0,0,'Données projet'!$E$10+1,1))-AVERAGE(OFFSET($H$3,0,0,'Données projet'!$E$10+1,1))</f>
        <v>294.92430430387071</v>
      </c>
      <c r="AO34" s="57">
        <f t="shared" si="36"/>
        <v>181.52228471516497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125.57375999999995</v>
      </c>
      <c r="BF34" s="13">
        <f t="shared" si="37"/>
        <v>32.97153235129214</v>
      </c>
      <c r="BG34" s="20">
        <f t="shared" si="7"/>
        <v>276.13305084516702</v>
      </c>
      <c r="BH34" s="57">
        <f t="shared" si="8"/>
        <v>569.46638417850033</v>
      </c>
      <c r="BI34" s="57">
        <f ca="1">AVERAGE(OFFSET($BH$3,0,0,'Données projet'!$E$11+1,1))-AVERAGE(OFFSET($H$3,0,0,'Données projet'!$E$11+1,1))</f>
        <v>250.90550982248311</v>
      </c>
      <c r="BJ34" s="57">
        <f t="shared" si="38"/>
        <v>254.68874167908001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28.4</v>
      </c>
      <c r="BY34" s="12">
        <f>IF('Données projet'!$A$114&gt;35,BY33+BX34-CG33,IF(A34&lt;'Données projet'!$A$114,$BV$205^A34,IF(A34='Données projet'!$A$114,'Données projet'!$B$114,BY33+BX34-CG33)))</f>
        <v>462.4</v>
      </c>
      <c r="BZ34" s="13">
        <f>BY34*VLOOKUP('Données projet'!$B$12,Paramètres!$A$1:$I$89,3,0)*VLOOKUP('Données projet'!$B$12,Paramètres!$A$1:$I$89,5,0)</f>
        <v>258.48160000000001</v>
      </c>
      <c r="CA34" s="13">
        <f t="shared" si="39"/>
        <v>62.398606187610767</v>
      </c>
      <c r="CB34" s="20">
        <f t="shared" si="10"/>
        <v>558.86635911008875</v>
      </c>
      <c r="CC34" s="57">
        <f t="shared" si="11"/>
        <v>852.19969244342201</v>
      </c>
      <c r="CD34" s="57">
        <f ca="1">AVERAGE(OFFSET($CC$3,0,0,'Données projet'!$E$12+1,1))-AVERAGE(OFFSET($H$3,0,0,'Données projet'!$E$12+1,1))</f>
        <v>462.54745364638171</v>
      </c>
      <c r="CE34" s="57">
        <f t="shared" si="40"/>
        <v>571.50914830067313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56.201611612836032</v>
      </c>
      <c r="CM34" s="21">
        <f>EXP(-LN(2)/2)*CM33+(1-EXP(-LN(2)/2))/(LN(2)/2)*CG34*CJ34*VLOOKUP('Données projet'!$B$12,Paramètres!$A$1:$I$89,3,0)*0.475*44/12</f>
        <v>0.60138255590741696</v>
      </c>
      <c r="CN34" s="22">
        <f t="shared" si="12"/>
        <v>56.802994168743446</v>
      </c>
      <c r="CO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8.1999999999999993</v>
      </c>
      <c r="CT34" s="12">
        <f>IF('Données projet'!$A$140&gt;35,CT33+CS34-DB33,IF(A34&lt;'Données projet'!$A$140,$CQ$205^A34,IF(A34='Données projet'!$A$140,'Données projet'!$B$140,CT33+CS34-DB33)))</f>
        <v>189.20000000000007</v>
      </c>
      <c r="CU34" s="17">
        <f>CT34*VLOOKUP('Données projet'!$B$13,Paramètres!$A$1:$I$89,3,0)*VLOOKUP('Données projet'!$B$13,Paramètres!$A$1:$I$89,5,0)</f>
        <v>180.04272000000009</v>
      </c>
      <c r="CV34" s="13">
        <f t="shared" si="41"/>
        <v>45.331690448223775</v>
      </c>
      <c r="CW34" s="20">
        <f t="shared" si="13"/>
        <v>392.52709819732326</v>
      </c>
      <c r="CX34" s="57">
        <f t="shared" si="14"/>
        <v>685.86043153065657</v>
      </c>
      <c r="CY34" s="57">
        <f ca="1">AVERAGE(OFFSET($CX$3,0,0,'Données projet'!$E$13+1,1))-AVERAGE(OFFSET($H$3,0,0,'Données projet'!$E$13+1,1))</f>
        <v>314.67680626853303</v>
      </c>
      <c r="CZ34" s="57">
        <f t="shared" si="42"/>
        <v>372.57247561536263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154.79999999999993</v>
      </c>
      <c r="DP34" s="17">
        <f>DO34*VLOOKUP('Données projet'!$B$14,Paramètres!$A$1:$I$89,3,0)*VLOOKUP('Données projet'!$B$14,Paramètres!$A$1:$I$89,5,0)</f>
        <v>101.42495999999994</v>
      </c>
      <c r="DQ34" s="13">
        <f t="shared" si="43"/>
        <v>27.301194562993881</v>
      </c>
      <c r="DR34" s="20">
        <f t="shared" si="16"/>
        <v>224.19805253054756</v>
      </c>
      <c r="DS34" s="57">
        <f t="shared" si="17"/>
        <v>517.53138586388081</v>
      </c>
      <c r="DT34" s="57">
        <f ca="1">AVERAGE(OFFSET($DS$3,0,0,'Données projet'!$E$14+1,1))-AVERAGE(OFFSET($H$3,0,0,'Données projet'!$E$14+1,1))</f>
        <v>188.80259324758066</v>
      </c>
      <c r="DU34" s="57">
        <f t="shared" si="44"/>
        <v>195.48048518255354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154.79999999999993</v>
      </c>
      <c r="EK34" s="17">
        <f>EJ34*VLOOKUP('Données projet'!$B$15,Paramètres!$A$1:$I$89,3,0)*VLOOKUP('Données projet'!$B$15,Paramètres!$A$1:$I$89,5,0)</f>
        <v>125.57375999999995</v>
      </c>
      <c r="EL34" s="13">
        <f t="shared" si="45"/>
        <v>32.97153235129214</v>
      </c>
      <c r="EM34" s="20">
        <f t="shared" si="19"/>
        <v>276.13305084516702</v>
      </c>
      <c r="EN34" s="57">
        <f t="shared" si="20"/>
        <v>569.46638417850033</v>
      </c>
      <c r="EO34" s="57">
        <f ca="1">AVERAGE(OFFSET($EN$3,0,0,'Données projet'!$E$15+1,1))-AVERAGE(OFFSET($H$3,0,0,'Données projet'!$E$15+1,1))</f>
        <v>250.90550982248311</v>
      </c>
      <c r="EP34" s="57">
        <f t="shared" si="46"/>
        <v>254.68874167908001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7" t="e">
        <f t="shared" si="23"/>
        <v>#N/A</v>
      </c>
      <c r="FJ34" s="57" t="e">
        <f ca="1">AVERAGE(OFFSET($FI$3,0,0,'Données projet'!$E$16+1,1))-AVERAGE(OFFSET($H$3,0,0,'Données projet'!$E$16+1,1))</f>
        <v>#N/A</v>
      </c>
      <c r="FK34" s="57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7" t="e">
        <f t="shared" si="26"/>
        <v>#N/A</v>
      </c>
      <c r="GE34" s="57" t="e">
        <f ca="1">AVERAGE(OFFSET($GD$3,0,0,'Données projet'!$E$17+1,1))-AVERAGE(OFFSET($H$3,0,0,'Données projet'!$E$17+1,1))</f>
        <v>#N/A</v>
      </c>
      <c r="GF34" s="57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7" t="e">
        <f t="shared" si="29"/>
        <v>#N/A</v>
      </c>
      <c r="GZ34" s="57" t="e">
        <f ca="1">AVERAGE(OFFSET($GY$3,0,0,'Données projet'!$E$18+1,1))-AVERAGE(OFFSET($H$3,0,0,'Données projet'!$E$18+1,1))</f>
        <v>#N/A</v>
      </c>
      <c r="HA34" s="57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0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4">
        <f t="shared" si="1"/>
        <v>357.24887213958226</v>
      </c>
      <c r="I35" s="6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96.539040000000043</v>
      </c>
      <c r="P35" s="13">
        <f t="shared" si="33"/>
        <v>26.135788937894091</v>
      </c>
      <c r="Q35" s="20">
        <f t="shared" ref="Q35:Q66" si="53">(O35+P35)*0.475*44/12</f>
        <v>213.65866040016559</v>
      </c>
      <c r="R35" s="57">
        <f t="shared" si="0"/>
        <v>506.99199373349893</v>
      </c>
      <c r="S35" s="57">
        <f ca="1">AVERAGE(OFFSET($R$3,0,0,'Données projet'!$E$9+1,1))-AVERAGE(OFFSET($H$3,0,0,'Données projet'!$E$9+1,1))</f>
        <v>267.44861001389006</v>
      </c>
      <c r="T35" s="57">
        <f t="shared" si="34"/>
        <v>165.25921510802965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10.8</v>
      </c>
      <c r="AI35" s="13">
        <f>IF('Données projet'!$A$62&gt;35,AI34+AH35-AQ34,IF(A35&lt;'Données projet'!$A$62,$AF$205^A35,IF(A35='Données projet'!$A$62,'Données projet'!$B$62,AI34+AH35-AQ34)))</f>
        <v>114.60000000000004</v>
      </c>
      <c r="AJ35" s="13">
        <f>AI35*VLOOKUP('Données projet'!$B$10,Paramètres!$A$1:$I$89,3,0)*VLOOKUP('Données projet'!$B$10,Paramètres!$A$1:$I$89,5,0)</f>
        <v>103.69008000000004</v>
      </c>
      <c r="AK35" s="13">
        <f t="shared" si="35"/>
        <v>27.83924565319537</v>
      </c>
      <c r="AL35" s="20">
        <f t="shared" si="4"/>
        <v>229.08024217931529</v>
      </c>
      <c r="AM35" s="57">
        <f t="shared" si="5"/>
        <v>522.41357551264855</v>
      </c>
      <c r="AN35" s="57">
        <f ca="1">AVERAGE(OFFSET($AM$3,0,0,'Données projet'!$E$10+1,1))-AVERAGE(OFFSET($H$3,0,0,'Données projet'!$E$10+1,1))</f>
        <v>294.92430430387071</v>
      </c>
      <c r="AO35" s="57">
        <f t="shared" si="36"/>
        <v>181.52228471516497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135.95711999999997</v>
      </c>
      <c r="BF35" s="13">
        <f t="shared" si="37"/>
        <v>35.369264877838596</v>
      </c>
      <c r="BG35" s="20">
        <f t="shared" si="7"/>
        <v>298.39345366223546</v>
      </c>
      <c r="BH35" s="57">
        <f t="shared" si="8"/>
        <v>591.72678699556877</v>
      </c>
      <c r="BI35" s="57">
        <f ca="1">AVERAGE(OFFSET($BH$3,0,0,'Données projet'!$E$11+1,1))-AVERAGE(OFFSET($H$3,0,0,'Données projet'!$E$11+1,1))</f>
        <v>250.90550982248311</v>
      </c>
      <c r="BJ35" s="57">
        <f t="shared" si="38"/>
        <v>254.68874167908001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28.4</v>
      </c>
      <c r="BY35" s="12">
        <f>IF('Données projet'!$A$114&gt;35,BY34+BX35-CG34,IF(A35&lt;'Données projet'!$A$114,$BV$205^A35,IF(A35='Données projet'!$A$114,'Données projet'!$B$114,BY34+BX35-CG34)))</f>
        <v>490.79999999999995</v>
      </c>
      <c r="BZ35" s="13">
        <f>BY35*VLOOKUP('Données projet'!$B$12,Paramètres!$A$1:$I$89,3,0)*VLOOKUP('Données projet'!$B$12,Paramètres!$A$1:$I$89,5,0)</f>
        <v>274.35719999999998</v>
      </c>
      <c r="CA35" s="13">
        <f t="shared" si="39"/>
        <v>65.773113764972635</v>
      </c>
      <c r="CB35" s="20">
        <f t="shared" si="10"/>
        <v>592.39362980732722</v>
      </c>
      <c r="CC35" s="57">
        <f t="shared" si="11"/>
        <v>885.72696314066047</v>
      </c>
      <c r="CD35" s="57">
        <f ca="1">AVERAGE(OFFSET($CC$3,0,0,'Données projet'!$E$12+1,1))-AVERAGE(OFFSET($H$3,0,0,'Données projet'!$E$12+1,1))</f>
        <v>462.54745364638171</v>
      </c>
      <c r="CE35" s="57">
        <f t="shared" si="40"/>
        <v>571.50914830067313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54.66477558776873</v>
      </c>
      <c r="CM35" s="21">
        <f>EXP(-LN(2)/2)*CM34+(1-EXP(-LN(2)/2))/(LN(2)/2)*CG35*CJ35*VLOOKUP('Données projet'!$B$12,Paramètres!$A$1:$I$89,3,0)*0.475*44/12</f>
        <v>0.42524168336943258</v>
      </c>
      <c r="CN35" s="22">
        <f t="shared" si="12"/>
        <v>55.090017271138166</v>
      </c>
      <c r="CO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8.1999999999999993</v>
      </c>
      <c r="CT35" s="12">
        <f>IF('Données projet'!$A$140&gt;35,CT34+CS35-DB34,IF(A35&lt;'Données projet'!$A$140,$CQ$205^A35,IF(A35='Données projet'!$A$140,'Données projet'!$B$140,CT34+CS35-DB34)))</f>
        <v>197.40000000000006</v>
      </c>
      <c r="CU35" s="17">
        <f>CT35*VLOOKUP('Données projet'!$B$13,Paramètres!$A$1:$I$89,3,0)*VLOOKUP('Données projet'!$B$13,Paramètres!$A$1:$I$89,5,0)</f>
        <v>187.84584000000007</v>
      </c>
      <c r="CV35" s="13">
        <f t="shared" si="41"/>
        <v>47.063383068685603</v>
      </c>
      <c r="CW35" s="20">
        <f t="shared" si="13"/>
        <v>409.13356351129414</v>
      </c>
      <c r="CX35" s="57">
        <f t="shared" si="14"/>
        <v>702.4668968446274</v>
      </c>
      <c r="CY35" s="57">
        <f ca="1">AVERAGE(OFFSET($CX$3,0,0,'Données projet'!$E$13+1,1))-AVERAGE(OFFSET($H$3,0,0,'Données projet'!$E$13+1,1))</f>
        <v>314.67680626853303</v>
      </c>
      <c r="CZ35" s="57">
        <f t="shared" si="42"/>
        <v>372.57247561536263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167.59999999999994</v>
      </c>
      <c r="DP35" s="17">
        <f>DO35*VLOOKUP('Données projet'!$B$14,Paramètres!$A$1:$I$89,3,0)*VLOOKUP('Données projet'!$B$14,Paramètres!$A$1:$I$89,5,0)</f>
        <v>109.81151999999996</v>
      </c>
      <c r="DQ35" s="13">
        <f t="shared" si="43"/>
        <v>29.286572783205639</v>
      </c>
      <c r="DR35" s="20">
        <f t="shared" si="16"/>
        <v>242.26251159741642</v>
      </c>
      <c r="DS35" s="57">
        <f t="shared" si="17"/>
        <v>535.59584493074976</v>
      </c>
      <c r="DT35" s="57">
        <f ca="1">AVERAGE(OFFSET($DS$3,0,0,'Données projet'!$E$14+1,1))-AVERAGE(OFFSET($H$3,0,0,'Données projet'!$E$14+1,1))</f>
        <v>188.80259324758066</v>
      </c>
      <c r="DU35" s="57">
        <f t="shared" si="44"/>
        <v>195.48048518255354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167.59999999999994</v>
      </c>
      <c r="EK35" s="17">
        <f>EJ35*VLOOKUP('Données projet'!$B$15,Paramètres!$A$1:$I$89,3,0)*VLOOKUP('Données projet'!$B$15,Paramètres!$A$1:$I$89,5,0)</f>
        <v>135.95711999999997</v>
      </c>
      <c r="EL35" s="13">
        <f t="shared" si="45"/>
        <v>35.369264877838596</v>
      </c>
      <c r="EM35" s="20">
        <f t="shared" si="19"/>
        <v>298.39345366223546</v>
      </c>
      <c r="EN35" s="57">
        <f t="shared" si="20"/>
        <v>591.72678699556877</v>
      </c>
      <c r="EO35" s="57">
        <f ca="1">AVERAGE(OFFSET($EN$3,0,0,'Données projet'!$E$15+1,1))-AVERAGE(OFFSET($H$3,0,0,'Données projet'!$E$15+1,1))</f>
        <v>250.90550982248311</v>
      </c>
      <c r="EP35" s="57">
        <f t="shared" si="46"/>
        <v>254.68874167908001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7" t="e">
        <f t="shared" si="23"/>
        <v>#N/A</v>
      </c>
      <c r="FJ35" s="57" t="e">
        <f ca="1">AVERAGE(OFFSET($FI$3,0,0,'Données projet'!$E$16+1,1))-AVERAGE(OFFSET($H$3,0,0,'Données projet'!$E$16+1,1))</f>
        <v>#N/A</v>
      </c>
      <c r="FK35" s="57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7" t="e">
        <f t="shared" si="26"/>
        <v>#N/A</v>
      </c>
      <c r="GE35" s="57" t="e">
        <f ca="1">AVERAGE(OFFSET($GD$3,0,0,'Données projet'!$E$17+1,1))-AVERAGE(OFFSET($H$3,0,0,'Données projet'!$E$17+1,1))</f>
        <v>#N/A</v>
      </c>
      <c r="GF35" s="57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7" t="e">
        <f t="shared" si="29"/>
        <v>#N/A</v>
      </c>
      <c r="GZ35" s="57" t="e">
        <f ca="1">AVERAGE(OFFSET($GY$3,0,0,'Données projet'!$E$18+1,1))-AVERAGE(OFFSET($H$3,0,0,'Données projet'!$E$18+1,1))</f>
        <v>#N/A</v>
      </c>
      <c r="HA35" s="57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0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4">
        <f t="shared" si="1"/>
        <v>359.19008893301532</v>
      </c>
      <c r="I36" s="6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105.63696000000004</v>
      </c>
      <c r="P36" s="13">
        <f t="shared" si="33"/>
        <v>28.300609534766192</v>
      </c>
      <c r="Q36" s="20">
        <f t="shared" si="53"/>
        <v>233.27460027305116</v>
      </c>
      <c r="R36" s="57">
        <f t="shared" si="0"/>
        <v>526.60793360638445</v>
      </c>
      <c r="S36" s="57">
        <f ca="1">AVERAGE(OFFSET($R$3,0,0,'Données projet'!$E$9+1,1))-AVERAGE(OFFSET($H$3,0,0,'Données projet'!$E$9+1,1))</f>
        <v>267.44861001389006</v>
      </c>
      <c r="T36" s="57">
        <f t="shared" si="34"/>
        <v>165.25921510802965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10.8</v>
      </c>
      <c r="AI36" s="13">
        <f>IF('Données projet'!$A$62&gt;35,AI35+AH36-AQ35,IF(A36&lt;'Données projet'!$A$62,$AF$205^A36,IF(A36='Données projet'!$A$62,'Données projet'!$B$62,AI35+AH36-AQ35)))</f>
        <v>125.40000000000003</v>
      </c>
      <c r="AJ36" s="13">
        <f>AI36*VLOOKUP('Données projet'!$B$10,Paramètres!$A$1:$I$89,3,0)*VLOOKUP('Données projet'!$B$10,Paramètres!$A$1:$I$89,5,0)</f>
        <v>113.46192000000002</v>
      </c>
      <c r="AK36" s="13">
        <f t="shared" si="35"/>
        <v>30.145163126535493</v>
      </c>
      <c r="AL36" s="20">
        <f t="shared" si="4"/>
        <v>250.11566977871598</v>
      </c>
      <c r="AM36" s="57">
        <f t="shared" si="5"/>
        <v>543.44900311204924</v>
      </c>
      <c r="AN36" s="57">
        <f ca="1">AVERAGE(OFFSET($AM$3,0,0,'Données projet'!$E$10+1,1))-AVERAGE(OFFSET($H$3,0,0,'Données projet'!$E$10+1,1))</f>
        <v>294.92430430387071</v>
      </c>
      <c r="AO36" s="57">
        <f t="shared" si="36"/>
        <v>181.52228471516497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146.34047999999999</v>
      </c>
      <c r="BF36" s="13">
        <f t="shared" si="37"/>
        <v>37.745754868861937</v>
      </c>
      <c r="BG36" s="20">
        <f t="shared" si="7"/>
        <v>320.6168590632679</v>
      </c>
      <c r="BH36" s="57">
        <f t="shared" si="8"/>
        <v>613.95019239660121</v>
      </c>
      <c r="BI36" s="57">
        <f ca="1">AVERAGE(OFFSET($BH$3,0,0,'Données projet'!$E$11+1,1))-AVERAGE(OFFSET($H$3,0,0,'Données projet'!$E$11+1,1))</f>
        <v>250.90550982248311</v>
      </c>
      <c r="BJ36" s="57">
        <f t="shared" si="38"/>
        <v>254.68874167908001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28.4</v>
      </c>
      <c r="BY36" s="12">
        <f>IF('Données projet'!$A$114&gt;35,BY35+BX36-CG35,IF(A36&lt;'Données projet'!$A$114,$BV$205^A36,IF(A36='Données projet'!$A$114,'Données projet'!$B$114,BY35+BX36-CG35)))</f>
        <v>519.19999999999993</v>
      </c>
      <c r="BZ36" s="13">
        <f>BY36*VLOOKUP('Données projet'!$B$12,Paramètres!$A$1:$I$89,3,0)*VLOOKUP('Données projet'!$B$12,Paramètres!$A$1:$I$89,5,0)</f>
        <v>290.2328</v>
      </c>
      <c r="CA36" s="13">
        <f t="shared" si="39"/>
        <v>69.124955529636495</v>
      </c>
      <c r="CB36" s="20">
        <f t="shared" si="10"/>
        <v>625.88142421411692</v>
      </c>
      <c r="CC36" s="57">
        <f t="shared" si="11"/>
        <v>919.21475754745029</v>
      </c>
      <c r="CD36" s="57">
        <f ca="1">AVERAGE(OFFSET($CC$3,0,0,'Données projet'!$E$12+1,1))-AVERAGE(OFFSET($H$3,0,0,'Données projet'!$E$12+1,1))</f>
        <v>462.54745364638171</v>
      </c>
      <c r="CE36" s="57">
        <f t="shared" si="40"/>
        <v>571.50914830067313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53.169964424625583</v>
      </c>
      <c r="CM36" s="21">
        <f>EXP(-LN(2)/2)*CM35+(1-EXP(-LN(2)/2))/(LN(2)/2)*CG36*CJ36*VLOOKUP('Données projet'!$B$12,Paramètres!$A$1:$I$89,3,0)*0.475*44/12</f>
        <v>0.30069127795370848</v>
      </c>
      <c r="CN36" s="22">
        <f t="shared" si="12"/>
        <v>53.470655702579293</v>
      </c>
      <c r="CO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8.1999999999999993</v>
      </c>
      <c r="CT36" s="12">
        <f>IF('Données projet'!$A$140&gt;35,CT35+CS36-DB35,IF(A36&lt;'Données projet'!$A$140,$CQ$205^A36,IF(A36='Données projet'!$A$140,'Données projet'!$B$140,CT35+CS36-DB35)))</f>
        <v>205.60000000000005</v>
      </c>
      <c r="CU36" s="17">
        <f>CT36*VLOOKUP('Données projet'!$B$13,Paramètres!$A$1:$I$89,3,0)*VLOOKUP('Données projet'!$B$13,Paramètres!$A$1:$I$89,5,0)</f>
        <v>195.64896000000005</v>
      </c>
      <c r="CV36" s="13">
        <f t="shared" si="41"/>
        <v>48.78672018080816</v>
      </c>
      <c r="CW36" s="20">
        <f t="shared" si="13"/>
        <v>425.72547631490761</v>
      </c>
      <c r="CX36" s="57">
        <f t="shared" si="14"/>
        <v>719.05880964824087</v>
      </c>
      <c r="CY36" s="57">
        <f ca="1">AVERAGE(OFFSET($CX$3,0,0,'Données projet'!$E$13+1,1))-AVERAGE(OFFSET($H$3,0,0,'Données projet'!$E$13+1,1))</f>
        <v>314.67680626853303</v>
      </c>
      <c r="CZ36" s="57">
        <f t="shared" si="42"/>
        <v>372.57247561536263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180.39999999999995</v>
      </c>
      <c r="DP36" s="17">
        <f>DO36*VLOOKUP('Données projet'!$B$14,Paramètres!$A$1:$I$89,3,0)*VLOOKUP('Données projet'!$B$14,Paramètres!$A$1:$I$89,5,0)</f>
        <v>118.19807999999996</v>
      </c>
      <c r="DQ36" s="13">
        <f t="shared" si="43"/>
        <v>31.254361690638479</v>
      </c>
      <c r="DR36" s="20">
        <f t="shared" si="16"/>
        <v>260.29633594452861</v>
      </c>
      <c r="DS36" s="57">
        <f t="shared" si="17"/>
        <v>553.62966927786192</v>
      </c>
      <c r="DT36" s="57">
        <f ca="1">AVERAGE(OFFSET($DS$3,0,0,'Données projet'!$E$14+1,1))-AVERAGE(OFFSET($H$3,0,0,'Données projet'!$E$14+1,1))</f>
        <v>188.80259324758066</v>
      </c>
      <c r="DU36" s="57">
        <f t="shared" si="44"/>
        <v>195.48048518255354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180.39999999999995</v>
      </c>
      <c r="EK36" s="17">
        <f>EJ36*VLOOKUP('Données projet'!$B$15,Paramètres!$A$1:$I$89,3,0)*VLOOKUP('Données projet'!$B$15,Paramètres!$A$1:$I$89,5,0)</f>
        <v>146.34047999999999</v>
      </c>
      <c r="EL36" s="13">
        <f t="shared" si="45"/>
        <v>37.745754868861937</v>
      </c>
      <c r="EM36" s="20">
        <f t="shared" si="19"/>
        <v>320.6168590632679</v>
      </c>
      <c r="EN36" s="57">
        <f t="shared" si="20"/>
        <v>613.95019239660121</v>
      </c>
      <c r="EO36" s="57">
        <f ca="1">AVERAGE(OFFSET($EN$3,0,0,'Données projet'!$E$15+1,1))-AVERAGE(OFFSET($H$3,0,0,'Données projet'!$E$15+1,1))</f>
        <v>250.90550982248311</v>
      </c>
      <c r="EP36" s="57">
        <f t="shared" si="46"/>
        <v>254.68874167908001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7" t="e">
        <f t="shared" si="23"/>
        <v>#N/A</v>
      </c>
      <c r="FJ36" s="57" t="e">
        <f ca="1">AVERAGE(OFFSET($FI$3,0,0,'Données projet'!$E$16+1,1))-AVERAGE(OFFSET($H$3,0,0,'Données projet'!$E$16+1,1))</f>
        <v>#N/A</v>
      </c>
      <c r="FK36" s="57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7" t="e">
        <f t="shared" si="26"/>
        <v>#N/A</v>
      </c>
      <c r="GE36" s="57" t="e">
        <f ca="1">AVERAGE(OFFSET($GD$3,0,0,'Données projet'!$E$17+1,1))-AVERAGE(OFFSET($H$3,0,0,'Données projet'!$E$17+1,1))</f>
        <v>#N/A</v>
      </c>
      <c r="GF36" s="57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7" t="e">
        <f t="shared" si="29"/>
        <v>#N/A</v>
      </c>
      <c r="GZ36" s="57" t="e">
        <f ca="1">AVERAGE(OFFSET($GY$3,0,0,'Données projet'!$E$18+1,1))-AVERAGE(OFFSET($H$3,0,0,'Données projet'!$E$18+1,1))</f>
        <v>#N/A</v>
      </c>
      <c r="HA36" s="57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0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4">
        <f t="shared" si="1"/>
        <v>361.12982771018881</v>
      </c>
      <c r="I37" s="6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114.73488000000005</v>
      </c>
      <c r="P37" s="13">
        <f t="shared" si="33"/>
        <v>30.443808287231871</v>
      </c>
      <c r="Q37" s="20">
        <f t="shared" si="53"/>
        <v>252.85288210026226</v>
      </c>
      <c r="R37" s="57">
        <f t="shared" si="0"/>
        <v>546.18621543359563</v>
      </c>
      <c r="S37" s="57">
        <f ca="1">AVERAGE(OFFSET($R$3,0,0,'Données projet'!$E$9+1,1))-AVERAGE(OFFSET($H$3,0,0,'Données projet'!$E$9+1,1))</f>
        <v>267.44861001389006</v>
      </c>
      <c r="T37" s="57">
        <f t="shared" si="34"/>
        <v>165.25921510802965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10.8</v>
      </c>
      <c r="AI37" s="13">
        <f>IF('Données projet'!$A$62&gt;35,AI36+AH37-AQ36,IF(A37&lt;'Données projet'!$A$62,$AF$205^A37,IF(A37='Données projet'!$A$62,'Données projet'!$B$62,AI36+AH37-AQ36)))</f>
        <v>136.20000000000005</v>
      </c>
      <c r="AJ37" s="13">
        <f>AI37*VLOOKUP('Données projet'!$B$10,Paramètres!$A$1:$I$89,3,0)*VLOOKUP('Données projet'!$B$10,Paramètres!$A$1:$I$89,5,0)</f>
        <v>123.23376000000005</v>
      </c>
      <c r="AK37" s="13">
        <f t="shared" si="35"/>
        <v>32.428049504876491</v>
      </c>
      <c r="AL37" s="20">
        <f t="shared" si="4"/>
        <v>271.11098488765998</v>
      </c>
      <c r="AM37" s="57">
        <f t="shared" si="5"/>
        <v>564.4443182209933</v>
      </c>
      <c r="AN37" s="57">
        <f ca="1">AVERAGE(OFFSET($AM$3,0,0,'Données projet'!$E$10+1,1))-AVERAGE(OFFSET($H$3,0,0,'Données projet'!$E$10+1,1))</f>
        <v>294.92430430387071</v>
      </c>
      <c r="AO37" s="57">
        <f t="shared" si="36"/>
        <v>181.52228471516497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156.72383999999997</v>
      </c>
      <c r="BF37" s="13">
        <f t="shared" si="37"/>
        <v>40.102680984620484</v>
      </c>
      <c r="BG37" s="20">
        <f t="shared" si="7"/>
        <v>342.80619071488059</v>
      </c>
      <c r="BH37" s="57">
        <f t="shared" si="8"/>
        <v>636.13952404821384</v>
      </c>
      <c r="BI37" s="57">
        <f ca="1">AVERAGE(OFFSET($BH$3,0,0,'Données projet'!$E$11+1,1))-AVERAGE(OFFSET($H$3,0,0,'Données projet'!$E$11+1,1))</f>
        <v>250.90550982248311</v>
      </c>
      <c r="BJ37" s="57">
        <f t="shared" si="38"/>
        <v>254.68874167908001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28.4</v>
      </c>
      <c r="BY37" s="12">
        <f>IF('Données projet'!$A$114&gt;35,BY36+BX37-CG36,IF(A37&lt;'Données projet'!$A$114,$BV$205^A37,IF(A37='Données projet'!$A$114,'Données projet'!$B$114,BY36+BX37-CG36)))</f>
        <v>547.59999999999991</v>
      </c>
      <c r="BZ37" s="13">
        <f>BY37*VLOOKUP('Données projet'!$B$12,Paramètres!$A$1:$I$89,3,0)*VLOOKUP('Données projet'!$B$12,Paramètres!$A$1:$I$89,5,0)</f>
        <v>306.10839999999996</v>
      </c>
      <c r="CA37" s="13">
        <f t="shared" si="39"/>
        <v>72.455512621968097</v>
      </c>
      <c r="CB37" s="20">
        <f t="shared" si="10"/>
        <v>659.33214781659433</v>
      </c>
      <c r="CC37" s="57">
        <f t="shared" si="11"/>
        <v>952.6654811499277</v>
      </c>
      <c r="CD37" s="57">
        <f ca="1">AVERAGE(OFFSET($CC$3,0,0,'Données projet'!$E$12+1,1))-AVERAGE(OFFSET($H$3,0,0,'Données projet'!$E$12+1,1))</f>
        <v>462.54745364638171</v>
      </c>
      <c r="CE37" s="57">
        <f t="shared" si="40"/>
        <v>571.50914830067313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51.71602895134729</v>
      </c>
      <c r="CM37" s="21">
        <f>EXP(-LN(2)/2)*CM36+(1-EXP(-LN(2)/2))/(LN(2)/2)*CG37*CJ37*VLOOKUP('Données projet'!$B$12,Paramètres!$A$1:$I$89,3,0)*0.475*44/12</f>
        <v>0.21262084168471629</v>
      </c>
      <c r="CN37" s="22">
        <f t="shared" si="12"/>
        <v>51.928649793032008</v>
      </c>
      <c r="CO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8.1999999999999993</v>
      </c>
      <c r="CT37" s="12">
        <f>IF('Données projet'!$A$140&gt;35,CT36+CS37-DB36,IF(A37&lt;'Données projet'!$A$140,$CQ$205^A37,IF(A37='Données projet'!$A$140,'Données projet'!$B$140,CT36+CS37-DB36)))</f>
        <v>213.80000000000004</v>
      </c>
      <c r="CU37" s="17">
        <f>CT37*VLOOKUP('Données projet'!$B$13,Paramètres!$A$1:$I$89,3,0)*VLOOKUP('Données projet'!$B$13,Paramètres!$A$1:$I$89,5,0)</f>
        <v>203.45208000000005</v>
      </c>
      <c r="CV37" s="13">
        <f t="shared" si="41"/>
        <v>50.502073157681401</v>
      </c>
      <c r="CW37" s="20">
        <f t="shared" si="13"/>
        <v>442.30348341629519</v>
      </c>
      <c r="CX37" s="57">
        <f t="shared" si="14"/>
        <v>735.63681674962845</v>
      </c>
      <c r="CY37" s="57">
        <f ca="1">AVERAGE(OFFSET($CX$3,0,0,'Données projet'!$E$13+1,1))-AVERAGE(OFFSET($H$3,0,0,'Données projet'!$E$13+1,1))</f>
        <v>314.67680626853303</v>
      </c>
      <c r="CZ37" s="57">
        <f t="shared" si="42"/>
        <v>372.57247561536263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193.19999999999996</v>
      </c>
      <c r="DP37" s="17">
        <f>DO37*VLOOKUP('Données projet'!$B$14,Paramètres!$A$1:$I$89,3,0)*VLOOKUP('Données projet'!$B$14,Paramètres!$A$1:$I$89,5,0)</f>
        <v>126.58463999999996</v>
      </c>
      <c r="DQ37" s="13">
        <f t="shared" si="43"/>
        <v>33.205951254973805</v>
      </c>
      <c r="DR37" s="20">
        <f t="shared" si="16"/>
        <v>278.301946435746</v>
      </c>
      <c r="DS37" s="57">
        <f t="shared" si="17"/>
        <v>571.63527976907926</v>
      </c>
      <c r="DT37" s="57">
        <f ca="1">AVERAGE(OFFSET($DS$3,0,0,'Données projet'!$E$14+1,1))-AVERAGE(OFFSET($H$3,0,0,'Données projet'!$E$14+1,1))</f>
        <v>188.80259324758066</v>
      </c>
      <c r="DU37" s="57">
        <f t="shared" si="44"/>
        <v>195.48048518255354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193.19999999999996</v>
      </c>
      <c r="EK37" s="17">
        <f>EJ37*VLOOKUP('Données projet'!$B$15,Paramètres!$A$1:$I$89,3,0)*VLOOKUP('Données projet'!$B$15,Paramètres!$A$1:$I$89,5,0)</f>
        <v>156.72383999999997</v>
      </c>
      <c r="EL37" s="13">
        <f t="shared" si="45"/>
        <v>40.102680984620484</v>
      </c>
      <c r="EM37" s="20">
        <f t="shared" si="19"/>
        <v>342.80619071488059</v>
      </c>
      <c r="EN37" s="57">
        <f t="shared" si="20"/>
        <v>636.13952404821384</v>
      </c>
      <c r="EO37" s="57">
        <f ca="1">AVERAGE(OFFSET($EN$3,0,0,'Données projet'!$E$15+1,1))-AVERAGE(OFFSET($H$3,0,0,'Données projet'!$E$15+1,1))</f>
        <v>250.90550982248311</v>
      </c>
      <c r="EP37" s="57">
        <f t="shared" si="46"/>
        <v>254.68874167908001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7" t="e">
        <f t="shared" si="23"/>
        <v>#N/A</v>
      </c>
      <c r="FJ37" s="57" t="e">
        <f ca="1">AVERAGE(OFFSET($FI$3,0,0,'Données projet'!$E$16+1,1))-AVERAGE(OFFSET($H$3,0,0,'Données projet'!$E$16+1,1))</f>
        <v>#N/A</v>
      </c>
      <c r="FK37" s="57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7" t="e">
        <f t="shared" si="26"/>
        <v>#N/A</v>
      </c>
      <c r="GE37" s="57" t="e">
        <f ca="1">AVERAGE(OFFSET($GD$3,0,0,'Données projet'!$E$17+1,1))-AVERAGE(OFFSET($H$3,0,0,'Données projet'!$E$17+1,1))</f>
        <v>#N/A</v>
      </c>
      <c r="GF37" s="57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7" t="e">
        <f t="shared" si="29"/>
        <v>#N/A</v>
      </c>
      <c r="GZ37" s="57" t="e">
        <f ca="1">AVERAGE(OFFSET($GY$3,0,0,'Données projet'!$E$18+1,1))-AVERAGE(OFFSET($H$3,0,0,'Données projet'!$E$18+1,1))</f>
        <v>#N/A</v>
      </c>
      <c r="HA37" s="57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0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4">
        <f t="shared" si="1"/>
        <v>363.06813693338705</v>
      </c>
      <c r="I38" s="6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123.83280000000006</v>
      </c>
      <c r="P38" s="13">
        <f t="shared" si="33"/>
        <v>32.567294628684579</v>
      </c>
      <c r="Q38" s="20">
        <f t="shared" si="53"/>
        <v>272.39683147829243</v>
      </c>
      <c r="R38" s="57">
        <f t="shared" si="0"/>
        <v>565.73016481162574</v>
      </c>
      <c r="S38" s="57">
        <f ca="1">AVERAGE(OFFSET($R$3,0,0,'Données projet'!$E$9+1,1))-AVERAGE(OFFSET($H$3,0,0,'Données projet'!$E$9+1,1))</f>
        <v>267.44861001389006</v>
      </c>
      <c r="T38" s="57">
        <f t="shared" si="34"/>
        <v>165.25921510802965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11.212228902531429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11.212228902531429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147</v>
      </c>
      <c r="AG38" s="12">
        <f>VLOOKUP(A38,'Données projet'!$A$61:$I$81,9,0)</f>
        <v>10.8</v>
      </c>
      <c r="AH38" s="12">
        <f t="array" ref="AH38">INDEX(AG:AG,MIN(IF(ISNUMBER(AG38:AG234),ROW(AG38:AG234),"")))</f>
        <v>10.8</v>
      </c>
      <c r="AI38" s="13">
        <f>IF('Données projet'!$A$62&gt;35,AI37+AH38-AQ37,IF(A38&lt;'Données projet'!$A$62,$AF$205^A38,IF(A38='Données projet'!$A$62,'Données projet'!$B$62,AI37+AH38-AQ37)))</f>
        <v>147.00000000000006</v>
      </c>
      <c r="AJ38" s="13">
        <f>AI38*VLOOKUP('Données projet'!$B$10,Paramètres!$A$1:$I$89,3,0)*VLOOKUP('Données projet'!$B$10,Paramètres!$A$1:$I$89,5,0)</f>
        <v>133.00560000000004</v>
      </c>
      <c r="AK38" s="13">
        <f t="shared" si="35"/>
        <v>34.689938673073549</v>
      </c>
      <c r="AL38" s="20">
        <f t="shared" si="4"/>
        <v>292.06972985560316</v>
      </c>
      <c r="AM38" s="57">
        <f t="shared" si="5"/>
        <v>585.40306318893647</v>
      </c>
      <c r="AN38" s="57">
        <f ca="1">AVERAGE(OFFSET($AM$3,0,0,'Données projet'!$E$10+1,1))-AVERAGE(OFFSET($H$3,0,0,'Données projet'!$E$10+1,1))</f>
        <v>294.92430430387071</v>
      </c>
      <c r="AO38" s="57">
        <f t="shared" si="36"/>
        <v>181.52228471516497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12.042764376793015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12.042764376793015</v>
      </c>
      <c r="AY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167.10719999999998</v>
      </c>
      <c r="BF38" s="13">
        <f t="shared" si="37"/>
        <v>42.44148687166966</v>
      </c>
      <c r="BG38" s="20">
        <f t="shared" si="7"/>
        <v>364.96396296815789</v>
      </c>
      <c r="BH38" s="57">
        <f t="shared" si="8"/>
        <v>658.2972963014912</v>
      </c>
      <c r="BI38" s="57">
        <f ca="1">AVERAGE(OFFSET($BH$3,0,0,'Données projet'!$E$11+1,1))-AVERAGE(OFFSET($H$3,0,0,'Données projet'!$E$11+1,1))</f>
        <v>250.90550982248311</v>
      </c>
      <c r="BJ38" s="57">
        <f t="shared" si="38"/>
        <v>254.68874167908001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13.496201456750795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13.496201456750795</v>
      </c>
      <c r="BT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576</v>
      </c>
      <c r="BW38" s="12">
        <f>VLOOKUP(A38,'Données projet'!$A$113:$I$133,9,0)</f>
        <v>28.4</v>
      </c>
      <c r="BX38" s="12">
        <f t="array" ref="BX38">INDEX(BW:BW,MIN(IF(ISNUMBER(BW38:BW234),ROW(BW38:BW234),"")))</f>
        <v>28.4</v>
      </c>
      <c r="BY38" s="12">
        <f>IF('Données projet'!$A$114&gt;35,BY37+BX38-CG37,IF(A38&lt;'Données projet'!$A$114,$BV$205^A38,IF(A38='Données projet'!$A$114,'Données projet'!$B$114,BY37+BX38-CG37)))</f>
        <v>575.99999999999989</v>
      </c>
      <c r="BZ38" s="13">
        <f>BY38*VLOOKUP('Données projet'!$B$12,Paramètres!$A$1:$I$89,3,0)*VLOOKUP('Données projet'!$B$12,Paramètres!$A$1:$I$89,5,0)</f>
        <v>321.98399999999992</v>
      </c>
      <c r="CA38" s="13">
        <f t="shared" si="39"/>
        <v>75.76601483154208</v>
      </c>
      <c r="CB38" s="20">
        <f t="shared" si="10"/>
        <v>692.74794249826891</v>
      </c>
      <c r="CC38" s="57">
        <f t="shared" si="11"/>
        <v>986.08127583160217</v>
      </c>
      <c r="CD38" s="57">
        <f ca="1">AVERAGE(OFFSET($CC$3,0,0,'Données projet'!$E$12+1,1))-AVERAGE(OFFSET($H$3,0,0,'Données projet'!$E$12+1,1))</f>
        <v>462.54745364638171</v>
      </c>
      <c r="CE38" s="57">
        <f t="shared" si="40"/>
        <v>571.50914830067313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72</v>
      </c>
      <c r="CH38" s="16">
        <f>IF(ISNA(VLOOKUP(A38,'Données projet'!$A$113:$I$133,5,0)),0%,VLOOKUP(A38,'Données projet'!$A$113:$I$133,5,0)*VLOOKUP('Données projet'!$B$12,Paramètres!$A$1:$I$89,7,0))</f>
        <v>0.55000000000000004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29.365361411391842</v>
      </c>
      <c r="CL38" s="21">
        <f>EXP(-LN(2)/25)*CL37+(1-EXP(-LN(2)/25))/(LN(2)/25)*Calculateur!CG38*Calculateur!CI38*VLOOKUP('Données projet'!$B$12,Paramètres!$A$1:$I$89,3,0)*0.475*44/12</f>
        <v>50.301851420044933</v>
      </c>
      <c r="CM38" s="21">
        <f>EXP(-LN(2)/2)*CM37+(1-EXP(-LN(2)/2))/(LN(2)/2)*CG38*CJ38*VLOOKUP('Données projet'!$B$12,Paramètres!$A$1:$I$89,3,0)*0.475*44/12</f>
        <v>0.15034563897685424</v>
      </c>
      <c r="CN38" s="22">
        <f t="shared" si="12"/>
        <v>79.81755847041363</v>
      </c>
      <c r="CO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222</v>
      </c>
      <c r="CR38" s="12">
        <f>VLOOKUP(A38,'Données projet'!$A$139:$I$159,9,0)</f>
        <v>8.1999999999999993</v>
      </c>
      <c r="CS38" s="12">
        <f t="array" ref="CS38">INDEX(CR:CR,MIN(IF(ISNUMBER(CR38:CR234),ROW(CR38:CR234),"")))</f>
        <v>8.1999999999999993</v>
      </c>
      <c r="CT38" s="12">
        <f>IF('Données projet'!$A$140&gt;35,CT37+CS38-DB37,IF(A38&lt;'Données projet'!$A$140,$CQ$205^A38,IF(A38='Données projet'!$A$140,'Données projet'!$B$140,CT37+CS38-DB37)))</f>
        <v>222.00000000000003</v>
      </c>
      <c r="CU38" s="17">
        <f>CT38*VLOOKUP('Données projet'!$B$13,Paramètres!$A$1:$I$89,3,0)*VLOOKUP('Données projet'!$B$13,Paramètres!$A$1:$I$89,5,0)</f>
        <v>211.25520000000003</v>
      </c>
      <c r="CV38" s="13">
        <f t="shared" si="41"/>
        <v>52.209783272091016</v>
      </c>
      <c r="CW38" s="20">
        <f t="shared" si="13"/>
        <v>458.86817919889182</v>
      </c>
      <c r="CX38" s="57">
        <f t="shared" si="14"/>
        <v>752.20151253222514</v>
      </c>
      <c r="CY38" s="57">
        <f ca="1">AVERAGE(OFFSET($CX$3,0,0,'Données projet'!$E$13+1,1))-AVERAGE(OFFSET($H$3,0,0,'Données projet'!$E$13+1,1))</f>
        <v>314.67680626853303</v>
      </c>
      <c r="CZ38" s="57">
        <f t="shared" si="42"/>
        <v>372.57247561536263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29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13.118011196149537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13.118011196149537</v>
      </c>
      <c r="DJ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206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205.99999999999997</v>
      </c>
      <c r="DP38" s="17">
        <f>DO38*VLOOKUP('Données projet'!$B$14,Paramètres!$A$1:$I$89,3,0)*VLOOKUP('Données projet'!$B$14,Paramètres!$A$1:$I$89,5,0)</f>
        <v>134.97119999999998</v>
      </c>
      <c r="DQ38" s="13">
        <f t="shared" si="43"/>
        <v>35.142536849088657</v>
      </c>
      <c r="DR38" s="20">
        <f t="shared" si="16"/>
        <v>296.28142501216269</v>
      </c>
      <c r="DS38" s="57">
        <f t="shared" si="17"/>
        <v>589.61475834549606</v>
      </c>
      <c r="DT38" s="57">
        <f ca="1">AVERAGE(OFFSET($DS$3,0,0,'Données projet'!$E$14+1,1))-AVERAGE(OFFSET($H$3,0,0,'Données projet'!$E$14+1,1))</f>
        <v>188.80259324758066</v>
      </c>
      <c r="DU38" s="57">
        <f t="shared" si="44"/>
        <v>195.48048518255354</v>
      </c>
      <c r="DV38" s="15">
        <f>IF(ISNA(VLOOKUP(A38,'Données projet'!$A$165:$I$185,3,0)),0,VLOOKUP(A38,'Données projet'!$A$165:$I$185,3,0))</f>
        <v>5</v>
      </c>
      <c r="DW38" s="15">
        <f>IF(ISNA(VLOOKUP(A38,'Données projet'!$A$165:$I$185,4,0)),0,VLOOKUP(A38,'Données projet'!$A$165:$I$185,4,0))</f>
        <v>35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10.900778099683334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10.900778099683334</v>
      </c>
      <c r="EE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206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205.99999999999997</v>
      </c>
      <c r="EK38" s="17">
        <f>EJ38*VLOOKUP('Données projet'!$B$15,Paramètres!$A$1:$I$89,3,0)*VLOOKUP('Données projet'!$B$15,Paramètres!$A$1:$I$89,5,0)</f>
        <v>167.10719999999998</v>
      </c>
      <c r="EL38" s="13">
        <f t="shared" si="45"/>
        <v>42.44148687166966</v>
      </c>
      <c r="EM38" s="20">
        <f t="shared" si="19"/>
        <v>364.96396296815789</v>
      </c>
      <c r="EN38" s="57">
        <f t="shared" si="20"/>
        <v>658.2972963014912</v>
      </c>
      <c r="EO38" s="57">
        <f ca="1">AVERAGE(OFFSET($EN$3,0,0,'Données projet'!$E$15+1,1))-AVERAGE(OFFSET($H$3,0,0,'Données projet'!$E$15+1,1))</f>
        <v>250.90550982248311</v>
      </c>
      <c r="EP38" s="57">
        <f t="shared" si="46"/>
        <v>254.68874167908001</v>
      </c>
      <c r="EQ38" s="15">
        <f>IF(ISNA(VLOOKUP(A38,'Données projet'!$A$191:$I$211,3,0)),0,VLOOKUP(A38,'Données projet'!$A$191:$I$211,3,0))</f>
        <v>5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0.43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13.496201456750795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13.496201456750795</v>
      </c>
      <c r="EZ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7" t="e">
        <f t="shared" si="23"/>
        <v>#N/A</v>
      </c>
      <c r="FJ38" s="57" t="e">
        <f ca="1">AVERAGE(OFFSET($FI$3,0,0,'Données projet'!$E$16+1,1))-AVERAGE(OFFSET($H$3,0,0,'Données projet'!$E$16+1,1))</f>
        <v>#N/A</v>
      </c>
      <c r="FK38" s="57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7" t="e">
        <f t="shared" si="26"/>
        <v>#N/A</v>
      </c>
      <c r="GE38" s="57" t="e">
        <f ca="1">AVERAGE(OFFSET($GD$3,0,0,'Données projet'!$E$17+1,1))-AVERAGE(OFFSET($H$3,0,0,'Données projet'!$E$17+1,1))</f>
        <v>#N/A</v>
      </c>
      <c r="GF38" s="57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7" t="e">
        <f t="shared" si="29"/>
        <v>#N/A</v>
      </c>
      <c r="GZ38" s="57" t="e">
        <f ca="1">AVERAGE(OFFSET($GY$3,0,0,'Données projet'!$E$18+1,1))-AVERAGE(OFFSET($H$3,0,0,'Données projet'!$E$18+1,1))</f>
        <v>#N/A</v>
      </c>
      <c r="HA38" s="57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0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4">
        <f t="shared" si="1"/>
        <v>365.00506213811195</v>
      </c>
      <c r="I39" s="6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109.68048000000006</v>
      </c>
      <c r="P39" s="13">
        <f t="shared" si="33"/>
        <v>29.255690427909659</v>
      </c>
      <c r="Q39" s="20">
        <f t="shared" si="53"/>
        <v>241.9804968286094</v>
      </c>
      <c r="R39" s="57">
        <f t="shared" si="0"/>
        <v>535.31383016194275</v>
      </c>
      <c r="S39" s="57">
        <f ca="1">AVERAGE(OFFSET($R$3,0,0,'Données projet'!$E$9+1,1))-AVERAGE(OFFSET($H$3,0,0,'Données projet'!$E$9+1,1))</f>
        <v>267.44861001389006</v>
      </c>
      <c r="T39" s="57">
        <f t="shared" si="34"/>
        <v>165.25921510802965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10.992363932537144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10.992363932537144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11.2</v>
      </c>
      <c r="AI39" s="13">
        <f>IF('Données projet'!$A$62&gt;35,AI38+AH39-AQ38,IF(A39&lt;'Données projet'!$A$62,$AF$205^A39,IF(A39='Données projet'!$A$62,'Données projet'!$B$62,AI38+AH39-AQ38)))</f>
        <v>130.20000000000005</v>
      </c>
      <c r="AJ39" s="13">
        <f>AI39*VLOOKUP('Données projet'!$B$10,Paramètres!$A$1:$I$89,3,0)*VLOOKUP('Données projet'!$B$10,Paramètres!$A$1:$I$89,5,0)</f>
        <v>117.80496000000004</v>
      </c>
      <c r="AK39" s="13">
        <f t="shared" si="35"/>
        <v>31.162493487829593</v>
      </c>
      <c r="AL39" s="20">
        <f t="shared" si="4"/>
        <v>259.45164815796994</v>
      </c>
      <c r="AM39" s="57">
        <f t="shared" si="5"/>
        <v>552.78498149130326</v>
      </c>
      <c r="AN39" s="57">
        <f ca="1">AVERAGE(OFFSET($AM$3,0,0,'Données projet'!$E$10+1,1))-AVERAGE(OFFSET($H$3,0,0,'Données projet'!$E$10+1,1))</f>
        <v>294.92430430387071</v>
      </c>
      <c r="AO39" s="57">
        <f t="shared" si="36"/>
        <v>181.52228471516497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11.80661311272508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11.80661311272508</v>
      </c>
      <c r="AY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147.96287999999998</v>
      </c>
      <c r="BF39" s="13">
        <f t="shared" si="37"/>
        <v>38.115275017059226</v>
      </c>
      <c r="BG39" s="20">
        <f t="shared" si="7"/>
        <v>324.08611998804474</v>
      </c>
      <c r="BH39" s="57">
        <f t="shared" si="8"/>
        <v>617.41945332137811</v>
      </c>
      <c r="BI39" s="57">
        <f ca="1">AVERAGE(OFFSET($BH$3,0,0,'Données projet'!$E$11+1,1))-AVERAGE(OFFSET($H$3,0,0,'Données projet'!$E$11+1,1))</f>
        <v>250.90550982248311</v>
      </c>
      <c r="BJ39" s="57">
        <f t="shared" si="38"/>
        <v>254.68874167908001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13.231549178053971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13.231549178053971</v>
      </c>
      <c r="BT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27</v>
      </c>
      <c r="BY39" s="12">
        <f>IF('Données projet'!$A$114&gt;35,BY38+BX39-CG38,IF(A39&lt;'Données projet'!$A$114,$BV$205^A39,IF(A39='Données projet'!$A$114,'Données projet'!$B$114,BY38+BX39-CG38)))</f>
        <v>530.99999999999989</v>
      </c>
      <c r="BZ39" s="13">
        <f>BY39*VLOOKUP('Données projet'!$B$12,Paramètres!$A$1:$I$89,3,0)*VLOOKUP('Données projet'!$B$12,Paramètres!$A$1:$I$89,5,0)</f>
        <v>296.82899999999995</v>
      </c>
      <c r="CA39" s="13">
        <f t="shared" si="39"/>
        <v>70.511289513454344</v>
      </c>
      <c r="CB39" s="20">
        <f t="shared" si="10"/>
        <v>639.78433756926631</v>
      </c>
      <c r="CC39" s="57">
        <f t="shared" si="11"/>
        <v>933.11767090259968</v>
      </c>
      <c r="CD39" s="57">
        <f ca="1">AVERAGE(OFFSET($CC$3,0,0,'Données projet'!$E$12+1,1))-AVERAGE(OFFSET($H$3,0,0,'Données projet'!$E$12+1,1))</f>
        <v>462.54745364638171</v>
      </c>
      <c r="CE39" s="57">
        <f t="shared" si="40"/>
        <v>571.50914830067313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28.789524585216334</v>
      </c>
      <c r="CL39" s="21">
        <f>EXP(-LN(2)/25)*CL38+(1-EXP(-LN(2)/25))/(LN(2)/25)*Calculateur!CG39*Calculateur!CI39*VLOOKUP('Données projet'!$B$12,Paramètres!$A$1:$I$89,3,0)*0.475*44/12</f>
        <v>48.926344647704404</v>
      </c>
      <c r="CM39" s="21">
        <f>EXP(-LN(2)/2)*CM38+(1-EXP(-LN(2)/2))/(LN(2)/2)*CG39*CJ39*VLOOKUP('Données projet'!$B$12,Paramètres!$A$1:$I$89,3,0)*0.475*44/12</f>
        <v>0.10631042084235814</v>
      </c>
      <c r="CN39" s="22">
        <f t="shared" si="12"/>
        <v>77.822179653763101</v>
      </c>
      <c r="CO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8.4</v>
      </c>
      <c r="CT39" s="12">
        <f>IF('Données projet'!$A$140&gt;35,CT38+CS39-DB38,IF(A39&lt;'Données projet'!$A$140,$CQ$205^A39,IF(A39='Données projet'!$A$140,'Données projet'!$B$140,CT38+CS39-DB38)))</f>
        <v>201.40000000000003</v>
      </c>
      <c r="CU39" s="17">
        <f>CT39*VLOOKUP('Données projet'!$B$13,Paramètres!$A$1:$I$89,3,0)*VLOOKUP('Données projet'!$B$13,Paramètres!$A$1:$I$89,5,0)</f>
        <v>191.65224000000003</v>
      </c>
      <c r="CV39" s="13">
        <f t="shared" si="41"/>
        <v>47.905055377617416</v>
      </c>
      <c r="CW39" s="20">
        <f t="shared" si="13"/>
        <v>417.22895611601695</v>
      </c>
      <c r="CX39" s="57">
        <f t="shared" si="14"/>
        <v>710.56228944935026</v>
      </c>
      <c r="CY39" s="57">
        <f ca="1">AVERAGE(OFFSET($CX$3,0,0,'Données projet'!$E$13+1,1))-AVERAGE(OFFSET($H$3,0,0,'Données projet'!$E$13+1,1))</f>
        <v>314.67680626853303</v>
      </c>
      <c r="CZ39" s="57">
        <f t="shared" si="42"/>
        <v>372.57247561536263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12.860774997789822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12.860774997789822</v>
      </c>
      <c r="DJ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182.39999999999998</v>
      </c>
      <c r="DP39" s="17">
        <f>DO39*VLOOKUP('Données projet'!$B$14,Paramètres!$A$1:$I$89,3,0)*VLOOKUP('Données projet'!$B$14,Paramètres!$A$1:$I$89,5,0)</f>
        <v>119.50847999999999</v>
      </c>
      <c r="DQ39" s="13">
        <f t="shared" si="43"/>
        <v>31.560332955588962</v>
      </c>
      <c r="DR39" s="20">
        <f t="shared" si="16"/>
        <v>263.11151589765069</v>
      </c>
      <c r="DS39" s="57">
        <f t="shared" si="17"/>
        <v>556.444849230984</v>
      </c>
      <c r="DT39" s="57">
        <f ca="1">AVERAGE(OFFSET($DS$3,0,0,'Données projet'!$E$14+1,1))-AVERAGE(OFFSET($H$3,0,0,'Données projet'!$E$14+1,1))</f>
        <v>188.80259324758066</v>
      </c>
      <c r="DU39" s="57">
        <f t="shared" si="44"/>
        <v>195.48048518255354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10.687020489966669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10.687020489966669</v>
      </c>
      <c r="EE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11.4</v>
      </c>
      <c r="EJ39" s="12">
        <f>IF('Données projet'!$A$192&gt;35,EJ38+EI39-ER38,IF(A39&lt;'Données projet'!$A$192,$EG$205^A39,IF(A39='Données projet'!$A$192,'Données projet'!$B$192,EJ38+EI39-ER38)))</f>
        <v>182.39999999999998</v>
      </c>
      <c r="EK39" s="17">
        <f>EJ39*VLOOKUP('Données projet'!$B$15,Paramètres!$A$1:$I$89,3,0)*VLOOKUP('Données projet'!$B$15,Paramètres!$A$1:$I$89,5,0)</f>
        <v>147.96287999999998</v>
      </c>
      <c r="EL39" s="13">
        <f t="shared" si="45"/>
        <v>38.115275017059226</v>
      </c>
      <c r="EM39" s="20">
        <f t="shared" si="19"/>
        <v>324.08611998804474</v>
      </c>
      <c r="EN39" s="57">
        <f t="shared" si="20"/>
        <v>617.41945332137811</v>
      </c>
      <c r="EO39" s="57">
        <f ca="1">AVERAGE(OFFSET($EN$3,0,0,'Données projet'!$E$15+1,1))-AVERAGE(OFFSET($H$3,0,0,'Données projet'!$E$15+1,1))</f>
        <v>250.90550982248311</v>
      </c>
      <c r="EP39" s="57">
        <f t="shared" si="46"/>
        <v>254.68874167908001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13.231549178053971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13.231549178053971</v>
      </c>
      <c r="EZ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7" t="e">
        <f t="shared" si="23"/>
        <v>#N/A</v>
      </c>
      <c r="FJ39" s="57" t="e">
        <f ca="1">AVERAGE(OFFSET($FI$3,0,0,'Données projet'!$E$16+1,1))-AVERAGE(OFFSET($H$3,0,0,'Données projet'!$E$16+1,1))</f>
        <v>#N/A</v>
      </c>
      <c r="FK39" s="57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7" t="e">
        <f t="shared" si="26"/>
        <v>#N/A</v>
      </c>
      <c r="GE39" s="57" t="e">
        <f ca="1">AVERAGE(OFFSET($GD$3,0,0,'Données projet'!$E$17+1,1))-AVERAGE(OFFSET($H$3,0,0,'Données projet'!$E$17+1,1))</f>
        <v>#N/A</v>
      </c>
      <c r="GF39" s="57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7" t="e">
        <f t="shared" si="29"/>
        <v>#N/A</v>
      </c>
      <c r="GZ39" s="57" t="e">
        <f ca="1">AVERAGE(OFFSET($GY$3,0,0,'Données projet'!$E$18+1,1))-AVERAGE(OFFSET($H$3,0,0,'Données projet'!$E$18+1,1))</f>
        <v>#N/A</v>
      </c>
      <c r="HA39" s="57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0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4">
        <f t="shared" si="1"/>
        <v>366.9406461861675</v>
      </c>
      <c r="I40" s="6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119.11536000000004</v>
      </c>
      <c r="P40" s="13">
        <f t="shared" si="33"/>
        <v>31.468582772748093</v>
      </c>
      <c r="Q40" s="20">
        <f t="shared" si="53"/>
        <v>262.26703366253628</v>
      </c>
      <c r="R40" s="57">
        <f t="shared" si="0"/>
        <v>555.60036699586954</v>
      </c>
      <c r="S40" s="57">
        <f ca="1">AVERAGE(OFFSET($R$3,0,0,'Données projet'!$E$9+1,1))-AVERAGE(OFFSET($H$3,0,0,'Données projet'!$E$9+1,1))</f>
        <v>267.44861001389006</v>
      </c>
      <c r="T40" s="57">
        <f t="shared" si="34"/>
        <v>165.25921510802965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10.776810380500057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10.776810380500057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11.2</v>
      </c>
      <c r="AI40" s="13">
        <f>IF('Données projet'!$A$62&gt;35,AI39+AH40-AQ39,IF(A40&lt;'Données projet'!$A$62,$AF$205^A40,IF(A40='Données projet'!$A$62,'Données projet'!$B$62,AI39+AH40-AQ39)))</f>
        <v>141.40000000000003</v>
      </c>
      <c r="AJ40" s="13">
        <f>AI40*VLOOKUP('Données projet'!$B$10,Paramètres!$A$1:$I$89,3,0)*VLOOKUP('Données projet'!$B$10,Paramètres!$A$1:$I$89,5,0)</f>
        <v>127.93872000000003</v>
      </c>
      <c r="AK40" s="13">
        <f t="shared" si="35"/>
        <v>33.519615889545641</v>
      </c>
      <c r="AL40" s="20">
        <f t="shared" si="4"/>
        <v>281.20660167429202</v>
      </c>
      <c r="AM40" s="57">
        <f t="shared" si="5"/>
        <v>574.53993500762533</v>
      </c>
      <c r="AN40" s="57">
        <f ca="1">AVERAGE(OFFSET($AM$3,0,0,'Données projet'!$E$10+1,1))-AVERAGE(OFFSET($H$3,0,0,'Données projet'!$E$10+1,1))</f>
        <v>294.92430430387071</v>
      </c>
      <c r="AO40" s="57">
        <f t="shared" si="36"/>
        <v>181.52228471516497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11.575092630907468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11.575092630907468</v>
      </c>
      <c r="AY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157.21055999999999</v>
      </c>
      <c r="BF40" s="13">
        <f t="shared" si="37"/>
        <v>40.212706859296013</v>
      </c>
      <c r="BG40" s="20">
        <f t="shared" si="7"/>
        <v>343.84552311327383</v>
      </c>
      <c r="BH40" s="57">
        <f t="shared" si="8"/>
        <v>637.17885644660714</v>
      </c>
      <c r="BI40" s="57">
        <f ca="1">AVERAGE(OFFSET($BH$3,0,0,'Données projet'!$E$11+1,1))-AVERAGE(OFFSET($H$3,0,0,'Données projet'!$E$11+1,1))</f>
        <v>250.90550982248311</v>
      </c>
      <c r="BJ40" s="57">
        <f t="shared" si="38"/>
        <v>254.68874167908001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12.972086569120441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12.972086569120441</v>
      </c>
      <c r="BT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27</v>
      </c>
      <c r="BY40" s="12">
        <f>IF('Données projet'!$A$114&gt;35,BY39+BX40-CG39,IF(A40&lt;'Données projet'!$A$114,$BV$205^A40,IF(A40='Données projet'!$A$114,'Données projet'!$B$114,BY39+BX40-CG39)))</f>
        <v>557.99999999999989</v>
      </c>
      <c r="BZ40" s="13">
        <f>BY40*VLOOKUP('Données projet'!$B$12,Paramètres!$A$1:$I$89,3,0)*VLOOKUP('Données projet'!$B$12,Paramètres!$A$1:$I$89,5,0)</f>
        <v>311.92199999999991</v>
      </c>
      <c r="CA40" s="13">
        <f t="shared" si="39"/>
        <v>73.670075764965745</v>
      </c>
      <c r="CB40" s="20">
        <f t="shared" si="10"/>
        <v>671.57286529064845</v>
      </c>
      <c r="CC40" s="57">
        <f t="shared" si="11"/>
        <v>964.90619862398171</v>
      </c>
      <c r="CD40" s="57">
        <f ca="1">AVERAGE(OFFSET($CC$3,0,0,'Données projet'!$E$12+1,1))-AVERAGE(OFFSET($H$3,0,0,'Données projet'!$E$12+1,1))</f>
        <v>462.54745364638171</v>
      </c>
      <c r="CE40" s="57">
        <f t="shared" si="40"/>
        <v>571.50914830067313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28.224979567976344</v>
      </c>
      <c r="CL40" s="21">
        <f>EXP(-LN(2)/25)*CL39+(1-EXP(-LN(2)/25))/(LN(2)/25)*Calculateur!CG40*Calculateur!CI40*VLOOKUP('Données projet'!$B$12,Paramètres!$A$1:$I$89,3,0)*0.475*44/12</f>
        <v>47.588451180388283</v>
      </c>
      <c r="CM40" s="21">
        <f>EXP(-LN(2)/2)*CM39+(1-EXP(-LN(2)/2))/(LN(2)/2)*CG40*CJ40*VLOOKUP('Données projet'!$B$12,Paramètres!$A$1:$I$89,3,0)*0.475*44/12</f>
        <v>7.517281948842712E-2</v>
      </c>
      <c r="CN40" s="22">
        <f t="shared" si="12"/>
        <v>75.888603567853053</v>
      </c>
      <c r="CO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8.4</v>
      </c>
      <c r="CT40" s="12">
        <f>IF('Données projet'!$A$140&gt;35,CT39+CS40-DB39,IF(A40&lt;'Données projet'!$A$140,$CQ$205^A40,IF(A40='Données projet'!$A$140,'Données projet'!$B$140,CT39+CS40-DB39)))</f>
        <v>209.80000000000004</v>
      </c>
      <c r="CU40" s="17">
        <f>CT40*VLOOKUP('Données projet'!$B$13,Paramètres!$A$1:$I$89,3,0)*VLOOKUP('Données projet'!$B$13,Paramètres!$A$1:$I$89,5,0)</f>
        <v>199.64568000000006</v>
      </c>
      <c r="CV40" s="13">
        <f t="shared" si="41"/>
        <v>49.666290879455737</v>
      </c>
      <c r="CW40" s="20">
        <f t="shared" si="13"/>
        <v>434.21834928171887</v>
      </c>
      <c r="CX40" s="57">
        <f t="shared" si="14"/>
        <v>727.55168261505219</v>
      </c>
      <c r="CY40" s="57">
        <f ca="1">AVERAGE(OFFSET($CX$3,0,0,'Données projet'!$E$13+1,1))-AVERAGE(OFFSET($H$3,0,0,'Données projet'!$E$13+1,1))</f>
        <v>314.67680626853303</v>
      </c>
      <c r="CZ40" s="57">
        <f t="shared" si="42"/>
        <v>372.57247561536263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12.608583044381351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12.608583044381351</v>
      </c>
      <c r="DJ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193.79999999999998</v>
      </c>
      <c r="DP40" s="17">
        <f>DO40*VLOOKUP('Données projet'!$B$14,Paramètres!$A$1:$I$89,3,0)*VLOOKUP('Données projet'!$B$14,Paramètres!$A$1:$I$89,5,0)</f>
        <v>126.97775999999999</v>
      </c>
      <c r="DQ40" s="13">
        <f t="shared" si="43"/>
        <v>33.297055234597053</v>
      </c>
      <c r="DR40" s="20">
        <f t="shared" si="16"/>
        <v>279.14530320025654</v>
      </c>
      <c r="DS40" s="57">
        <f t="shared" si="17"/>
        <v>572.47863653358991</v>
      </c>
      <c r="DT40" s="57">
        <f ca="1">AVERAGE(OFFSET($DS$3,0,0,'Données projet'!$E$14+1,1))-AVERAGE(OFFSET($H$3,0,0,'Données projet'!$E$14+1,1))</f>
        <v>188.80259324758066</v>
      </c>
      <c r="DU40" s="57">
        <f t="shared" si="44"/>
        <v>195.48048518255354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10.477454536597278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10.477454536597278</v>
      </c>
      <c r="EE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11.4</v>
      </c>
      <c r="EJ40" s="12">
        <f>IF('Données projet'!$A$192&gt;35,EJ39+EI40-ER39,IF(A40&lt;'Données projet'!$A$192,$EG$205^A40,IF(A40='Données projet'!$A$192,'Données projet'!$B$192,EJ39+EI40-ER39)))</f>
        <v>193.79999999999998</v>
      </c>
      <c r="EK40" s="17">
        <f>EJ40*VLOOKUP('Données projet'!$B$15,Paramètres!$A$1:$I$89,3,0)*VLOOKUP('Données projet'!$B$15,Paramètres!$A$1:$I$89,5,0)</f>
        <v>157.21055999999999</v>
      </c>
      <c r="EL40" s="13">
        <f t="shared" si="45"/>
        <v>40.212706859296013</v>
      </c>
      <c r="EM40" s="20">
        <f t="shared" si="19"/>
        <v>343.84552311327383</v>
      </c>
      <c r="EN40" s="57">
        <f t="shared" si="20"/>
        <v>637.17885644660714</v>
      </c>
      <c r="EO40" s="57">
        <f ca="1">AVERAGE(OFFSET($EN$3,0,0,'Données projet'!$E$15+1,1))-AVERAGE(OFFSET($H$3,0,0,'Données projet'!$E$15+1,1))</f>
        <v>250.90550982248311</v>
      </c>
      <c r="EP40" s="57">
        <f t="shared" si="46"/>
        <v>254.68874167908001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12.972086569120441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12.972086569120441</v>
      </c>
      <c r="EZ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7" t="e">
        <f t="shared" si="23"/>
        <v>#N/A</v>
      </c>
      <c r="FJ40" s="57" t="e">
        <f ca="1">AVERAGE(OFFSET($FI$3,0,0,'Données projet'!$E$16+1,1))-AVERAGE(OFFSET($H$3,0,0,'Données projet'!$E$16+1,1))</f>
        <v>#N/A</v>
      </c>
      <c r="FK40" s="57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7" t="e">
        <f t="shared" si="26"/>
        <v>#N/A</v>
      </c>
      <c r="GE40" s="57" t="e">
        <f ca="1">AVERAGE(OFFSET($GD$3,0,0,'Données projet'!$E$17+1,1))-AVERAGE(OFFSET($H$3,0,0,'Données projet'!$E$17+1,1))</f>
        <v>#N/A</v>
      </c>
      <c r="GF40" s="57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7" t="e">
        <f t="shared" si="29"/>
        <v>#N/A</v>
      </c>
      <c r="GZ40" s="57" t="e">
        <f ca="1">AVERAGE(OFFSET($GY$3,0,0,'Données projet'!$E$18+1,1))-AVERAGE(OFFSET($H$3,0,0,'Données projet'!$E$18+1,1))</f>
        <v>#N/A</v>
      </c>
      <c r="HA40" s="57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0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4">
        <f t="shared" si="1"/>
        <v>368.87492949061419</v>
      </c>
      <c r="I41" s="6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128.55024000000003</v>
      </c>
      <c r="P41" s="13">
        <f t="shared" si="33"/>
        <v>33.661144026076663</v>
      </c>
      <c r="Q41" s="20">
        <f t="shared" si="53"/>
        <v>282.51816051208363</v>
      </c>
      <c r="R41" s="57">
        <f t="shared" si="0"/>
        <v>575.85149384541694</v>
      </c>
      <c r="S41" s="57">
        <f ca="1">AVERAGE(OFFSET($R$3,0,0,'Données projet'!$E$9+1,1))-AVERAGE(OFFSET($H$3,0,0,'Données projet'!$E$9+1,1))</f>
        <v>267.44861001389006</v>
      </c>
      <c r="T41" s="57">
        <f t="shared" si="34"/>
        <v>165.25921510802965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10.565483702143734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10.565483702143734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11.2</v>
      </c>
      <c r="AI41" s="13">
        <f>IF('Données projet'!$A$62&gt;35,AI40+AH41-AQ40,IF(A41&lt;'Données projet'!$A$62,$AF$205^A41,IF(A41='Données projet'!$A$62,'Données projet'!$B$62,AI40+AH41-AQ40)))</f>
        <v>152.60000000000002</v>
      </c>
      <c r="AJ41" s="13">
        <f>AI41*VLOOKUP('Données projet'!$B$10,Paramètres!$A$1:$I$89,3,0)*VLOOKUP('Données projet'!$B$10,Paramètres!$A$1:$I$89,5,0)</f>
        <v>138.07248000000001</v>
      </c>
      <c r="AK41" s="13">
        <f t="shared" si="35"/>
        <v>35.85508207677799</v>
      </c>
      <c r="AL41" s="20">
        <f t="shared" si="4"/>
        <v>302.9238372837217</v>
      </c>
      <c r="AM41" s="57">
        <f t="shared" si="5"/>
        <v>596.25717061705495</v>
      </c>
      <c r="AN41" s="57">
        <f ca="1">AVERAGE(OFFSET($AM$3,0,0,'Données projet'!$E$10+1,1))-AVERAGE(OFFSET($H$3,0,0,'Données projet'!$E$10+1,1))</f>
        <v>294.92430430387071</v>
      </c>
      <c r="AO41" s="57">
        <f t="shared" si="36"/>
        <v>181.52228471516497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11.34811212452475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11.34811212452475</v>
      </c>
      <c r="AY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166.45823999999999</v>
      </c>
      <c r="BF41" s="13">
        <f t="shared" si="37"/>
        <v>42.295817799452642</v>
      </c>
      <c r="BG41" s="20">
        <f t="shared" si="7"/>
        <v>363.5799840007133</v>
      </c>
      <c r="BH41" s="57">
        <f t="shared" si="8"/>
        <v>656.91331733404661</v>
      </c>
      <c r="BI41" s="57">
        <f ca="1">AVERAGE(OFFSET($BH$3,0,0,'Données projet'!$E$11+1,1))-AVERAGE(OFFSET($H$3,0,0,'Données projet'!$E$11+1,1))</f>
        <v>250.90550982248311</v>
      </c>
      <c r="BJ41" s="57">
        <f t="shared" si="38"/>
        <v>254.68874167908001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12.717711863691532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12.717711863691532</v>
      </c>
      <c r="BT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27</v>
      </c>
      <c r="BY41" s="12">
        <f>IF('Données projet'!$A$114&gt;35,BY40+BX41-CG40,IF(A41&lt;'Données projet'!$A$114,$BV$205^A41,IF(A41='Données projet'!$A$114,'Données projet'!$B$114,BY40+BX41-CG40)))</f>
        <v>584.99999999999989</v>
      </c>
      <c r="BZ41" s="13">
        <f>BY41*VLOOKUP('Données projet'!$B$12,Paramètres!$A$1:$I$89,3,0)*VLOOKUP('Données projet'!$B$12,Paramètres!$A$1:$I$89,5,0)</f>
        <v>327.01499999999993</v>
      </c>
      <c r="CA41" s="13">
        <f t="shared" si="39"/>
        <v>76.811113612871907</v>
      </c>
      <c r="CB41" s="20">
        <f t="shared" si="10"/>
        <v>703.33048120908506</v>
      </c>
      <c r="CC41" s="57">
        <f t="shared" si="11"/>
        <v>996.66381454241832</v>
      </c>
      <c r="CD41" s="57">
        <f ca="1">AVERAGE(OFFSET($CC$3,0,0,'Données projet'!$E$12+1,1))-AVERAGE(OFFSET($H$3,0,0,'Données projet'!$E$12+1,1))</f>
        <v>462.54745364638171</v>
      </c>
      <c r="CE41" s="57">
        <f t="shared" si="40"/>
        <v>571.50914830067313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27.671504934185972</v>
      </c>
      <c r="CL41" s="21">
        <f>EXP(-LN(2)/25)*CL40+(1-EXP(-LN(2)/25))/(LN(2)/25)*Calculateur!CG41*Calculateur!CI41*VLOOKUP('Données projet'!$B$12,Paramètres!$A$1:$I$89,3,0)*0.475*44/12</f>
        <v>46.28714248029268</v>
      </c>
      <c r="CM41" s="21">
        <f>EXP(-LN(2)/2)*CM40+(1-EXP(-LN(2)/2))/(LN(2)/2)*CG41*CJ41*VLOOKUP('Données projet'!$B$12,Paramètres!$A$1:$I$89,3,0)*0.475*44/12</f>
        <v>5.3155210421179072E-2</v>
      </c>
      <c r="CN41" s="22">
        <f t="shared" si="12"/>
        <v>74.011802624899829</v>
      </c>
      <c r="CO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8.4</v>
      </c>
      <c r="CT41" s="12">
        <f>IF('Données projet'!$A$140&gt;35,CT40+CS41-DB40,IF(A41&lt;'Données projet'!$A$140,$CQ$205^A41,IF(A41='Données projet'!$A$140,'Données projet'!$B$140,CT40+CS41-DB40)))</f>
        <v>218.20000000000005</v>
      </c>
      <c r="CU41" s="17">
        <f>CT41*VLOOKUP('Données projet'!$B$13,Paramètres!$A$1:$I$89,3,0)*VLOOKUP('Données projet'!$B$13,Paramètres!$A$1:$I$89,5,0)</f>
        <v>207.63912000000005</v>
      </c>
      <c r="CV41" s="13">
        <f t="shared" si="41"/>
        <v>51.419335037191388</v>
      </c>
      <c r="CW41" s="20">
        <f t="shared" si="13"/>
        <v>451.19347585644169</v>
      </c>
      <c r="CX41" s="57">
        <f t="shared" si="14"/>
        <v>744.52680918977501</v>
      </c>
      <c r="CY41" s="57">
        <f ca="1">AVERAGE(OFFSET($CX$3,0,0,'Données projet'!$E$13+1,1))-AVERAGE(OFFSET($H$3,0,0,'Données projet'!$E$13+1,1))</f>
        <v>314.67680626853303</v>
      </c>
      <c r="CZ41" s="57">
        <f t="shared" si="42"/>
        <v>372.57247561536263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12.361336421357318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12.361336421357318</v>
      </c>
      <c r="DJ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205.2</v>
      </c>
      <c r="DP41" s="17">
        <f>DO41*VLOOKUP('Données projet'!$B$14,Paramètres!$A$1:$I$89,3,0)*VLOOKUP('Données projet'!$B$14,Paramètres!$A$1:$I$89,5,0)</f>
        <v>134.44703999999999</v>
      </c>
      <c r="DQ41" s="13">
        <f t="shared" si="43"/>
        <v>35.021919474074494</v>
      </c>
      <c r="DR41" s="20">
        <f t="shared" si="16"/>
        <v>295.1584377506797</v>
      </c>
      <c r="DS41" s="57">
        <f t="shared" si="17"/>
        <v>588.49177108401295</v>
      </c>
      <c r="DT41" s="57">
        <f ca="1">AVERAGE(OFFSET($DS$3,0,0,'Données projet'!$E$14+1,1))-AVERAGE(OFFSET($H$3,0,0,'Données projet'!$E$14+1,1))</f>
        <v>188.80259324758066</v>
      </c>
      <c r="DU41" s="57">
        <f t="shared" si="44"/>
        <v>195.48048518255354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10.271998043750852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10.271998043750852</v>
      </c>
      <c r="EE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11.4</v>
      </c>
      <c r="EJ41" s="12">
        <f>IF('Données projet'!$A$192&gt;35,EJ40+EI41-ER40,IF(A41&lt;'Données projet'!$A$192,$EG$205^A41,IF(A41='Données projet'!$A$192,'Données projet'!$B$192,EJ40+EI41-ER40)))</f>
        <v>205.2</v>
      </c>
      <c r="EK41" s="17">
        <f>EJ41*VLOOKUP('Données projet'!$B$15,Paramètres!$A$1:$I$89,3,0)*VLOOKUP('Données projet'!$B$15,Paramètres!$A$1:$I$89,5,0)</f>
        <v>166.45823999999999</v>
      </c>
      <c r="EL41" s="13">
        <f t="shared" si="45"/>
        <v>42.295817799452642</v>
      </c>
      <c r="EM41" s="20">
        <f t="shared" si="19"/>
        <v>363.5799840007133</v>
      </c>
      <c r="EN41" s="57">
        <f t="shared" si="20"/>
        <v>656.91331733404661</v>
      </c>
      <c r="EO41" s="57">
        <f ca="1">AVERAGE(OFFSET($EN$3,0,0,'Données projet'!$E$15+1,1))-AVERAGE(OFFSET($H$3,0,0,'Données projet'!$E$15+1,1))</f>
        <v>250.90550982248311</v>
      </c>
      <c r="EP41" s="57">
        <f t="shared" si="46"/>
        <v>254.68874167908001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12.717711863691532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12.717711863691532</v>
      </c>
      <c r="EZ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7" t="e">
        <f t="shared" si="23"/>
        <v>#N/A</v>
      </c>
      <c r="FJ41" s="57" t="e">
        <f ca="1">AVERAGE(OFFSET($FI$3,0,0,'Données projet'!$E$16+1,1))-AVERAGE(OFFSET($H$3,0,0,'Données projet'!$E$16+1,1))</f>
        <v>#N/A</v>
      </c>
      <c r="FK41" s="57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7" t="e">
        <f t="shared" si="26"/>
        <v>#N/A</v>
      </c>
      <c r="GE41" s="57" t="e">
        <f ca="1">AVERAGE(OFFSET($GD$3,0,0,'Données projet'!$E$17+1,1))-AVERAGE(OFFSET($H$3,0,0,'Données projet'!$E$17+1,1))</f>
        <v>#N/A</v>
      </c>
      <c r="GF41" s="57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7" t="e">
        <f t="shared" si="29"/>
        <v>#N/A</v>
      </c>
      <c r="GZ41" s="57" t="e">
        <f ca="1">AVERAGE(OFFSET($GY$3,0,0,'Données projet'!$E$18+1,1))-AVERAGE(OFFSET($H$3,0,0,'Données projet'!$E$18+1,1))</f>
        <v>#N/A</v>
      </c>
      <c r="HA41" s="57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0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4">
        <f t="shared" si="1"/>
        <v>370.80795021637829</v>
      </c>
      <c r="I42" s="6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137.98512000000002</v>
      </c>
      <c r="P42" s="13">
        <f t="shared" si="33"/>
        <v>35.835036067646342</v>
      </c>
      <c r="Q42" s="20">
        <f t="shared" si="53"/>
        <v>302.73677181781744</v>
      </c>
      <c r="R42" s="57">
        <f t="shared" si="0"/>
        <v>596.07010515115076</v>
      </c>
      <c r="S42" s="57">
        <f ca="1">AVERAGE(OFFSET($R$3,0,0,'Données projet'!$E$9+1,1))-AVERAGE(OFFSET($H$3,0,0,'Données projet'!$E$9+1,1))</f>
        <v>267.44861001389006</v>
      </c>
      <c r="T42" s="57">
        <f t="shared" si="34"/>
        <v>165.25921510802965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10.358301011053431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10.358301011053431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11.2</v>
      </c>
      <c r="AI42" s="13">
        <f>IF('Données projet'!$A$62&gt;35,AI41+AH42-AQ41,IF(A42&lt;'Données projet'!$A$62,$AF$205^A42,IF(A42='Données projet'!$A$62,'Données projet'!$B$62,AI41+AH42-AQ41)))</f>
        <v>163.80000000000001</v>
      </c>
      <c r="AJ42" s="13">
        <f>AI42*VLOOKUP('Données projet'!$B$10,Paramètres!$A$1:$I$89,3,0)*VLOOKUP('Données projet'!$B$10,Paramètres!$A$1:$I$89,5,0)</f>
        <v>148.20624000000001</v>
      </c>
      <c r="AK42" s="13">
        <f t="shared" si="35"/>
        <v>38.170662245893794</v>
      </c>
      <c r="AL42" s="20">
        <f t="shared" si="4"/>
        <v>324.60643807826506</v>
      </c>
      <c r="AM42" s="57">
        <f t="shared" si="5"/>
        <v>617.93977141159837</v>
      </c>
      <c r="AN42" s="57">
        <f ca="1">AVERAGE(OFFSET($AM$3,0,0,'Données projet'!$E$10+1,1))-AVERAGE(OFFSET($H$3,0,0,'Données projet'!$E$10+1,1))</f>
        <v>294.92430430387071</v>
      </c>
      <c r="AO42" s="57">
        <f t="shared" si="36"/>
        <v>181.52228471516497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11.125582567427758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11.125582567427758</v>
      </c>
      <c r="AY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175.70592000000002</v>
      </c>
      <c r="BF42" s="13">
        <f t="shared" si="37"/>
        <v>44.365494122468341</v>
      </c>
      <c r="BG42" s="20">
        <f t="shared" si="7"/>
        <v>383.29104626329899</v>
      </c>
      <c r="BH42" s="57">
        <f t="shared" si="8"/>
        <v>676.62437959663225</v>
      </c>
      <c r="BI42" s="57">
        <f ca="1">AVERAGE(OFFSET($BH$3,0,0,'Données projet'!$E$11+1,1))-AVERAGE(OFFSET($H$3,0,0,'Données projet'!$E$11+1,1))</f>
        <v>250.90550982248311</v>
      </c>
      <c r="BJ42" s="57">
        <f t="shared" si="38"/>
        <v>254.68874167908001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12.468325291082834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12.468325291082834</v>
      </c>
      <c r="BT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27</v>
      </c>
      <c r="BY42" s="12">
        <f>IF('Données projet'!$A$114&gt;35,BY41+BX42-CG41,IF(A42&lt;'Données projet'!$A$114,$BV$205^A42,IF(A42='Données projet'!$A$114,'Données projet'!$B$114,BY41+BX42-CG41)))</f>
        <v>611.99999999999989</v>
      </c>
      <c r="BZ42" s="13">
        <f>BY42*VLOOKUP('Données projet'!$B$12,Paramètres!$A$1:$I$89,3,0)*VLOOKUP('Données projet'!$B$12,Paramètres!$A$1:$I$89,5,0)</f>
        <v>342.10799999999995</v>
      </c>
      <c r="CA42" s="13">
        <f t="shared" si="39"/>
        <v>79.935315774430151</v>
      </c>
      <c r="CB42" s="20">
        <f t="shared" si="10"/>
        <v>735.0587749737989</v>
      </c>
      <c r="CC42" s="57">
        <f t="shared" si="11"/>
        <v>1028.3921083071323</v>
      </c>
      <c r="CD42" s="57">
        <f ca="1">AVERAGE(OFFSET($CC$3,0,0,'Données projet'!$E$12+1,1))-AVERAGE(OFFSET($H$3,0,0,'Données projet'!$E$12+1,1))</f>
        <v>462.54745364638171</v>
      </c>
      <c r="CE42" s="57">
        <f t="shared" si="40"/>
        <v>571.50914830067313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27.128883600378035</v>
      </c>
      <c r="CL42" s="21">
        <f>EXP(-LN(2)/25)*CL41+(1-EXP(-LN(2)/25))/(LN(2)/25)*Calculateur!CG42*Calculateur!CI42*VLOOKUP('Données projet'!$B$12,Paramètres!$A$1:$I$89,3,0)*0.475*44/12</f>
        <v>45.021418135034047</v>
      </c>
      <c r="CM42" s="21">
        <f>EXP(-LN(2)/2)*CM41+(1-EXP(-LN(2)/2))/(LN(2)/2)*CG42*CJ42*VLOOKUP('Données projet'!$B$12,Paramètres!$A$1:$I$89,3,0)*0.475*44/12</f>
        <v>3.758640974421356E-2</v>
      </c>
      <c r="CN42" s="22">
        <f t="shared" si="12"/>
        <v>72.187888145156293</v>
      </c>
      <c r="CO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8.4</v>
      </c>
      <c r="CT42" s="12">
        <f>IF('Données projet'!$A$140&gt;35,CT41+CS42-DB41,IF(A42&lt;'Données projet'!$A$140,$CQ$205^A42,IF(A42='Données projet'!$A$140,'Données projet'!$B$140,CT41+CS42-DB41)))</f>
        <v>226.60000000000005</v>
      </c>
      <c r="CU42" s="17">
        <f>CT42*VLOOKUP('Données projet'!$B$13,Paramètres!$A$1:$I$89,3,0)*VLOOKUP('Données projet'!$B$13,Paramètres!$A$1:$I$89,5,0)</f>
        <v>215.63256000000004</v>
      </c>
      <c r="CV42" s="13">
        <f t="shared" si="41"/>
        <v>53.164539286100229</v>
      </c>
      <c r="CW42" s="20">
        <f t="shared" si="13"/>
        <v>468.15494792329127</v>
      </c>
      <c r="CX42" s="57">
        <f t="shared" si="14"/>
        <v>761.48828125662453</v>
      </c>
      <c r="CY42" s="57">
        <f ca="1">AVERAGE(OFFSET($CX$3,0,0,'Données projet'!$E$13+1,1))-AVERAGE(OFFSET($H$3,0,0,'Données projet'!$E$13+1,1))</f>
        <v>314.67680626853303</v>
      </c>
      <c r="CZ42" s="57">
        <f t="shared" si="42"/>
        <v>372.57247561536263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12.118938153805237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12.118938153805237</v>
      </c>
      <c r="DJ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216.6</v>
      </c>
      <c r="DP42" s="17">
        <f>DO42*VLOOKUP('Données projet'!$B$14,Paramètres!$A$1:$I$89,3,0)*VLOOKUP('Données projet'!$B$14,Paramètres!$A$1:$I$89,5,0)</f>
        <v>141.91631999999998</v>
      </c>
      <c r="DQ42" s="13">
        <f t="shared" si="43"/>
        <v>36.735659538535209</v>
      </c>
      <c r="DR42" s="20">
        <f t="shared" si="16"/>
        <v>311.15219769628214</v>
      </c>
      <c r="DS42" s="57">
        <f t="shared" si="17"/>
        <v>604.48553102961546</v>
      </c>
      <c r="DT42" s="57">
        <f ca="1">AVERAGE(OFFSET($DS$3,0,0,'Données projet'!$E$14+1,1))-AVERAGE(OFFSET($H$3,0,0,'Données projet'!$E$14+1,1))</f>
        <v>188.80259324758066</v>
      </c>
      <c r="DU42" s="57">
        <f t="shared" si="44"/>
        <v>195.48048518255354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10.070570427413058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10.070570427413058</v>
      </c>
      <c r="EE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11.4</v>
      </c>
      <c r="EJ42" s="12">
        <f>IF('Données projet'!$A$192&gt;35,EJ41+EI42-ER41,IF(A42&lt;'Données projet'!$A$192,$EG$205^A42,IF(A42='Données projet'!$A$192,'Données projet'!$B$192,EJ41+EI42-ER41)))</f>
        <v>216.6</v>
      </c>
      <c r="EK42" s="17">
        <f>EJ42*VLOOKUP('Données projet'!$B$15,Paramètres!$A$1:$I$89,3,0)*VLOOKUP('Données projet'!$B$15,Paramètres!$A$1:$I$89,5,0)</f>
        <v>175.70592000000002</v>
      </c>
      <c r="EL42" s="13">
        <f t="shared" si="45"/>
        <v>44.365494122468341</v>
      </c>
      <c r="EM42" s="20">
        <f t="shared" si="19"/>
        <v>383.29104626329899</v>
      </c>
      <c r="EN42" s="57">
        <f t="shared" si="20"/>
        <v>676.62437959663225</v>
      </c>
      <c r="EO42" s="57">
        <f ca="1">AVERAGE(OFFSET($EN$3,0,0,'Données projet'!$E$15+1,1))-AVERAGE(OFFSET($H$3,0,0,'Données projet'!$E$15+1,1))</f>
        <v>250.90550982248311</v>
      </c>
      <c r="EP42" s="57">
        <f t="shared" si="46"/>
        <v>254.68874167908001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12.468325291082834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12.468325291082834</v>
      </c>
      <c r="EZ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7" t="e">
        <f t="shared" si="23"/>
        <v>#N/A</v>
      </c>
      <c r="FJ42" s="57" t="e">
        <f ca="1">AVERAGE(OFFSET($FI$3,0,0,'Données projet'!$E$16+1,1))-AVERAGE(OFFSET($H$3,0,0,'Données projet'!$E$16+1,1))</f>
        <v>#N/A</v>
      </c>
      <c r="FK42" s="57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7" t="e">
        <f t="shared" si="26"/>
        <v>#N/A</v>
      </c>
      <c r="GE42" s="57" t="e">
        <f ca="1">AVERAGE(OFFSET($GD$3,0,0,'Données projet'!$E$17+1,1))-AVERAGE(OFFSET($H$3,0,0,'Données projet'!$E$17+1,1))</f>
        <v>#N/A</v>
      </c>
      <c r="GF42" s="57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7" t="e">
        <f t="shared" si="29"/>
        <v>#N/A</v>
      </c>
      <c r="GZ42" s="57" t="e">
        <f ca="1">AVERAGE(OFFSET($GY$3,0,0,'Données projet'!$E$18+1,1))-AVERAGE(OFFSET($H$3,0,0,'Données projet'!$E$18+1,1))</f>
        <v>#N/A</v>
      </c>
      <c r="HA42" s="57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0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4">
        <f t="shared" si="1"/>
        <v>372.73974445970651</v>
      </c>
      <c r="I43" s="6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147.42000000000002</v>
      </c>
      <c r="P43" s="13">
        <f t="shared" si="33"/>
        <v>37.991680647570291</v>
      </c>
      <c r="Q43" s="20">
        <f t="shared" si="53"/>
        <v>322.92534379451826</v>
      </c>
      <c r="R43" s="57">
        <f t="shared" si="0"/>
        <v>616.25867712785157</v>
      </c>
      <c r="S43" s="57">
        <f ca="1">AVERAGE(OFFSET($R$3,0,0,'Données projet'!$E$9+1,1))-AVERAGE(OFFSET($H$3,0,0,'Données projet'!$E$9+1,1))</f>
        <v>267.44861001389006</v>
      </c>
      <c r="T43" s="57">
        <f t="shared" si="34"/>
        <v>165.25921510802965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21.367409948697876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21.367409948697876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175</v>
      </c>
      <c r="AG43" s="12">
        <f>VLOOKUP(A43,'Données projet'!$A$61:$I$81,9,0)</f>
        <v>11.2</v>
      </c>
      <c r="AH43" s="12">
        <f t="array" ref="AH43">INDEX(AG:AG,MIN(IF(ISNUMBER(AG43:AG239),ROW(AG43:AG239),"")))</f>
        <v>11.2</v>
      </c>
      <c r="AI43" s="13">
        <f>IF('Données projet'!$A$62&gt;35,AI42+AH43-AQ42,IF(A43&lt;'Données projet'!$A$62,$AF$205^A43,IF(A43='Données projet'!$A$62,'Données projet'!$B$62,AI42+AH43-AQ42)))</f>
        <v>175</v>
      </c>
      <c r="AJ43" s="13">
        <f>AI43*VLOOKUP('Données projet'!$B$10,Paramètres!$A$1:$I$89,3,0)*VLOOKUP('Données projet'!$B$10,Paramètres!$A$1:$I$89,5,0)</f>
        <v>158.34</v>
      </c>
      <c r="AK43" s="13">
        <f t="shared" si="35"/>
        <v>40.467870812652819</v>
      </c>
      <c r="AL43" s="20">
        <f t="shared" si="4"/>
        <v>346.25704166537031</v>
      </c>
      <c r="AM43" s="57">
        <f t="shared" si="5"/>
        <v>639.59037499870362</v>
      </c>
      <c r="AN43" s="57">
        <f ca="1">AVERAGE(OFFSET($AM$3,0,0,'Données projet'!$E$10+1,1))-AVERAGE(OFFSET($H$3,0,0,'Données projet'!$E$10+1,1))</f>
        <v>294.92430430387071</v>
      </c>
      <c r="AO43" s="57">
        <f t="shared" si="36"/>
        <v>181.52228471516497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22.950181056008823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22.950181056008823</v>
      </c>
      <c r="AY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184.95360000000002</v>
      </c>
      <c r="BF43" s="13">
        <f t="shared" si="37"/>
        <v>46.42252355095799</v>
      </c>
      <c r="BG43" s="20">
        <f t="shared" si="7"/>
        <v>402.9800818512519</v>
      </c>
      <c r="BH43" s="57">
        <f t="shared" si="8"/>
        <v>696.31341518458521</v>
      </c>
      <c r="BI43" s="57">
        <f ca="1">AVERAGE(OFFSET($BH$3,0,0,'Données projet'!$E$11+1,1))-AVERAGE(OFFSET($H$3,0,0,'Données projet'!$E$11+1,1))</f>
        <v>250.90550982248311</v>
      </c>
      <c r="BJ43" s="57">
        <f t="shared" si="38"/>
        <v>254.68874167908001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25.720030493802998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25.720030493802998</v>
      </c>
      <c r="BT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639</v>
      </c>
      <c r="BW43" s="12">
        <f>VLOOKUP(A43,'Données projet'!$A$113:$I$133,9,0)</f>
        <v>27</v>
      </c>
      <c r="BX43" s="12">
        <f t="array" ref="BX43">INDEX(BW:BW,MIN(IF(ISNUMBER(BW43:BW239),ROW(BW43:BW239),"")))</f>
        <v>27</v>
      </c>
      <c r="BY43" s="12">
        <f>IF('Données projet'!$A$114&gt;35,BY42+BX43-CG42,IF(A43&lt;'Données projet'!$A$114,$BV$205^A43,IF(A43='Données projet'!$A$114,'Données projet'!$B$114,BY42+BX43-CG42)))</f>
        <v>638.99999999999989</v>
      </c>
      <c r="BZ43" s="13">
        <f>BY43*VLOOKUP('Données projet'!$B$12,Paramètres!$A$1:$I$89,3,0)*VLOOKUP('Données projet'!$B$12,Paramètres!$A$1:$I$89,5,0)</f>
        <v>357.20099999999991</v>
      </c>
      <c r="CA43" s="13">
        <f t="shared" si="39"/>
        <v>83.043509879488369</v>
      </c>
      <c r="CB43" s="20">
        <f t="shared" si="10"/>
        <v>766.75918804010871</v>
      </c>
      <c r="CC43" s="57">
        <f t="shared" si="11"/>
        <v>1060.092521373442</v>
      </c>
      <c r="CD43" s="57">
        <f ca="1">AVERAGE(OFFSET($CC$3,0,0,'Données projet'!$E$12+1,1))-AVERAGE(OFFSET($H$3,0,0,'Données projet'!$E$12+1,1))</f>
        <v>462.54745364638171</v>
      </c>
      <c r="CE43" s="57">
        <f t="shared" si="40"/>
        <v>571.50914830067313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77</v>
      </c>
      <c r="CH43" s="16">
        <f>IF(ISNA(VLOOKUP(A43,'Données projet'!$A$113:$I$133,5,0)),0%,VLOOKUP(A43,'Données projet'!$A$113:$I$133,5,0)*VLOOKUP('Données projet'!$B$12,Paramètres!$A$1:$I$89,7,0))</f>
        <v>0.55000000000000004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58.001525360476009</v>
      </c>
      <c r="CL43" s="21">
        <f>EXP(-LN(2)/25)*CL42+(1-EXP(-LN(2)/25))/(LN(2)/25)*Calculateur!CG43*Calculateur!CI43*VLOOKUP('Données projet'!$B$12,Paramètres!$A$1:$I$89,3,0)*0.475*44/12</f>
        <v>43.790305088558057</v>
      </c>
      <c r="CM43" s="21">
        <f>EXP(-LN(2)/2)*CM42+(1-EXP(-LN(2)/2))/(LN(2)/2)*CG43*CJ43*VLOOKUP('Données projet'!$B$12,Paramètres!$A$1:$I$89,3,0)*0.475*44/12</f>
        <v>2.6577605210589536E-2</v>
      </c>
      <c r="CN43" s="22">
        <f t="shared" si="12"/>
        <v>101.81840805424466</v>
      </c>
      <c r="CO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235</v>
      </c>
      <c r="CR43" s="12">
        <f>VLOOKUP(A43,'Données projet'!$A$139:$I$159,9,0)</f>
        <v>8.4</v>
      </c>
      <c r="CS43" s="12">
        <f t="array" ref="CS43">INDEX(CR:CR,MIN(IF(ISNUMBER(CR43:CR239),ROW(CR43:CR239),"")))</f>
        <v>8.4</v>
      </c>
      <c r="CT43" s="12">
        <f>IF('Données projet'!$A$140&gt;35,CT42+CS43-DB42,IF(A43&lt;'Données projet'!$A$140,$CQ$205^A43,IF(A43='Données projet'!$A$140,'Données projet'!$B$140,CT42+CS43-DB42)))</f>
        <v>235.00000000000006</v>
      </c>
      <c r="CU43" s="17">
        <f>CT43*VLOOKUP('Données projet'!$B$13,Paramètres!$A$1:$I$89,3,0)*VLOOKUP('Données projet'!$B$13,Paramètres!$A$1:$I$89,5,0)</f>
        <v>223.62600000000003</v>
      </c>
      <c r="CV43" s="13">
        <f t="shared" si="41"/>
        <v>54.902227529974944</v>
      </c>
      <c r="CW43" s="20">
        <f t="shared" si="13"/>
        <v>485.10332961470635</v>
      </c>
      <c r="CX43" s="57">
        <f t="shared" si="14"/>
        <v>778.43666294803961</v>
      </c>
      <c r="CY43" s="57">
        <f ca="1">AVERAGE(OFFSET($CX$3,0,0,'Données projet'!$E$13+1,1))-AVERAGE(OFFSET($H$3,0,0,'Données projet'!$E$13+1,1))</f>
        <v>314.67680626853303</v>
      </c>
      <c r="CZ43" s="57">
        <f t="shared" si="42"/>
        <v>372.57247561536263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30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25.451649578241373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25.451649578241373</v>
      </c>
      <c r="DJ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228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228</v>
      </c>
      <c r="DP43" s="17">
        <f>DO43*VLOOKUP('Données projet'!$B$14,Paramètres!$A$1:$I$89,3,0)*VLOOKUP('Données projet'!$B$14,Paramètres!$A$1:$I$89,5,0)</f>
        <v>149.38559999999998</v>
      </c>
      <c r="DQ43" s="13">
        <f t="shared" si="43"/>
        <v>38.438927680599591</v>
      </c>
      <c r="DR43" s="20">
        <f t="shared" si="16"/>
        <v>327.1277190437109</v>
      </c>
      <c r="DS43" s="57">
        <f t="shared" si="17"/>
        <v>620.46105237704421</v>
      </c>
      <c r="DT43" s="57">
        <f ca="1">AVERAGE(OFFSET($DS$3,0,0,'Données projet'!$E$14+1,1))-AVERAGE(OFFSET($H$3,0,0,'Données projet'!$E$14+1,1))</f>
        <v>188.80259324758066</v>
      </c>
      <c r="DU43" s="57">
        <f t="shared" si="44"/>
        <v>195.48048518255354</v>
      </c>
      <c r="DV43" s="15">
        <f>IF(ISNA(VLOOKUP(A43,'Données projet'!$A$165:$I$185,3,0)),0,VLOOKUP(A43,'Données projet'!$A$165:$I$185,3,0))</f>
        <v>6</v>
      </c>
      <c r="DW43" s="15">
        <f>IF(ISNA(VLOOKUP(A43,'Données projet'!$A$165:$I$185,4,0)),0,VLOOKUP(A43,'Données projet'!$A$165:$I$185,4,0))</f>
        <v>35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20.773870783456267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20.773870783456267</v>
      </c>
      <c r="EE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228</v>
      </c>
      <c r="EH43" s="12">
        <f>VLOOKUP(A43,'Données projet'!$A$191:$I$211,9,0)</f>
        <v>11.4</v>
      </c>
      <c r="EI43" s="12">
        <f t="array" ref="EI43">INDEX(EH:EH,MIN(IF(ISNUMBER(EH43:EH239),ROW(EH43:EH239),"")))</f>
        <v>11.4</v>
      </c>
      <c r="EJ43" s="12">
        <f>IF('Données projet'!$A$192&gt;35,EJ42+EI43-ER42,IF(A43&lt;'Données projet'!$A$192,$EG$205^A43,IF(A43='Données projet'!$A$192,'Données projet'!$B$192,EJ42+EI43-ER42)))</f>
        <v>228</v>
      </c>
      <c r="EK43" s="17">
        <f>EJ43*VLOOKUP('Données projet'!$B$15,Paramètres!$A$1:$I$89,3,0)*VLOOKUP('Données projet'!$B$15,Paramètres!$A$1:$I$89,5,0)</f>
        <v>184.95360000000002</v>
      </c>
      <c r="EL43" s="13">
        <f t="shared" si="45"/>
        <v>46.42252355095799</v>
      </c>
      <c r="EM43" s="20">
        <f t="shared" si="19"/>
        <v>402.9800818512519</v>
      </c>
      <c r="EN43" s="57">
        <f t="shared" si="20"/>
        <v>696.31341518458521</v>
      </c>
      <c r="EO43" s="57">
        <f ca="1">AVERAGE(OFFSET($EN$3,0,0,'Données projet'!$E$15+1,1))-AVERAGE(OFFSET($H$3,0,0,'Données projet'!$E$15+1,1))</f>
        <v>250.90550982248311</v>
      </c>
      <c r="EP43" s="57">
        <f t="shared" si="46"/>
        <v>254.68874167908001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0.43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25.720030493802998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25.720030493802998</v>
      </c>
      <c r="EZ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7" t="e">
        <f t="shared" si="23"/>
        <v>#N/A</v>
      </c>
      <c r="FJ43" s="57" t="e">
        <f ca="1">AVERAGE(OFFSET($FI$3,0,0,'Données projet'!$E$16+1,1))-AVERAGE(OFFSET($H$3,0,0,'Données projet'!$E$16+1,1))</f>
        <v>#N/A</v>
      </c>
      <c r="FK43" s="57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7" t="e">
        <f t="shared" si="26"/>
        <v>#N/A</v>
      </c>
      <c r="GE43" s="57" t="e">
        <f ca="1">AVERAGE(OFFSET($GD$3,0,0,'Données projet'!$E$17+1,1))-AVERAGE(OFFSET($H$3,0,0,'Données projet'!$E$17+1,1))</f>
        <v>#N/A</v>
      </c>
      <c r="GF43" s="57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7" t="e">
        <f t="shared" si="29"/>
        <v>#N/A</v>
      </c>
      <c r="GZ43" s="57" t="e">
        <f ca="1">AVERAGE(OFFSET($GY$3,0,0,'Données projet'!$E$18+1,1))-AVERAGE(OFFSET($H$3,0,0,'Données projet'!$E$18+1,1))</f>
        <v>#N/A</v>
      </c>
      <c r="HA43" s="57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0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4">
        <f t="shared" si="1"/>
        <v>374.67034640917018</v>
      </c>
      <c r="I44" s="6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133.43616000000003</v>
      </c>
      <c r="P44" s="13">
        <f t="shared" si="33"/>
        <v>34.789145432008958</v>
      </c>
      <c r="Q44" s="20">
        <f t="shared" si="53"/>
        <v>292.99240696074895</v>
      </c>
      <c r="R44" s="57">
        <f t="shared" si="0"/>
        <v>586.32574029408227</v>
      </c>
      <c r="S44" s="57">
        <f ca="1">AVERAGE(OFFSET($R$3,0,0,'Données projet'!$E$9+1,1))-AVERAGE(OFFSET($H$3,0,0,'Données projet'!$E$9+1,1))</f>
        <v>267.44861001389006</v>
      </c>
      <c r="T44" s="57">
        <f t="shared" si="34"/>
        <v>165.25921510802965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20.948408072437093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20.948408072437093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</v>
      </c>
      <c r="AI44" s="13">
        <f>IF('Données projet'!$A$62&gt;35,AI43+AH44-AQ43,IF(A44&lt;'Données projet'!$A$62,$AF$205^A44,IF(A44='Données projet'!$A$62,'Données projet'!$B$62,AI43+AH44-AQ43)))</f>
        <v>158.4</v>
      </c>
      <c r="AJ44" s="13">
        <f>AI44*VLOOKUP('Données projet'!$B$10,Paramètres!$A$1:$I$89,3,0)*VLOOKUP('Données projet'!$B$10,Paramètres!$A$1:$I$89,5,0)</f>
        <v>143.32032000000001</v>
      </c>
      <c r="AK44" s="13">
        <f t="shared" si="35"/>
        <v>37.056603420232349</v>
      </c>
      <c r="AL44" s="20">
        <f t="shared" si="4"/>
        <v>314.15647495690467</v>
      </c>
      <c r="AM44" s="57">
        <f t="shared" si="5"/>
        <v>607.48980829023799</v>
      </c>
      <c r="AN44" s="57">
        <f ca="1">AVERAGE(OFFSET($AM$3,0,0,'Données projet'!$E$10+1,1))-AVERAGE(OFFSET($H$3,0,0,'Données projet'!$E$10+1,1))</f>
        <v>294.92430430387071</v>
      </c>
      <c r="AO44" s="57">
        <f t="shared" si="36"/>
        <v>181.52228471516497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22.500142003728723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22.500142003728723</v>
      </c>
      <c r="AY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164.51136</v>
      </c>
      <c r="BF44" s="13">
        <f t="shared" si="37"/>
        <v>41.858412704646653</v>
      </c>
      <c r="BG44" s="20">
        <f t="shared" si="7"/>
        <v>359.4273541272596</v>
      </c>
      <c r="BH44" s="57">
        <f t="shared" si="8"/>
        <v>652.76068746059286</v>
      </c>
      <c r="BI44" s="57">
        <f ca="1">AVERAGE(OFFSET($BH$3,0,0,'Données projet'!$E$11+1,1))-AVERAGE(OFFSET($H$3,0,0,'Données projet'!$E$11+1,1))</f>
        <v>250.90550982248311</v>
      </c>
      <c r="BJ44" s="57">
        <f t="shared" si="38"/>
        <v>254.68874167908001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25.215676383489093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25.215676383489093</v>
      </c>
      <c r="BT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24.8</v>
      </c>
      <c r="BY44" s="12">
        <f>IF('Données projet'!$A$114&gt;35,BY43+BX44-CG43,IF(A44&lt;'Données projet'!$A$114,$BV$205^A44,IF(A44='Données projet'!$A$114,'Données projet'!$B$114,BY43+BX44-CG43)))</f>
        <v>586.79999999999984</v>
      </c>
      <c r="BZ44" s="13">
        <f>BY44*VLOOKUP('Données projet'!$B$12,Paramètres!$A$1:$I$89,3,0)*VLOOKUP('Données projet'!$B$12,Paramètres!$A$1:$I$89,5,0)</f>
        <v>328.02119999999991</v>
      </c>
      <c r="CA44" s="13">
        <f t="shared" si="39"/>
        <v>77.019907950957702</v>
      </c>
      <c r="CB44" s="20">
        <f t="shared" si="10"/>
        <v>705.44659634791776</v>
      </c>
      <c r="CC44" s="57">
        <f t="shared" si="11"/>
        <v>998.77992968125113</v>
      </c>
      <c r="CD44" s="57">
        <f ca="1">AVERAGE(OFFSET($CC$3,0,0,'Données projet'!$E$12+1,1))-AVERAGE(OFFSET($H$3,0,0,'Données projet'!$E$12+1,1))</f>
        <v>462.54745364638171</v>
      </c>
      <c r="CE44" s="57">
        <f t="shared" si="40"/>
        <v>571.50914830067313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56.864150825594315</v>
      </c>
      <c r="CL44" s="21">
        <f>EXP(-LN(2)/25)*CL43+(1-EXP(-LN(2)/25))/(LN(2)/25)*Calculateur!CG44*Calculateur!CI44*VLOOKUP('Données projet'!$B$12,Paramètres!$A$1:$I$89,3,0)*0.475*44/12</f>
        <v>42.592856893079379</v>
      </c>
      <c r="CM44" s="21">
        <f>EXP(-LN(2)/2)*CM43+(1-EXP(-LN(2)/2))/(LN(2)/2)*CG44*CJ44*VLOOKUP('Données projet'!$B$12,Paramètres!$A$1:$I$89,3,0)*0.475*44/12</f>
        <v>1.879320487210678E-2</v>
      </c>
      <c r="CN44" s="22">
        <f t="shared" si="12"/>
        <v>99.475800923545805</v>
      </c>
      <c r="CO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7.6</v>
      </c>
      <c r="CT44" s="12">
        <f>IF('Données projet'!$A$140&gt;35,CT43+CS44-DB43,IF(A44&lt;'Données projet'!$A$140,$CQ$205^A44,IF(A44='Données projet'!$A$140,'Données projet'!$B$140,CT43+CS44-DB43)))</f>
        <v>212.60000000000005</v>
      </c>
      <c r="CU44" s="17">
        <f>CT44*VLOOKUP('Données projet'!$B$13,Paramètres!$A$1:$I$89,3,0)*VLOOKUP('Données projet'!$B$13,Paramètres!$A$1:$I$89,5,0)</f>
        <v>202.31016000000005</v>
      </c>
      <c r="CV44" s="13">
        <f t="shared" si="41"/>
        <v>50.251531123141397</v>
      </c>
      <c r="CW44" s="20">
        <f t="shared" si="13"/>
        <v>439.87827870613802</v>
      </c>
      <c r="CX44" s="57">
        <f t="shared" si="14"/>
        <v>733.21161203947133</v>
      </c>
      <c r="CY44" s="57">
        <f ca="1">AVERAGE(OFFSET($CX$3,0,0,'Données projet'!$E$13+1,1))-AVERAGE(OFFSET($H$3,0,0,'Données projet'!$E$13+1,1))</f>
        <v>314.67680626853303</v>
      </c>
      <c r="CZ44" s="57">
        <f t="shared" si="42"/>
        <v>372.57247561536263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24.952558253985437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24.952558253985437</v>
      </c>
      <c r="DJ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9.8000000000000007</v>
      </c>
      <c r="DO44" s="12">
        <f>IF('Données projet'!$A$166&gt;35,DO43+DN44-DW43,IF(A44&lt;'Données projet'!$A$166,$DL$205^A44,IF(A44='Données projet'!$A$166,'Données projet'!$B$166,DO43+DN44-DW43)))</f>
        <v>202.8</v>
      </c>
      <c r="DP44" s="17">
        <f>DO44*VLOOKUP('Données projet'!$B$14,Paramètres!$A$1:$I$89,3,0)*VLOOKUP('Données projet'!$B$14,Paramètres!$A$1:$I$89,5,0)</f>
        <v>132.87456</v>
      </c>
      <c r="DQ44" s="13">
        <f t="shared" si="43"/>
        <v>34.659737896678863</v>
      </c>
      <c r="DR44" s="20">
        <f t="shared" si="16"/>
        <v>291.78890217004903</v>
      </c>
      <c r="DS44" s="57">
        <f t="shared" si="17"/>
        <v>585.1222355033824</v>
      </c>
      <c r="DT44" s="57">
        <f ca="1">AVERAGE(OFFSET($DS$3,0,0,'Données projet'!$E$14+1,1))-AVERAGE(OFFSET($H$3,0,0,'Données projet'!$E$14+1,1))</f>
        <v>188.80259324758066</v>
      </c>
      <c r="DU44" s="57">
        <f t="shared" si="44"/>
        <v>195.48048518255354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20.36650784820273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20.36650784820273</v>
      </c>
      <c r="EE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9.8000000000000007</v>
      </c>
      <c r="EJ44" s="12">
        <f>IF('Données projet'!$A$192&gt;35,EJ43+EI44-ER43,IF(A44&lt;'Données projet'!$A$192,$EG$205^A44,IF(A44='Données projet'!$A$192,'Données projet'!$B$192,EJ43+EI44-ER43)))</f>
        <v>202.8</v>
      </c>
      <c r="EK44" s="17">
        <f>EJ44*VLOOKUP('Données projet'!$B$15,Paramètres!$A$1:$I$89,3,0)*VLOOKUP('Données projet'!$B$15,Paramètres!$A$1:$I$89,5,0)</f>
        <v>164.51136</v>
      </c>
      <c r="EL44" s="13">
        <f t="shared" si="45"/>
        <v>41.858412704646653</v>
      </c>
      <c r="EM44" s="20">
        <f t="shared" si="19"/>
        <v>359.4273541272596</v>
      </c>
      <c r="EN44" s="57">
        <f t="shared" si="20"/>
        <v>652.76068746059286</v>
      </c>
      <c r="EO44" s="57">
        <f ca="1">AVERAGE(OFFSET($EN$3,0,0,'Données projet'!$E$15+1,1))-AVERAGE(OFFSET($H$3,0,0,'Données projet'!$E$15+1,1))</f>
        <v>250.90550982248311</v>
      </c>
      <c r="EP44" s="57">
        <f t="shared" si="46"/>
        <v>254.68874167908001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25.215676383489093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25.215676383489093</v>
      </c>
      <c r="EZ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7" t="e">
        <f t="shared" si="23"/>
        <v>#N/A</v>
      </c>
      <c r="FJ44" s="57" t="e">
        <f ca="1">AVERAGE(OFFSET($FI$3,0,0,'Données projet'!$E$16+1,1))-AVERAGE(OFFSET($H$3,0,0,'Données projet'!$E$16+1,1))</f>
        <v>#N/A</v>
      </c>
      <c r="FK44" s="57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7" t="e">
        <f t="shared" si="26"/>
        <v>#N/A</v>
      </c>
      <c r="GE44" s="57" t="e">
        <f ca="1">AVERAGE(OFFSET($GD$3,0,0,'Données projet'!$E$17+1,1))-AVERAGE(OFFSET($H$3,0,0,'Données projet'!$E$17+1,1))</f>
        <v>#N/A</v>
      </c>
      <c r="GF44" s="57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7" t="e">
        <f t="shared" si="29"/>
        <v>#N/A</v>
      </c>
      <c r="GZ44" s="57" t="e">
        <f ca="1">AVERAGE(OFFSET($GY$3,0,0,'Données projet'!$E$18+1,1))-AVERAGE(OFFSET($H$3,0,0,'Données projet'!$E$18+1,1))</f>
        <v>#N/A</v>
      </c>
      <c r="HA44" s="57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0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4">
        <f t="shared" si="1"/>
        <v>376.59978849051953</v>
      </c>
      <c r="I45" s="6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143.03952000000001</v>
      </c>
      <c r="P45" s="13">
        <f t="shared" si="33"/>
        <v>36.992444033168439</v>
      </c>
      <c r="Q45" s="20">
        <f t="shared" si="53"/>
        <v>313.55567069110168</v>
      </c>
      <c r="R45" s="57">
        <f t="shared" si="0"/>
        <v>606.88900402443505</v>
      </c>
      <c r="S45" s="57">
        <f ca="1">AVERAGE(OFFSET($R$3,0,0,'Données projet'!$E$9+1,1))-AVERAGE(OFFSET($H$3,0,0,'Données projet'!$E$9+1,1))</f>
        <v>267.44861001389006</v>
      </c>
      <c r="T45" s="57">
        <f t="shared" si="34"/>
        <v>165.25921510802965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20.537622567403876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20.537622567403876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</v>
      </c>
      <c r="AI45" s="13">
        <f>IF('Données projet'!$A$62&gt;35,AI44+AH45-AQ44,IF(A45&lt;'Données projet'!$A$62,$AF$205^A45,IF(A45='Données projet'!$A$62,'Données projet'!$B$62,AI44+AH45-AQ44)))</f>
        <v>169.8</v>
      </c>
      <c r="AJ45" s="13">
        <f>AI45*VLOOKUP('Données projet'!$B$10,Paramètres!$A$1:$I$89,3,0)*VLOOKUP('Données projet'!$B$10,Paramètres!$A$1:$I$89,5,0)</f>
        <v>153.63504</v>
      </c>
      <c r="AK45" s="13">
        <f t="shared" si="35"/>
        <v>39.403506785222667</v>
      </c>
      <c r="AL45" s="20">
        <f t="shared" si="4"/>
        <v>336.20880231759617</v>
      </c>
      <c r="AM45" s="57">
        <f t="shared" si="5"/>
        <v>629.54213565092948</v>
      </c>
      <c r="AN45" s="57">
        <f ca="1">AVERAGE(OFFSET($AM$3,0,0,'Données projet'!$E$10+1,1))-AVERAGE(OFFSET($H$3,0,0,'Données projet'!$E$10+1,1))</f>
        <v>294.92430430387071</v>
      </c>
      <c r="AO45" s="57">
        <f t="shared" si="36"/>
        <v>181.52228471516497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22.05892794276712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22.05892794276712</v>
      </c>
      <c r="AY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172.46112000000005</v>
      </c>
      <c r="BF45" s="13">
        <f t="shared" si="37"/>
        <v>43.640770644577643</v>
      </c>
      <c r="BG45" s="20">
        <f t="shared" si="7"/>
        <v>376.37745953930607</v>
      </c>
      <c r="BH45" s="57">
        <f t="shared" si="8"/>
        <v>669.71079287263933</v>
      </c>
      <c r="BI45" s="57">
        <f ca="1">AVERAGE(OFFSET($BH$3,0,0,'Données projet'!$E$11+1,1))-AVERAGE(OFFSET($H$3,0,0,'Données projet'!$E$11+1,1))</f>
        <v>250.90550982248311</v>
      </c>
      <c r="BJ45" s="57">
        <f t="shared" si="38"/>
        <v>254.68874167908001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24.721212349652813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24.721212349652813</v>
      </c>
      <c r="BT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24.8</v>
      </c>
      <c r="BY45" s="12">
        <f>IF('Données projet'!$A$114&gt;35,BY44+BX45-CG44,IF(A45&lt;'Données projet'!$A$114,$BV$205^A45,IF(A45='Données projet'!$A$114,'Données projet'!$B$114,BY44+BX45-CG44)))</f>
        <v>611.5999999999998</v>
      </c>
      <c r="BZ45" s="13">
        <f>BY45*VLOOKUP('Données projet'!$B$12,Paramètres!$A$1:$I$89,3,0)*VLOOKUP('Données projet'!$B$12,Paramètres!$A$1:$I$89,5,0)</f>
        <v>341.88439999999986</v>
      </c>
      <c r="CA45" s="13">
        <f t="shared" si="39"/>
        <v>79.889150066970018</v>
      </c>
      <c r="CB45" s="20">
        <f t="shared" si="10"/>
        <v>734.58893303330581</v>
      </c>
      <c r="CC45" s="57">
        <f t="shared" si="11"/>
        <v>1027.9222663666392</v>
      </c>
      <c r="CD45" s="57">
        <f ca="1">AVERAGE(OFFSET($CC$3,0,0,'Données projet'!$E$12+1,1))-AVERAGE(OFFSET($H$3,0,0,'Données projet'!$E$12+1,1))</f>
        <v>462.54745364638171</v>
      </c>
      <c r="CE45" s="57">
        <f t="shared" si="40"/>
        <v>571.50914830067313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55.749079511611683</v>
      </c>
      <c r="CL45" s="21">
        <f>EXP(-LN(2)/25)*CL44+(1-EXP(-LN(2)/25))/(LN(2)/25)*Calculateur!CG45*Calculateur!CI45*VLOOKUP('Données projet'!$B$12,Paramètres!$A$1:$I$89,3,0)*0.475*44/12</f>
        <v>41.428152981477126</v>
      </c>
      <c r="CM45" s="21">
        <f>EXP(-LN(2)/2)*CM44+(1-EXP(-LN(2)/2))/(LN(2)/2)*CG45*CJ45*VLOOKUP('Données projet'!$B$12,Paramètres!$A$1:$I$89,3,0)*0.475*44/12</f>
        <v>1.3288802605294768E-2</v>
      </c>
      <c r="CN45" s="22">
        <f t="shared" si="12"/>
        <v>97.190521295694097</v>
      </c>
      <c r="CO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7.6</v>
      </c>
      <c r="CT45" s="12">
        <f>IF('Données projet'!$A$140&gt;35,CT44+CS45-DB44,IF(A45&lt;'Données projet'!$A$140,$CQ$205^A45,IF(A45='Données projet'!$A$140,'Données projet'!$B$140,CT44+CS45-DB44)))</f>
        <v>220.20000000000005</v>
      </c>
      <c r="CU45" s="17">
        <f>CT45*VLOOKUP('Données projet'!$B$13,Paramètres!$A$1:$I$89,3,0)*VLOOKUP('Données projet'!$B$13,Paramètres!$A$1:$I$89,5,0)</f>
        <v>209.54232000000005</v>
      </c>
      <c r="CV45" s="13">
        <f t="shared" si="41"/>
        <v>51.835558406813547</v>
      </c>
      <c r="CW45" s="20">
        <f t="shared" si="13"/>
        <v>455.23313822520032</v>
      </c>
      <c r="CX45" s="57">
        <f t="shared" si="14"/>
        <v>748.56647155853364</v>
      </c>
      <c r="CY45" s="57">
        <f ca="1">AVERAGE(OFFSET($CX$3,0,0,'Données projet'!$E$13+1,1))-AVERAGE(OFFSET($H$3,0,0,'Données projet'!$E$13+1,1))</f>
        <v>314.67680626853303</v>
      </c>
      <c r="CZ45" s="57">
        <f t="shared" si="42"/>
        <v>372.57247561536263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24.463253806182511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24.463253806182511</v>
      </c>
      <c r="DJ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9.8000000000000007</v>
      </c>
      <c r="DO45" s="12">
        <f>IF('Données projet'!$A$166&gt;35,DO44+DN45-DW44,IF(A45&lt;'Données projet'!$A$166,$DL$205^A45,IF(A45='Données projet'!$A$166,'Données projet'!$B$166,DO44+DN45-DW44)))</f>
        <v>212.60000000000002</v>
      </c>
      <c r="DP45" s="17">
        <f>DO45*VLOOKUP('Données projet'!$B$14,Paramètres!$A$1:$I$89,3,0)*VLOOKUP('Données projet'!$B$14,Paramètres!$A$1:$I$89,5,0)</f>
        <v>139.29552000000001</v>
      </c>
      <c r="DQ45" s="13">
        <f t="shared" si="43"/>
        <v>36.135571666868977</v>
      </c>
      <c r="DR45" s="20">
        <f t="shared" si="16"/>
        <v>305.54248465313009</v>
      </c>
      <c r="DS45" s="57">
        <f t="shared" si="17"/>
        <v>598.8758179864634</v>
      </c>
      <c r="DT45" s="57">
        <f ca="1">AVERAGE(OFFSET($DS$3,0,0,'Données projet'!$E$14+1,1))-AVERAGE(OFFSET($H$3,0,0,'Données projet'!$E$14+1,1))</f>
        <v>188.80259324758066</v>
      </c>
      <c r="DU45" s="57">
        <f t="shared" si="44"/>
        <v>195.48048518255354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19.967133051642659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19.967133051642659</v>
      </c>
      <c r="EE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9.8000000000000007</v>
      </c>
      <c r="EJ45" s="12">
        <f>IF('Données projet'!$A$192&gt;35,EJ44+EI45-ER44,IF(A45&lt;'Données projet'!$A$192,$EG$205^A45,IF(A45='Données projet'!$A$192,'Données projet'!$B$192,EJ44+EI45-ER44)))</f>
        <v>212.60000000000002</v>
      </c>
      <c r="EK45" s="17">
        <f>EJ45*VLOOKUP('Données projet'!$B$15,Paramètres!$A$1:$I$89,3,0)*VLOOKUP('Données projet'!$B$15,Paramètres!$A$1:$I$89,5,0)</f>
        <v>172.46112000000005</v>
      </c>
      <c r="EL45" s="13">
        <f t="shared" si="45"/>
        <v>43.640770644577643</v>
      </c>
      <c r="EM45" s="20">
        <f t="shared" si="19"/>
        <v>376.37745953930607</v>
      </c>
      <c r="EN45" s="57">
        <f t="shared" si="20"/>
        <v>669.71079287263933</v>
      </c>
      <c r="EO45" s="57">
        <f ca="1">AVERAGE(OFFSET($EN$3,0,0,'Données projet'!$E$15+1,1))-AVERAGE(OFFSET($H$3,0,0,'Données projet'!$E$15+1,1))</f>
        <v>250.90550982248311</v>
      </c>
      <c r="EP45" s="57">
        <f t="shared" si="46"/>
        <v>254.68874167908001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24.721212349652813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24.721212349652813</v>
      </c>
      <c r="EZ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7" t="e">
        <f t="shared" si="23"/>
        <v>#N/A</v>
      </c>
      <c r="FJ45" s="57" t="e">
        <f ca="1">AVERAGE(OFFSET($FI$3,0,0,'Données projet'!$E$16+1,1))-AVERAGE(OFFSET($H$3,0,0,'Données projet'!$E$16+1,1))</f>
        <v>#N/A</v>
      </c>
      <c r="FK45" s="57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7" t="e">
        <f t="shared" si="26"/>
        <v>#N/A</v>
      </c>
      <c r="GE45" s="57" t="e">
        <f ca="1">AVERAGE(OFFSET($GD$3,0,0,'Données projet'!$E$17+1,1))-AVERAGE(OFFSET($H$3,0,0,'Données projet'!$E$17+1,1))</f>
        <v>#N/A</v>
      </c>
      <c r="GF45" s="57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7" t="e">
        <f t="shared" si="29"/>
        <v>#N/A</v>
      </c>
      <c r="GZ45" s="57" t="e">
        <f ca="1">AVERAGE(OFFSET($GY$3,0,0,'Données projet'!$E$18+1,1))-AVERAGE(OFFSET($H$3,0,0,'Données projet'!$E$18+1,1))</f>
        <v>#N/A</v>
      </c>
      <c r="HA45" s="57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0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4">
        <f t="shared" si="1"/>
        <v>378.52810149735353</v>
      </c>
      <c r="I46" s="6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152.64288000000002</v>
      </c>
      <c r="P46" s="13">
        <f t="shared" si="33"/>
        <v>39.178577703588573</v>
      </c>
      <c r="Q46" s="20">
        <f t="shared" si="53"/>
        <v>334.08903883375007</v>
      </c>
      <c r="R46" s="57">
        <f t="shared" si="0"/>
        <v>627.42237216708338</v>
      </c>
      <c r="S46" s="57">
        <f ca="1">AVERAGE(OFFSET($R$3,0,0,'Données projet'!$E$9+1,1))-AVERAGE(OFFSET($H$3,0,0,'Données projet'!$E$9+1,1))</f>
        <v>267.44861001389006</v>
      </c>
      <c r="T46" s="57">
        <f t="shared" si="34"/>
        <v>165.25921510802965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20.134892315569942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20.134892315569942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</v>
      </c>
      <c r="AI46" s="13">
        <f>IF('Données projet'!$A$62&gt;35,AI45+AH46-AQ45,IF(A46&lt;'Données projet'!$A$62,$AF$205^A46,IF(A46='Données projet'!$A$62,'Données projet'!$B$62,AI45+AH46-AQ45)))</f>
        <v>181.20000000000002</v>
      </c>
      <c r="AJ46" s="13">
        <f>AI46*VLOOKUP('Données projet'!$B$10,Paramètres!$A$1:$I$89,3,0)*VLOOKUP('Données projet'!$B$10,Paramètres!$A$1:$I$89,5,0)</f>
        <v>163.94976</v>
      </c>
      <c r="AK46" s="13">
        <f t="shared" si="35"/>
        <v>41.732126457893308</v>
      </c>
      <c r="AL46" s="20">
        <f t="shared" si="4"/>
        <v>358.22928558083089</v>
      </c>
      <c r="AM46" s="57">
        <f t="shared" si="5"/>
        <v>651.5626189141642</v>
      </c>
      <c r="AN46" s="57">
        <f ca="1">AVERAGE(OFFSET($AM$3,0,0,'Données projet'!$E$10+1,1))-AVERAGE(OFFSET($H$3,0,0,'Données projet'!$E$10+1,1))</f>
        <v>294.92430430387071</v>
      </c>
      <c r="AO46" s="57">
        <f t="shared" si="36"/>
        <v>181.52228471516497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21.626365820426969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21.626365820426969</v>
      </c>
      <c r="AY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180.41088000000005</v>
      </c>
      <c r="BF46" s="13">
        <f t="shared" si="37"/>
        <v>45.413587262495575</v>
      </c>
      <c r="BG46" s="20">
        <f t="shared" si="7"/>
        <v>393.31094714884654</v>
      </c>
      <c r="BH46" s="57">
        <f t="shared" si="8"/>
        <v>686.64428048217985</v>
      </c>
      <c r="BI46" s="57">
        <f ca="1">AVERAGE(OFFSET($BH$3,0,0,'Données projet'!$E$11+1,1))-AVERAGE(OFFSET($H$3,0,0,'Données projet'!$E$11+1,1))</f>
        <v>250.90550982248311</v>
      </c>
      <c r="BJ46" s="57">
        <f t="shared" si="38"/>
        <v>254.68874167908001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24.236444453926783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24.236444453926783</v>
      </c>
      <c r="BT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24.8</v>
      </c>
      <c r="BY46" s="12">
        <f>IF('Données projet'!$A$114&gt;35,BY45+BX46-CG45,IF(A46&lt;'Données projet'!$A$114,$BV$205^A46,IF(A46='Données projet'!$A$114,'Données projet'!$B$114,BY45+BX46-CG45)))</f>
        <v>636.39999999999975</v>
      </c>
      <c r="BZ46" s="13">
        <f>BY46*VLOOKUP('Données projet'!$B$12,Paramètres!$A$1:$I$89,3,0)*VLOOKUP('Données projet'!$B$12,Paramètres!$A$1:$I$89,5,0)</f>
        <v>355.74759999999986</v>
      </c>
      <c r="CA46" s="13">
        <f t="shared" si="39"/>
        <v>82.744877508992289</v>
      </c>
      <c r="CB46" s="20">
        <f t="shared" si="10"/>
        <v>763.70773166149456</v>
      </c>
      <c r="CC46" s="57">
        <f t="shared" si="11"/>
        <v>1057.0410649948278</v>
      </c>
      <c r="CD46" s="57">
        <f ca="1">AVERAGE(OFFSET($CC$3,0,0,'Données projet'!$E$12+1,1))-AVERAGE(OFFSET($H$3,0,0,'Données projet'!$E$12+1,1))</f>
        <v>462.54745364638171</v>
      </c>
      <c r="CE46" s="57">
        <f t="shared" si="40"/>
        <v>571.50914830067313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54.655874065969904</v>
      </c>
      <c r="CL46" s="21">
        <f>EXP(-LN(2)/25)*CL45+(1-EXP(-LN(2)/25))/(LN(2)/25)*Calculateur!CG46*Calculateur!CI46*VLOOKUP('Données projet'!$B$12,Paramètres!$A$1:$I$89,3,0)*0.475*44/12</f>
        <v>40.295297959586755</v>
      </c>
      <c r="CM46" s="21">
        <f>EXP(-LN(2)/2)*CM45+(1-EXP(-LN(2)/2))/(LN(2)/2)*CG46*CJ46*VLOOKUP('Données projet'!$B$12,Paramètres!$A$1:$I$89,3,0)*0.475*44/12</f>
        <v>9.39660243605339E-3</v>
      </c>
      <c r="CN46" s="22">
        <f t="shared" si="12"/>
        <v>94.960568627992714</v>
      </c>
      <c r="CO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7.6</v>
      </c>
      <c r="CT46" s="12">
        <f>IF('Données projet'!$A$140&gt;35,CT45+CS46-DB45,IF(A46&lt;'Données projet'!$A$140,$CQ$205^A46,IF(A46='Données projet'!$A$140,'Données projet'!$B$140,CT45+CS46-DB45)))</f>
        <v>227.80000000000004</v>
      </c>
      <c r="CU46" s="17">
        <f>CT46*VLOOKUP('Données projet'!$B$13,Paramètres!$A$1:$I$89,3,0)*VLOOKUP('Données projet'!$B$13,Paramètres!$A$1:$I$89,5,0)</f>
        <v>216.77448000000004</v>
      </c>
      <c r="CV46" s="13">
        <f t="shared" si="41"/>
        <v>53.41323339156682</v>
      </c>
      <c r="CW46" s="20">
        <f t="shared" si="13"/>
        <v>470.57693415697889</v>
      </c>
      <c r="CX46" s="57">
        <f t="shared" si="14"/>
        <v>763.91026749031221</v>
      </c>
      <c r="CY46" s="57">
        <f ca="1">AVERAGE(OFFSET($CX$3,0,0,'Données projet'!$E$13+1,1))-AVERAGE(OFFSET($H$3,0,0,'Données projet'!$E$13+1,1))</f>
        <v>314.67680626853303</v>
      </c>
      <c r="CZ46" s="57">
        <f t="shared" si="42"/>
        <v>372.57247561536263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23.983544320154756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23.983544320154756</v>
      </c>
      <c r="DJ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9.8000000000000007</v>
      </c>
      <c r="DO46" s="12">
        <f>IF('Données projet'!$A$166&gt;35,DO45+DN46-DW45,IF(A46&lt;'Données projet'!$A$166,$DL$205^A46,IF(A46='Données projet'!$A$166,'Données projet'!$B$166,DO45+DN46-DW45)))</f>
        <v>222.40000000000003</v>
      </c>
      <c r="DP46" s="17">
        <f>DO46*VLOOKUP('Données projet'!$B$14,Paramètres!$A$1:$I$89,3,0)*VLOOKUP('Données projet'!$B$14,Paramètres!$A$1:$I$89,5,0)</f>
        <v>145.71648000000002</v>
      </c>
      <c r="DQ46" s="13">
        <f t="shared" si="43"/>
        <v>37.60350500083149</v>
      </c>
      <c r="DR46" s="20">
        <f t="shared" si="16"/>
        <v>319.28230720978155</v>
      </c>
      <c r="DS46" s="57">
        <f t="shared" si="17"/>
        <v>612.61564054311486</v>
      </c>
      <c r="DT46" s="57">
        <f ca="1">AVERAGE(OFFSET($DS$3,0,0,'Données projet'!$E$14+1,1))-AVERAGE(OFFSET($H$3,0,0,'Données projet'!$E$14+1,1))</f>
        <v>188.80259324758066</v>
      </c>
      <c r="DU46" s="57">
        <f t="shared" si="44"/>
        <v>195.48048518255354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19.575589751248557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19.575589751248557</v>
      </c>
      <c r="EE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9.8000000000000007</v>
      </c>
      <c r="EJ46" s="12">
        <f>IF('Données projet'!$A$192&gt;35,EJ45+EI46-ER45,IF(A46&lt;'Données projet'!$A$192,$EG$205^A46,IF(A46='Données projet'!$A$192,'Données projet'!$B$192,EJ45+EI46-ER45)))</f>
        <v>222.40000000000003</v>
      </c>
      <c r="EK46" s="17">
        <f>EJ46*VLOOKUP('Données projet'!$B$15,Paramètres!$A$1:$I$89,3,0)*VLOOKUP('Données projet'!$B$15,Paramètres!$A$1:$I$89,5,0)</f>
        <v>180.41088000000005</v>
      </c>
      <c r="EL46" s="13">
        <f t="shared" si="45"/>
        <v>45.413587262495575</v>
      </c>
      <c r="EM46" s="20">
        <f t="shared" si="19"/>
        <v>393.31094714884654</v>
      </c>
      <c r="EN46" s="57">
        <f t="shared" si="20"/>
        <v>686.64428048217985</v>
      </c>
      <c r="EO46" s="57">
        <f ca="1">AVERAGE(OFFSET($EN$3,0,0,'Données projet'!$E$15+1,1))-AVERAGE(OFFSET($H$3,0,0,'Données projet'!$E$15+1,1))</f>
        <v>250.90550982248311</v>
      </c>
      <c r="EP46" s="57">
        <f t="shared" si="46"/>
        <v>254.68874167908001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24.236444453926783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24.236444453926783</v>
      </c>
      <c r="EZ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7" t="e">
        <f t="shared" si="23"/>
        <v>#N/A</v>
      </c>
      <c r="FJ46" s="57" t="e">
        <f ca="1">AVERAGE(OFFSET($FI$3,0,0,'Données projet'!$E$16+1,1))-AVERAGE(OFFSET($H$3,0,0,'Données projet'!$E$16+1,1))</f>
        <v>#N/A</v>
      </c>
      <c r="FK46" s="57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7" t="e">
        <f t="shared" si="26"/>
        <v>#N/A</v>
      </c>
      <c r="GE46" s="57" t="e">
        <f ca="1">AVERAGE(OFFSET($GD$3,0,0,'Données projet'!$E$17+1,1))-AVERAGE(OFFSET($H$3,0,0,'Données projet'!$E$17+1,1))</f>
        <v>#N/A</v>
      </c>
      <c r="GF46" s="57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7" t="e">
        <f t="shared" si="29"/>
        <v>#N/A</v>
      </c>
      <c r="GZ46" s="57" t="e">
        <f ca="1">AVERAGE(OFFSET($GY$3,0,0,'Données projet'!$E$18+1,1))-AVERAGE(OFFSET($H$3,0,0,'Données projet'!$E$18+1,1))</f>
        <v>#N/A</v>
      </c>
      <c r="HA46" s="57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0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4">
        <f t="shared" si="1"/>
        <v>380.45531470929205</v>
      </c>
      <c r="I47" s="6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162.24624000000003</v>
      </c>
      <c r="P47" s="13">
        <f t="shared" si="33"/>
        <v>41.348749290582795</v>
      </c>
      <c r="Q47" s="20">
        <f t="shared" si="53"/>
        <v>354.59460634776502</v>
      </c>
      <c r="R47" s="57">
        <f t="shared" si="0"/>
        <v>647.92793968109834</v>
      </c>
      <c r="S47" s="57">
        <f ca="1">AVERAGE(OFFSET($R$3,0,0,'Données projet'!$E$9+1,1))-AVERAGE(OFFSET($H$3,0,0,'Données projet'!$E$9+1,1))</f>
        <v>267.44861001389006</v>
      </c>
      <c r="T47" s="57">
        <f t="shared" si="34"/>
        <v>165.25921510802965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19.740059358333273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19.740059358333273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</v>
      </c>
      <c r="AI47" s="13">
        <f>IF('Données projet'!$A$62&gt;35,AI46+AH47-AQ46,IF(A47&lt;'Données projet'!$A$62,$AF$205^A47,IF(A47='Données projet'!$A$62,'Données projet'!$B$62,AI46+AH47-AQ46)))</f>
        <v>192.60000000000002</v>
      </c>
      <c r="AJ47" s="13">
        <f>AI47*VLOOKUP('Données projet'!$B$10,Paramètres!$A$1:$I$89,3,0)*VLOOKUP('Données projet'!$B$10,Paramètres!$A$1:$I$89,5,0)</f>
        <v>174.26447999999999</v>
      </c>
      <c r="AK47" s="13">
        <f t="shared" si="35"/>
        <v>44.043743683739521</v>
      </c>
      <c r="AL47" s="20">
        <f t="shared" si="4"/>
        <v>380.22015624917964</v>
      </c>
      <c r="AM47" s="57">
        <f t="shared" si="5"/>
        <v>673.55348958251295</v>
      </c>
      <c r="AN47" s="57">
        <f ca="1">AVERAGE(OFFSET($AM$3,0,0,'Données projet'!$E$10+1,1))-AVERAGE(OFFSET($H$3,0,0,'Données projet'!$E$10+1,1))</f>
        <v>294.92430430387071</v>
      </c>
      <c r="AO47" s="57">
        <f t="shared" si="36"/>
        <v>181.52228471516497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21.202285977469064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21.202285977469064</v>
      </c>
      <c r="AY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188.36064000000005</v>
      </c>
      <c r="BF47" s="13">
        <f t="shared" si="37"/>
        <v>47.177331040995796</v>
      </c>
      <c r="BG47" s="20">
        <f t="shared" si="7"/>
        <v>410.22863289640105</v>
      </c>
      <c r="BH47" s="57">
        <f t="shared" si="8"/>
        <v>703.56196622973437</v>
      </c>
      <c r="BI47" s="57">
        <f ca="1">AVERAGE(OFFSET($BH$3,0,0,'Données projet'!$E$11+1,1))-AVERAGE(OFFSET($H$3,0,0,'Données projet'!$E$11+1,1))</f>
        <v>250.90550982248311</v>
      </c>
      <c r="BJ47" s="57">
        <f t="shared" si="38"/>
        <v>254.68874167908001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23.761182560956719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23.761182560956719</v>
      </c>
      <c r="BT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24.8</v>
      </c>
      <c r="BY47" s="12">
        <f>IF('Données projet'!$A$114&gt;35,BY46+BX47-CG46,IF(A47&lt;'Données projet'!$A$114,$BV$205^A47,IF(A47='Données projet'!$A$114,'Données projet'!$B$114,BY46+BX47-CG46)))</f>
        <v>661.1999999999997</v>
      </c>
      <c r="BZ47" s="13">
        <f>BY47*VLOOKUP('Données projet'!$B$12,Paramètres!$A$1:$I$89,3,0)*VLOOKUP('Données projet'!$B$12,Paramètres!$A$1:$I$89,5,0)</f>
        <v>369.61079999999981</v>
      </c>
      <c r="CA47" s="13">
        <f t="shared" si="39"/>
        <v>85.587677206936931</v>
      </c>
      <c r="CB47" s="20">
        <f t="shared" si="10"/>
        <v>792.80401446874805</v>
      </c>
      <c r="CC47" s="57">
        <f t="shared" si="11"/>
        <v>1086.1373478020814</v>
      </c>
      <c r="CD47" s="57">
        <f ca="1">AVERAGE(OFFSET($CC$3,0,0,'Données projet'!$E$12+1,1))-AVERAGE(OFFSET($H$3,0,0,'Données projet'!$E$12+1,1))</f>
        <v>462.54745364638171</v>
      </c>
      <c r="CE47" s="57">
        <f t="shared" si="40"/>
        <v>571.50914830067313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53.584105712327677</v>
      </c>
      <c r="CL47" s="21">
        <f>EXP(-LN(2)/25)*CL46+(1-EXP(-LN(2)/25))/(LN(2)/25)*Calculateur!CG47*Calculateur!CI47*VLOOKUP('Données projet'!$B$12,Paramètres!$A$1:$I$89,3,0)*0.475*44/12</f>
        <v>39.193420917844229</v>
      </c>
      <c r="CM47" s="21">
        <f>EXP(-LN(2)/2)*CM46+(1-EXP(-LN(2)/2))/(LN(2)/2)*CG47*CJ47*VLOOKUP('Données projet'!$B$12,Paramètres!$A$1:$I$89,3,0)*0.475*44/12</f>
        <v>6.644401302647384E-3</v>
      </c>
      <c r="CN47" s="22">
        <f t="shared" si="12"/>
        <v>92.784171031474557</v>
      </c>
      <c r="CO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7.6</v>
      </c>
      <c r="CT47" s="12">
        <f>IF('Données projet'!$A$140&gt;35,CT46+CS47-DB46,IF(A47&lt;'Données projet'!$A$140,$CQ$205^A47,IF(A47='Données projet'!$A$140,'Données projet'!$B$140,CT46+CS47-DB46)))</f>
        <v>235.40000000000003</v>
      </c>
      <c r="CU47" s="17">
        <f>CT47*VLOOKUP('Données projet'!$B$13,Paramètres!$A$1:$I$89,3,0)*VLOOKUP('Données projet'!$B$13,Paramètres!$A$1:$I$89,5,0)</f>
        <v>224.00664000000003</v>
      </c>
      <c r="CV47" s="13">
        <f t="shared" si="41"/>
        <v>54.984792305364024</v>
      </c>
      <c r="CW47" s="20">
        <f t="shared" si="13"/>
        <v>485.91007793184241</v>
      </c>
      <c r="CX47" s="57">
        <f t="shared" si="14"/>
        <v>779.24341126517572</v>
      </c>
      <c r="CY47" s="57">
        <f ca="1">AVERAGE(OFFSET($CX$3,0,0,'Données projet'!$E$13+1,1))-AVERAGE(OFFSET($H$3,0,0,'Données projet'!$E$13+1,1))</f>
        <v>314.67680626853303</v>
      </c>
      <c r="CZ47" s="57">
        <f t="shared" si="42"/>
        <v>372.57247561536263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23.51324164455411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23.51324164455411</v>
      </c>
      <c r="DJ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9.8000000000000007</v>
      </c>
      <c r="DO47" s="12">
        <f>IF('Données projet'!$A$166&gt;35,DO46+DN47-DW46,IF(A47&lt;'Données projet'!$A$166,$DL$205^A47,IF(A47='Données projet'!$A$166,'Données projet'!$B$166,DO46+DN47-DW46)))</f>
        <v>232.20000000000005</v>
      </c>
      <c r="DP47" s="17">
        <f>DO47*VLOOKUP('Données projet'!$B$14,Paramètres!$A$1:$I$89,3,0)*VLOOKUP('Données projet'!$B$14,Paramètres!$A$1:$I$89,5,0)</f>
        <v>152.13744000000003</v>
      </c>
      <c r="DQ47" s="13">
        <f t="shared" si="43"/>
        <v>39.063925813036093</v>
      </c>
      <c r="DR47" s="20">
        <f t="shared" si="16"/>
        <v>333.00904545770453</v>
      </c>
      <c r="DS47" s="57">
        <f t="shared" si="17"/>
        <v>626.34237879103785</v>
      </c>
      <c r="DT47" s="57">
        <f ca="1">AVERAGE(OFFSET($DS$3,0,0,'Données projet'!$E$14+1,1))-AVERAGE(OFFSET($H$3,0,0,'Données projet'!$E$14+1,1))</f>
        <v>188.80259324758066</v>
      </c>
      <c r="DU47" s="57">
        <f t="shared" si="44"/>
        <v>195.48048518255354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19.191724376157353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19.191724376157353</v>
      </c>
      <c r="EE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9.8000000000000007</v>
      </c>
      <c r="EJ47" s="12">
        <f>IF('Données projet'!$A$192&gt;35,EJ46+EI47-ER46,IF(A47&lt;'Données projet'!$A$192,$EG$205^A47,IF(A47='Données projet'!$A$192,'Données projet'!$B$192,EJ46+EI47-ER46)))</f>
        <v>232.20000000000005</v>
      </c>
      <c r="EK47" s="17">
        <f>EJ47*VLOOKUP('Données projet'!$B$15,Paramètres!$A$1:$I$89,3,0)*VLOOKUP('Données projet'!$B$15,Paramètres!$A$1:$I$89,5,0)</f>
        <v>188.36064000000005</v>
      </c>
      <c r="EL47" s="13">
        <f t="shared" si="45"/>
        <v>47.177331040995796</v>
      </c>
      <c r="EM47" s="20">
        <f t="shared" si="19"/>
        <v>410.22863289640105</v>
      </c>
      <c r="EN47" s="57">
        <f t="shared" si="20"/>
        <v>703.56196622973437</v>
      </c>
      <c r="EO47" s="57">
        <f ca="1">AVERAGE(OFFSET($EN$3,0,0,'Données projet'!$E$15+1,1))-AVERAGE(OFFSET($H$3,0,0,'Données projet'!$E$15+1,1))</f>
        <v>250.90550982248311</v>
      </c>
      <c r="EP47" s="57">
        <f t="shared" si="46"/>
        <v>254.68874167908001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23.761182560956719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23.761182560956719</v>
      </c>
      <c r="EZ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7" t="e">
        <f t="shared" si="23"/>
        <v>#N/A</v>
      </c>
      <c r="FJ47" s="57" t="e">
        <f ca="1">AVERAGE(OFFSET($FI$3,0,0,'Données projet'!$E$16+1,1))-AVERAGE(OFFSET($H$3,0,0,'Données projet'!$E$16+1,1))</f>
        <v>#N/A</v>
      </c>
      <c r="FK47" s="57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7" t="e">
        <f t="shared" si="26"/>
        <v>#N/A</v>
      </c>
      <c r="GE47" s="57" t="e">
        <f ca="1">AVERAGE(OFFSET($GD$3,0,0,'Données projet'!$E$17+1,1))-AVERAGE(OFFSET($H$3,0,0,'Données projet'!$E$17+1,1))</f>
        <v>#N/A</v>
      </c>
      <c r="GF47" s="57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7" t="e">
        <f t="shared" si="29"/>
        <v>#N/A</v>
      </c>
      <c r="GZ47" s="57" t="e">
        <f ca="1">AVERAGE(OFFSET($GY$3,0,0,'Données projet'!$E$18+1,1))-AVERAGE(OFFSET($H$3,0,0,'Données projet'!$E$18+1,1))</f>
        <v>#N/A</v>
      </c>
      <c r="HA47" s="57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0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4">
        <f t="shared" si="1"/>
        <v>382.38145599910206</v>
      </c>
      <c r="I48" s="6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171.84960000000004</v>
      </c>
      <c r="P48" s="13">
        <f t="shared" si="33"/>
        <v>43.50401120412441</v>
      </c>
      <c r="Q48" s="20">
        <f t="shared" si="53"/>
        <v>375.07420618051674</v>
      </c>
      <c r="R48" s="57">
        <f t="shared" si="0"/>
        <v>668.40753951385</v>
      </c>
      <c r="S48" s="57">
        <f ca="1">AVERAGE(OFFSET($R$3,0,0,'Données projet'!$E$9+1,1))-AVERAGE(OFFSET($H$3,0,0,'Données projet'!$E$9+1,1))</f>
        <v>267.44861001389006</v>
      </c>
      <c r="T48" s="57">
        <f t="shared" si="34"/>
        <v>165.25921510802965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30.565197737095119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30.565197737095119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204</v>
      </c>
      <c r="AG48" s="12">
        <f>VLOOKUP(A48,'Données projet'!$A$61:$I$81,9,0)</f>
        <v>11.4</v>
      </c>
      <c r="AH48" s="12">
        <f t="array" ref="AH48">INDEX(AG:AG,MIN(IF(ISNUMBER(AG48:AG244),ROW(AG48:AG244),"")))</f>
        <v>11.4</v>
      </c>
      <c r="AI48" s="13">
        <f>IF('Données projet'!$A$62&gt;35,AI47+AH48-AQ47,IF(A48&lt;'Données projet'!$A$62,$AF$205^A48,IF(A48='Données projet'!$A$62,'Données projet'!$B$62,AI47+AH48-AQ47)))</f>
        <v>204.00000000000003</v>
      </c>
      <c r="AJ48" s="13">
        <f>AI48*VLOOKUP('Données projet'!$B$10,Paramètres!$A$1:$I$89,3,0)*VLOOKUP('Données projet'!$B$10,Paramètres!$A$1:$I$89,5,0)</f>
        <v>184.57920000000001</v>
      </c>
      <c r="AK48" s="13">
        <f t="shared" si="35"/>
        <v>46.339479465836661</v>
      </c>
      <c r="AL48" s="20">
        <f t="shared" si="4"/>
        <v>402.18336673633218</v>
      </c>
      <c r="AM48" s="57">
        <f t="shared" si="5"/>
        <v>695.51670006966549</v>
      </c>
      <c r="AN48" s="57">
        <f ca="1">AVERAGE(OFFSET($AM$3,0,0,'Données projet'!$E$10+1,1))-AVERAGE(OFFSET($H$3,0,0,'Données projet'!$E$10+1,1))</f>
        <v>294.92430430387071</v>
      </c>
      <c r="AO48" s="57">
        <f t="shared" si="36"/>
        <v>181.52228471516497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32.829286458361416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32.829286458361416</v>
      </c>
      <c r="AY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196.31040000000004</v>
      </c>
      <c r="BF48" s="13">
        <f t="shared" si="37"/>
        <v>48.932428681108973</v>
      </c>
      <c r="BG48" s="20">
        <f t="shared" si="7"/>
        <v>427.13125995293154</v>
      </c>
      <c r="BH48" s="57">
        <f t="shared" si="8"/>
        <v>720.46459328626486</v>
      </c>
      <c r="BI48" s="57">
        <f ca="1">AVERAGE(OFFSET($BH$3,0,0,'Données projet'!$E$11+1,1))-AVERAGE(OFFSET($H$3,0,0,'Données projet'!$E$11+1,1))</f>
        <v>250.90550982248311</v>
      </c>
      <c r="BJ48" s="57">
        <f t="shared" si="38"/>
        <v>254.68874167908001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32.549778405598637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32.549778405598637</v>
      </c>
      <c r="BT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686</v>
      </c>
      <c r="BW48" s="12">
        <f>VLOOKUP(A48,'Données projet'!$A$113:$I$133,9,0)</f>
        <v>24.8</v>
      </c>
      <c r="BX48" s="12">
        <f t="array" ref="BX48">INDEX(BW:BW,MIN(IF(ISNUMBER(BW48:BW244),ROW(BW48:BW244),"")))</f>
        <v>24.8</v>
      </c>
      <c r="BY48" s="12">
        <f>IF('Données projet'!$A$114&gt;35,BY47+BX48-CG47,IF(A48&lt;'Données projet'!$A$114,$BV$205^A48,IF(A48='Données projet'!$A$114,'Données projet'!$B$114,BY47+BX48-CG47)))</f>
        <v>685.99999999999966</v>
      </c>
      <c r="BZ48" s="13">
        <f>BY48*VLOOKUP('Données projet'!$B$12,Paramètres!$A$1:$I$89,3,0)*VLOOKUP('Données projet'!$B$12,Paramètres!$A$1:$I$89,5,0)</f>
        <v>383.47399999999982</v>
      </c>
      <c r="CA48" s="13">
        <f t="shared" si="39"/>
        <v>88.418089567872116</v>
      </c>
      <c r="CB48" s="20">
        <f t="shared" si="10"/>
        <v>821.87872266404372</v>
      </c>
      <c r="CC48" s="57">
        <f t="shared" si="11"/>
        <v>1115.2120559973771</v>
      </c>
      <c r="CD48" s="57">
        <f ca="1">AVERAGE(OFFSET($CC$3,0,0,'Données projet'!$E$12+1,1))-AVERAGE(OFFSET($H$3,0,0,'Données projet'!$E$12+1,1))</f>
        <v>462.54745364638171</v>
      </c>
      <c r="CE48" s="57">
        <f t="shared" si="40"/>
        <v>571.50914830067313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64</v>
      </c>
      <c r="CH48" s="16">
        <f>IF(ISNA(VLOOKUP(A48,'Données projet'!$A$113:$I$133,5,0)),0%,VLOOKUP(A48,'Données projet'!$A$113:$I$133,5,0)*VLOOKUP('Données projet'!$B$12,Paramètres!$A$1:$I$89,7,0))</f>
        <v>0.55000000000000004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78.635897559178972</v>
      </c>
      <c r="CL48" s="21">
        <f>EXP(-LN(2)/25)*CL47+(1-EXP(-LN(2)/25))/(LN(2)/25)*Calculateur!CG48*Calculateur!CI48*VLOOKUP('Données projet'!$B$12,Paramètres!$A$1:$I$89,3,0)*0.475*44/12</f>
        <v>38.121674761753347</v>
      </c>
      <c r="CM48" s="21">
        <f>EXP(-LN(2)/2)*CM47+(1-EXP(-LN(2)/2))/(LN(2)/2)*CG48*CJ48*VLOOKUP('Données projet'!$B$12,Paramètres!$A$1:$I$89,3,0)*0.475*44/12</f>
        <v>4.698301218026695E-3</v>
      </c>
      <c r="CN48" s="22">
        <f t="shared" si="12"/>
        <v>116.76227062215035</v>
      </c>
      <c r="CO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243</v>
      </c>
      <c r="CR48" s="12">
        <f>VLOOKUP(A48,'Données projet'!$A$139:$I$159,9,0)</f>
        <v>7.6</v>
      </c>
      <c r="CS48" s="12">
        <f t="array" ref="CS48">INDEX(CR:CR,MIN(IF(ISNUMBER(CR48:CR244),ROW(CR48:CR244),"")))</f>
        <v>7.6</v>
      </c>
      <c r="CT48" s="12">
        <f>IF('Données projet'!$A$140&gt;35,CT47+CS48-DB47,IF(A48&lt;'Données projet'!$A$140,$CQ$205^A48,IF(A48='Données projet'!$A$140,'Données projet'!$B$140,CT47+CS48-DB47)))</f>
        <v>243.00000000000003</v>
      </c>
      <c r="CU48" s="17">
        <f>CT48*VLOOKUP('Données projet'!$B$13,Paramètres!$A$1:$I$89,3,0)*VLOOKUP('Données projet'!$B$13,Paramètres!$A$1:$I$89,5,0)</f>
        <v>231.23880000000003</v>
      </c>
      <c r="CV48" s="13">
        <f t="shared" si="41"/>
        <v>56.55045525673966</v>
      </c>
      <c r="CW48" s="20">
        <f t="shared" si="13"/>
        <v>501.23295290548822</v>
      </c>
      <c r="CX48" s="57">
        <f t="shared" si="14"/>
        <v>794.56628623882148</v>
      </c>
      <c r="CY48" s="57">
        <f ca="1">AVERAGE(OFFSET($CX$3,0,0,'Données projet'!$E$13+1,1))-AVERAGE(OFFSET($H$3,0,0,'Données projet'!$E$13+1,1))</f>
        <v>314.67680626853303</v>
      </c>
      <c r="CZ48" s="57">
        <f t="shared" si="42"/>
        <v>372.57247561536263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30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36.622517727375552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36.622517727375552</v>
      </c>
      <c r="DJ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242</v>
      </c>
      <c r="DM48" s="12">
        <f>VLOOKUP(A48,'Données projet'!$A$165:$I$185,9,0)</f>
        <v>9.8000000000000007</v>
      </c>
      <c r="DN48" s="12">
        <f t="array" ref="DN48">INDEX(DM:DM,MIN(IF(ISNUMBER(DM48:DM244),ROW(DM48:DM244),"")))</f>
        <v>9.8000000000000007</v>
      </c>
      <c r="DO48" s="12">
        <f>IF('Données projet'!$A$166&gt;35,DO47+DN48-DW47,IF(A48&lt;'Données projet'!$A$166,$DL$205^A48,IF(A48='Données projet'!$A$166,'Données projet'!$B$166,DO47+DN48-DW47)))</f>
        <v>242.00000000000006</v>
      </c>
      <c r="DP48" s="17">
        <f>DO48*VLOOKUP('Données projet'!$B$14,Paramètres!$A$1:$I$89,3,0)*VLOOKUP('Données projet'!$B$14,Paramètres!$A$1:$I$89,5,0)</f>
        <v>158.55840000000003</v>
      </c>
      <c r="DQ48" s="13">
        <f t="shared" si="43"/>
        <v>40.517187421846444</v>
      </c>
      <c r="DR48" s="20">
        <f t="shared" si="16"/>
        <v>346.72331475971595</v>
      </c>
      <c r="DS48" s="57">
        <f t="shared" si="17"/>
        <v>640.05664809304926</v>
      </c>
      <c r="DT48" s="57">
        <f ca="1">AVERAGE(OFFSET($DS$3,0,0,'Données projet'!$E$14+1,1))-AVERAGE(OFFSET($H$3,0,0,'Données projet'!$E$14+1,1))</f>
        <v>188.80259324758066</v>
      </c>
      <c r="DU48" s="57">
        <f t="shared" si="44"/>
        <v>195.48048518255354</v>
      </c>
      <c r="DV48" s="15">
        <f>IF(ISNA(VLOOKUP(A48,'Données projet'!$A$165:$I$185,3,0)),0,VLOOKUP(A48,'Données projet'!$A$165:$I$185,3,0))</f>
        <v>7</v>
      </c>
      <c r="DW48" s="15">
        <f>IF(ISNA(VLOOKUP(A48,'Données projet'!$A$165:$I$185,4,0)),0,VLOOKUP(A48,'Données projet'!$A$165:$I$185,4,0))</f>
        <v>24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26.290205635291212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26.290205635291212</v>
      </c>
      <c r="EE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242</v>
      </c>
      <c r="EH48" s="12">
        <f>VLOOKUP(A48,'Données projet'!$A$191:$I$211,9,0)</f>
        <v>9.8000000000000007</v>
      </c>
      <c r="EI48" s="12">
        <f t="array" ref="EI48">INDEX(EH:EH,MIN(IF(ISNUMBER(EH48:EH244),ROW(EH48:EH244),"")))</f>
        <v>9.8000000000000007</v>
      </c>
      <c r="EJ48" s="12">
        <f>IF('Données projet'!$A$192&gt;35,EJ47+EI48-ER47,IF(A48&lt;'Données projet'!$A$192,$EG$205^A48,IF(A48='Données projet'!$A$192,'Données projet'!$B$192,EJ47+EI48-ER47)))</f>
        <v>242.00000000000006</v>
      </c>
      <c r="EK48" s="17">
        <f>EJ48*VLOOKUP('Données projet'!$B$15,Paramètres!$A$1:$I$89,3,0)*VLOOKUP('Données projet'!$B$15,Paramètres!$A$1:$I$89,5,0)</f>
        <v>196.31040000000004</v>
      </c>
      <c r="EL48" s="13">
        <f t="shared" si="45"/>
        <v>48.932428681108973</v>
      </c>
      <c r="EM48" s="20">
        <f t="shared" si="19"/>
        <v>427.13125995293154</v>
      </c>
      <c r="EN48" s="57">
        <f t="shared" si="20"/>
        <v>720.46459328626486</v>
      </c>
      <c r="EO48" s="57">
        <f ca="1">AVERAGE(OFFSET($EN$3,0,0,'Données projet'!$E$15+1,1))-AVERAGE(OFFSET($H$3,0,0,'Données projet'!$E$15+1,1))</f>
        <v>250.90550982248311</v>
      </c>
      <c r="EP48" s="57">
        <f t="shared" si="46"/>
        <v>254.68874167908001</v>
      </c>
      <c r="EQ48" s="15">
        <f>IF(ISNA(VLOOKUP(A48,'Données projet'!$A$191:$I$211,3,0)),0,VLOOKUP(A48,'Données projet'!$A$191:$I$211,3,0))</f>
        <v>7</v>
      </c>
      <c r="ER48" s="15">
        <f>IF(ISNA(VLOOKUP(A48,'Données projet'!$A$191:$I$211,4,0)),0,VLOOKUP(A48,'Données projet'!$A$191:$I$211,4,0))</f>
        <v>24</v>
      </c>
      <c r="ES48" s="16">
        <f>IF(ISNA(VLOOKUP(A48,'Données projet'!$A$191:$I$211,5,0)),0%,VLOOKUP(A48,'Données projet'!$A$191:$I$211,5,0)*VLOOKUP('Données projet'!$B$15,Paramètres!$A$1:$I$89,7,0))</f>
        <v>0.43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32.549778405598637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32.549778405598637</v>
      </c>
      <c r="EZ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7" t="e">
        <f t="shared" si="23"/>
        <v>#N/A</v>
      </c>
      <c r="FJ48" s="57" t="e">
        <f ca="1">AVERAGE(OFFSET($FI$3,0,0,'Données projet'!$E$16+1,1))-AVERAGE(OFFSET($H$3,0,0,'Données projet'!$E$16+1,1))</f>
        <v>#N/A</v>
      </c>
      <c r="FK48" s="57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7" t="e">
        <f t="shared" si="26"/>
        <v>#N/A</v>
      </c>
      <c r="GE48" s="57" t="e">
        <f ca="1">AVERAGE(OFFSET($GD$3,0,0,'Données projet'!$E$17+1,1))-AVERAGE(OFFSET($H$3,0,0,'Données projet'!$E$17+1,1))</f>
        <v>#N/A</v>
      </c>
      <c r="GF48" s="57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7" t="e">
        <f t="shared" si="29"/>
        <v>#N/A</v>
      </c>
      <c r="GZ48" s="57" t="e">
        <f ca="1">AVERAGE(OFFSET($GY$3,0,0,'Données projet'!$E$18+1,1))-AVERAGE(OFFSET($H$3,0,0,'Données projet'!$E$18+1,1))</f>
        <v>#N/A</v>
      </c>
      <c r="HA48" s="57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0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4">
        <f t="shared" si="1"/>
        <v>384.30655193003344</v>
      </c>
      <c r="I49" s="6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157.52880000000005</v>
      </c>
      <c r="P49" s="13">
        <f t="shared" si="33"/>
        <v>40.284625411479013</v>
      </c>
      <c r="Q49" s="20">
        <f t="shared" si="53"/>
        <v>344.52504925832596</v>
      </c>
      <c r="R49" s="57">
        <f t="shared" si="0"/>
        <v>637.85838259165928</v>
      </c>
      <c r="S49" s="57">
        <f ca="1">AVERAGE(OFFSET($R$3,0,0,'Données projet'!$E$9+1,1))-AVERAGE(OFFSET($H$3,0,0,'Données projet'!$E$9+1,1))</f>
        <v>267.44861001389006</v>
      </c>
      <c r="T49" s="57">
        <f t="shared" si="34"/>
        <v>165.25921510802965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29.965832852400467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29.965832852400467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187.00000000000003</v>
      </c>
      <c r="AJ49" s="13">
        <f>AI49*VLOOKUP('Données projet'!$B$10,Paramètres!$A$1:$I$89,3,0)*VLOOKUP('Données projet'!$B$10,Paramètres!$A$1:$I$89,5,0)</f>
        <v>169.19760000000002</v>
      </c>
      <c r="AK49" s="13">
        <f t="shared" si="35"/>
        <v>42.910263223432885</v>
      </c>
      <c r="AL49" s="20">
        <f t="shared" si="4"/>
        <v>369.42119511414558</v>
      </c>
      <c r="AM49" s="57">
        <f t="shared" si="5"/>
        <v>662.75452844747883</v>
      </c>
      <c r="AN49" s="57">
        <f ca="1">AVERAGE(OFFSET($AM$3,0,0,'Données projet'!$E$10+1,1))-AVERAGE(OFFSET($H$3,0,0,'Données projet'!$E$10+1,1))</f>
        <v>294.92430430387071</v>
      </c>
      <c r="AO49" s="57">
        <f t="shared" si="36"/>
        <v>181.52228471516497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32.185524174800491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32.185524174800491</v>
      </c>
      <c r="AY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183.81792000000007</v>
      </c>
      <c r="BF49" s="13">
        <f t="shared" si="37"/>
        <v>46.170562638655326</v>
      </c>
      <c r="BG49" s="20">
        <f t="shared" si="7"/>
        <v>400.56327392899146</v>
      </c>
      <c r="BH49" s="57">
        <f t="shared" si="8"/>
        <v>693.89660726232478</v>
      </c>
      <c r="BI49" s="57">
        <f ca="1">AVERAGE(OFFSET($BH$3,0,0,'Données projet'!$E$11+1,1))-AVERAGE(OFFSET($H$3,0,0,'Données projet'!$E$11+1,1))</f>
        <v>250.90550982248311</v>
      </c>
      <c r="BJ49" s="57">
        <f t="shared" si="38"/>
        <v>254.68874167908001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31.911497104469316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31.911497104469316</v>
      </c>
      <c r="BT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20.399999999999999</v>
      </c>
      <c r="BY49" s="12">
        <f>IF('Données projet'!$A$114&gt;35,BY48+BX49-CG48,IF(A49&lt;'Données projet'!$A$114,$BV$205^A49,IF(A49='Données projet'!$A$114,'Données projet'!$B$114,BY48+BX49-CG48)))</f>
        <v>642.39999999999964</v>
      </c>
      <c r="BZ49" s="13">
        <f>BY49*VLOOKUP('Données projet'!$B$12,Paramètres!$A$1:$I$89,3,0)*VLOOKUP('Données projet'!$B$12,Paramètres!$A$1:$I$89,5,0)</f>
        <v>359.10159999999985</v>
      </c>
      <c r="CA49" s="13">
        <f t="shared" si="39"/>
        <v>83.433815871723468</v>
      </c>
      <c r="CB49" s="20">
        <f t="shared" si="10"/>
        <v>770.74918264325152</v>
      </c>
      <c r="CC49" s="57">
        <f t="shared" si="11"/>
        <v>1064.0825159765848</v>
      </c>
      <c r="CD49" s="57">
        <f ca="1">AVERAGE(OFFSET($CC$3,0,0,'Données projet'!$E$12+1,1))-AVERAGE(OFFSET($H$3,0,0,'Données projet'!$E$12+1,1))</f>
        <v>462.54745364638171</v>
      </c>
      <c r="CE49" s="57">
        <f t="shared" si="40"/>
        <v>571.50914830067313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77.09389557120501</v>
      </c>
      <c r="CL49" s="21">
        <f>EXP(-LN(2)/25)*CL48+(1-EXP(-LN(2)/25))/(LN(2)/25)*Calculateur!CG49*Calculateur!CI49*VLOOKUP('Données projet'!$B$12,Paramètres!$A$1:$I$89,3,0)*0.475*44/12</f>
        <v>37.079235560661452</v>
      </c>
      <c r="CM49" s="21">
        <f>EXP(-LN(2)/2)*CM48+(1-EXP(-LN(2)/2))/(LN(2)/2)*CG49*CJ49*VLOOKUP('Données projet'!$B$12,Paramètres!$A$1:$I$89,3,0)*0.475*44/12</f>
        <v>3.322200651323692E-3</v>
      </c>
      <c r="CN49" s="22">
        <f t="shared" si="12"/>
        <v>114.17645333251778</v>
      </c>
      <c r="CO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7.2</v>
      </c>
      <c r="CT49" s="12">
        <f>IF('Données projet'!$A$140&gt;35,CT48+CS49-DB48,IF(A49&lt;'Données projet'!$A$140,$CQ$205^A49,IF(A49='Données projet'!$A$140,'Données projet'!$B$140,CT48+CS49-DB48)))</f>
        <v>220.20000000000002</v>
      </c>
      <c r="CU49" s="17">
        <f>CT49*VLOOKUP('Données projet'!$B$13,Paramètres!$A$1:$I$89,3,0)*VLOOKUP('Données projet'!$B$13,Paramètres!$A$1:$I$89,5,0)</f>
        <v>209.54232000000002</v>
      </c>
      <c r="CV49" s="13">
        <f t="shared" si="41"/>
        <v>51.835558406813547</v>
      </c>
      <c r="CW49" s="20">
        <f t="shared" si="13"/>
        <v>455.23313822520032</v>
      </c>
      <c r="CX49" s="57">
        <f t="shared" si="14"/>
        <v>748.56647155853364</v>
      </c>
      <c r="CY49" s="57">
        <f ca="1">AVERAGE(OFFSET($CX$3,0,0,'Données projet'!$E$13+1,1))-AVERAGE(OFFSET($H$3,0,0,'Données projet'!$E$13+1,1))</f>
        <v>314.67680626853303</v>
      </c>
      <c r="CZ49" s="57">
        <f t="shared" si="42"/>
        <v>372.57247561536263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35.904372492271882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35.904372492271882</v>
      </c>
      <c r="DJ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8.6</v>
      </c>
      <c r="DO49" s="12">
        <f>IF('Données projet'!$A$166&gt;35,DO48+DN49-DW48,IF(A49&lt;'Données projet'!$A$166,$DL$205^A49,IF(A49='Données projet'!$A$166,'Données projet'!$B$166,DO48+DN49-DW48)))</f>
        <v>226.60000000000005</v>
      </c>
      <c r="DP49" s="17">
        <f>DO49*VLOOKUP('Données projet'!$B$14,Paramètres!$A$1:$I$89,3,0)*VLOOKUP('Données projet'!$B$14,Paramètres!$A$1:$I$89,5,0)</f>
        <v>148.46832000000003</v>
      </c>
      <c r="DQ49" s="13">
        <f t="shared" si="43"/>
        <v>38.230298193326924</v>
      </c>
      <c r="DR49" s="20">
        <f t="shared" si="16"/>
        <v>325.16676002004442</v>
      </c>
      <c r="DS49" s="57">
        <f t="shared" si="17"/>
        <v>618.50009335337768</v>
      </c>
      <c r="DT49" s="57">
        <f ca="1">AVERAGE(OFFSET($DS$3,0,0,'Données projet'!$E$14+1,1))-AVERAGE(OFFSET($H$3,0,0,'Données projet'!$E$14+1,1))</f>
        <v>188.80259324758066</v>
      </c>
      <c r="DU49" s="57">
        <f t="shared" si="44"/>
        <v>195.48048518255354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25.774670738225222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25.774670738225222</v>
      </c>
      <c r="EE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8.6</v>
      </c>
      <c r="EJ49" s="12">
        <f>IF('Données projet'!$A$192&gt;35,EJ48+EI49-ER48,IF(A49&lt;'Données projet'!$A$192,$EG$205^A49,IF(A49='Données projet'!$A$192,'Données projet'!$B$192,EJ48+EI49-ER48)))</f>
        <v>226.60000000000005</v>
      </c>
      <c r="EK49" s="17">
        <f>EJ49*VLOOKUP('Données projet'!$B$15,Paramètres!$A$1:$I$89,3,0)*VLOOKUP('Données projet'!$B$15,Paramètres!$A$1:$I$89,5,0)</f>
        <v>183.81792000000007</v>
      </c>
      <c r="EL49" s="13">
        <f t="shared" si="45"/>
        <v>46.170562638655326</v>
      </c>
      <c r="EM49" s="20">
        <f t="shared" si="19"/>
        <v>400.56327392899146</v>
      </c>
      <c r="EN49" s="57">
        <f t="shared" si="20"/>
        <v>693.89660726232478</v>
      </c>
      <c r="EO49" s="57">
        <f ca="1">AVERAGE(OFFSET($EN$3,0,0,'Données projet'!$E$15+1,1))-AVERAGE(OFFSET($H$3,0,0,'Données projet'!$E$15+1,1))</f>
        <v>250.90550982248311</v>
      </c>
      <c r="EP49" s="57">
        <f t="shared" si="46"/>
        <v>254.68874167908001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31.911497104469316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31.911497104469316</v>
      </c>
      <c r="EZ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7" t="e">
        <f t="shared" si="23"/>
        <v>#N/A</v>
      </c>
      <c r="FJ49" s="57" t="e">
        <f ca="1">AVERAGE(OFFSET($FI$3,0,0,'Données projet'!$E$16+1,1))-AVERAGE(OFFSET($H$3,0,0,'Données projet'!$E$16+1,1))</f>
        <v>#N/A</v>
      </c>
      <c r="FK49" s="57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7" t="e">
        <f t="shared" si="26"/>
        <v>#N/A</v>
      </c>
      <c r="GE49" s="57" t="e">
        <f ca="1">AVERAGE(OFFSET($GD$3,0,0,'Données projet'!$E$17+1,1))-AVERAGE(OFFSET($H$3,0,0,'Données projet'!$E$17+1,1))</f>
        <v>#N/A</v>
      </c>
      <c r="GF49" s="57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7" t="e">
        <f t="shared" si="29"/>
        <v>#N/A</v>
      </c>
      <c r="GZ49" s="57" t="e">
        <f ca="1">AVERAGE(OFFSET($GY$3,0,0,'Données projet'!$E$18+1,1))-AVERAGE(OFFSET($H$3,0,0,'Données projet'!$E$18+1,1))</f>
        <v>#N/A</v>
      </c>
      <c r="HA49" s="57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0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4">
        <f t="shared" si="1"/>
        <v>386.23062784445153</v>
      </c>
      <c r="I50" s="6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166.79520000000002</v>
      </c>
      <c r="P50" s="13">
        <f t="shared" si="33"/>
        <v>42.371461898472788</v>
      </c>
      <c r="Q50" s="20">
        <f t="shared" si="53"/>
        <v>364.29860280650678</v>
      </c>
      <c r="R50" s="57">
        <f t="shared" si="0"/>
        <v>657.63193613984004</v>
      </c>
      <c r="S50" s="57">
        <f ca="1">AVERAGE(OFFSET($R$3,0,0,'Données projet'!$E$9+1,1))-AVERAGE(OFFSET($H$3,0,0,'Données projet'!$E$9+1,1))</f>
        <v>267.44861001389006</v>
      </c>
      <c r="T50" s="57">
        <f t="shared" si="34"/>
        <v>165.25921510802965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29.378221147518197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29.378221147518197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198.00000000000003</v>
      </c>
      <c r="AJ50" s="13">
        <f>AI50*VLOOKUP('Données projet'!$B$10,Paramètres!$A$1:$I$89,3,0)*VLOOKUP('Données projet'!$B$10,Paramètres!$A$1:$I$89,5,0)</f>
        <v>179.15040000000002</v>
      </c>
      <c r="AK50" s="13">
        <f t="shared" si="35"/>
        <v>45.133113803437304</v>
      </c>
      <c r="AL50" s="20">
        <f t="shared" si="4"/>
        <v>390.62711987431999</v>
      </c>
      <c r="AM50" s="57">
        <f t="shared" si="5"/>
        <v>683.96045320765325</v>
      </c>
      <c r="AN50" s="57">
        <f ca="1">AVERAGE(OFFSET($AM$3,0,0,'Données projet'!$E$10+1,1))-AVERAGE(OFFSET($H$3,0,0,'Données projet'!$E$10+1,1))</f>
        <v>294.92430430387071</v>
      </c>
      <c r="AO50" s="57">
        <f t="shared" si="36"/>
        <v>181.52228471516497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31.554385676963978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31.554385676963978</v>
      </c>
      <c r="AY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190.79424000000006</v>
      </c>
      <c r="BF50" s="13">
        <f t="shared" si="37"/>
        <v>47.715505384501149</v>
      </c>
      <c r="BG50" s="20">
        <f t="shared" si="7"/>
        <v>415.40447321133956</v>
      </c>
      <c r="BH50" s="57">
        <f t="shared" si="8"/>
        <v>708.73780654467282</v>
      </c>
      <c r="BI50" s="57">
        <f ca="1">AVERAGE(OFFSET($BH$3,0,0,'Données projet'!$E$11+1,1))-AVERAGE(OFFSET($H$3,0,0,'Données projet'!$E$11+1,1))</f>
        <v>250.90550982248311</v>
      </c>
      <c r="BJ50" s="57">
        <f t="shared" si="38"/>
        <v>254.68874167908001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31.285732110341986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31.285732110341986</v>
      </c>
      <c r="BT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20.399999999999999</v>
      </c>
      <c r="BY50" s="12">
        <f>IF('Données projet'!$A$114&gt;35,BY49+BX50-CG49,IF(A50&lt;'Données projet'!$A$114,$BV$205^A50,IF(A50='Données projet'!$A$114,'Données projet'!$B$114,BY49+BX50-CG49)))</f>
        <v>662.79999999999961</v>
      </c>
      <c r="BZ50" s="13">
        <f>BY50*VLOOKUP('Données projet'!$B$12,Paramètres!$A$1:$I$89,3,0)*VLOOKUP('Données projet'!$B$12,Paramètres!$A$1:$I$89,5,0)</f>
        <v>370.50519999999983</v>
      </c>
      <c r="CA50" s="13">
        <f t="shared" si="39"/>
        <v>85.770652719303072</v>
      </c>
      <c r="CB50" s="20">
        <f t="shared" si="10"/>
        <v>794.6804434861192</v>
      </c>
      <c r="CC50" s="57">
        <f t="shared" si="11"/>
        <v>1088.0137768194525</v>
      </c>
      <c r="CD50" s="57">
        <f ca="1">AVERAGE(OFFSET($CC$3,0,0,'Données projet'!$E$12+1,1))-AVERAGE(OFFSET($H$3,0,0,'Données projet'!$E$12+1,1))</f>
        <v>462.54745364638171</v>
      </c>
      <c r="CE50" s="57">
        <f t="shared" si="40"/>
        <v>571.50914830067313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75.582131301686886</v>
      </c>
      <c r="CL50" s="21">
        <f>EXP(-LN(2)/25)*CL49+(1-EXP(-LN(2)/25))/(LN(2)/25)*Calculateur!CG50*Calculateur!CI50*VLOOKUP('Données projet'!$B$12,Paramètres!$A$1:$I$89,3,0)*0.475*44/12</f>
        <v>36.065301914342911</v>
      </c>
      <c r="CM50" s="21">
        <f>EXP(-LN(2)/2)*CM49+(1-EXP(-LN(2)/2))/(LN(2)/2)*CG50*CJ50*VLOOKUP('Données projet'!$B$12,Paramètres!$A$1:$I$89,3,0)*0.475*44/12</f>
        <v>2.3491506090133475E-3</v>
      </c>
      <c r="CN50" s="22">
        <f t="shared" si="12"/>
        <v>111.6497823666388</v>
      </c>
      <c r="CO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7.2</v>
      </c>
      <c r="CT50" s="12">
        <f>IF('Données projet'!$A$140&gt;35,CT49+CS50-DB49,IF(A50&lt;'Données projet'!$A$140,$CQ$205^A50,IF(A50='Données projet'!$A$140,'Données projet'!$B$140,CT49+CS50-DB49)))</f>
        <v>227.4</v>
      </c>
      <c r="CU50" s="17">
        <f>CT50*VLOOKUP('Données projet'!$B$13,Paramètres!$A$1:$I$89,3,0)*VLOOKUP('Données projet'!$B$13,Paramètres!$A$1:$I$89,5,0)</f>
        <v>216.39384000000001</v>
      </c>
      <c r="CV50" s="13">
        <f t="shared" si="41"/>
        <v>53.330352339128915</v>
      </c>
      <c r="CW50" s="20">
        <f t="shared" si="13"/>
        <v>469.76963499064959</v>
      </c>
      <c r="CX50" s="57">
        <f t="shared" si="14"/>
        <v>763.10296832398285</v>
      </c>
      <c r="CY50" s="57">
        <f ca="1">AVERAGE(OFFSET($CX$3,0,0,'Données projet'!$E$13+1,1))-AVERAGE(OFFSET($H$3,0,0,'Données projet'!$E$13+1,1))</f>
        <v>314.67680626853303</v>
      </c>
      <c r="CZ50" s="57">
        <f t="shared" si="42"/>
        <v>372.57247561536263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35.200309647203255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35.200309647203255</v>
      </c>
      <c r="DJ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8.6</v>
      </c>
      <c r="DO50" s="12">
        <f>IF('Données projet'!$A$166&gt;35,DO49+DN50-DW49,IF(A50&lt;'Données projet'!$A$166,$DL$205^A50,IF(A50='Données projet'!$A$166,'Données projet'!$B$166,DO49+DN50-DW49)))</f>
        <v>235.20000000000005</v>
      </c>
      <c r="DP50" s="17">
        <f>DO50*VLOOKUP('Données projet'!$B$14,Paramètres!$A$1:$I$89,3,0)*VLOOKUP('Données projet'!$B$14,Paramètres!$A$1:$I$89,5,0)</f>
        <v>154.10304000000005</v>
      </c>
      <c r="DQ50" s="13">
        <f t="shared" si="43"/>
        <v>39.509546668758176</v>
      </c>
      <c r="DR50" s="20">
        <f t="shared" si="16"/>
        <v>337.20858844808726</v>
      </c>
      <c r="DS50" s="57">
        <f t="shared" si="17"/>
        <v>630.54192178142057</v>
      </c>
      <c r="DT50" s="57">
        <f ca="1">AVERAGE(OFFSET($DS$3,0,0,'Données projet'!$E$14+1,1))-AVERAGE(OFFSET($H$3,0,0,'Données projet'!$E$14+1,1))</f>
        <v>188.80259324758066</v>
      </c>
      <c r="DU50" s="57">
        <f t="shared" si="44"/>
        <v>195.48048518255354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25.269245166045454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25.269245166045454</v>
      </c>
      <c r="EE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8.6</v>
      </c>
      <c r="EJ50" s="12">
        <f>IF('Données projet'!$A$192&gt;35,EJ49+EI50-ER49,IF(A50&lt;'Données projet'!$A$192,$EG$205^A50,IF(A50='Données projet'!$A$192,'Données projet'!$B$192,EJ49+EI50-ER49)))</f>
        <v>235.20000000000005</v>
      </c>
      <c r="EK50" s="17">
        <f>EJ50*VLOOKUP('Données projet'!$B$15,Paramètres!$A$1:$I$89,3,0)*VLOOKUP('Données projet'!$B$15,Paramètres!$A$1:$I$89,5,0)</f>
        <v>190.79424000000006</v>
      </c>
      <c r="EL50" s="13">
        <f t="shared" si="45"/>
        <v>47.715505384501149</v>
      </c>
      <c r="EM50" s="20">
        <f t="shared" si="19"/>
        <v>415.40447321133956</v>
      </c>
      <c r="EN50" s="57">
        <f t="shared" si="20"/>
        <v>708.73780654467282</v>
      </c>
      <c r="EO50" s="57">
        <f ca="1">AVERAGE(OFFSET($EN$3,0,0,'Données projet'!$E$15+1,1))-AVERAGE(OFFSET($H$3,0,0,'Données projet'!$E$15+1,1))</f>
        <v>250.90550982248311</v>
      </c>
      <c r="EP50" s="57">
        <f t="shared" si="46"/>
        <v>254.68874167908001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31.285732110341986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31.285732110341986</v>
      </c>
      <c r="EZ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7" t="e">
        <f t="shared" si="23"/>
        <v>#N/A</v>
      </c>
      <c r="FJ50" s="57" t="e">
        <f ca="1">AVERAGE(OFFSET($FI$3,0,0,'Données projet'!$E$16+1,1))-AVERAGE(OFFSET($H$3,0,0,'Données projet'!$E$16+1,1))</f>
        <v>#N/A</v>
      </c>
      <c r="FK50" s="57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7" t="e">
        <f t="shared" si="26"/>
        <v>#N/A</v>
      </c>
      <c r="GE50" s="57" t="e">
        <f ca="1">AVERAGE(OFFSET($GD$3,0,0,'Données projet'!$E$17+1,1))-AVERAGE(OFFSET($H$3,0,0,'Données projet'!$E$17+1,1))</f>
        <v>#N/A</v>
      </c>
      <c r="GF50" s="57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7" t="e">
        <f t="shared" si="29"/>
        <v>#N/A</v>
      </c>
      <c r="GZ50" s="57" t="e">
        <f ca="1">AVERAGE(OFFSET($GY$3,0,0,'Données projet'!$E$18+1,1))-AVERAGE(OFFSET($H$3,0,0,'Données projet'!$E$18+1,1))</f>
        <v>#N/A</v>
      </c>
      <c r="HA50" s="57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0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4">
        <f t="shared" si="1"/>
        <v>388.15370794471403</v>
      </c>
      <c r="I51" s="6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176.06160000000006</v>
      </c>
      <c r="P51" s="13">
        <f t="shared" si="33"/>
        <v>44.444839741138928</v>
      </c>
      <c r="Q51" s="20">
        <f t="shared" si="53"/>
        <v>384.04871588248369</v>
      </c>
      <c r="R51" s="57">
        <f t="shared" si="0"/>
        <v>677.38204921581701</v>
      </c>
      <c r="S51" s="57">
        <f ca="1">AVERAGE(OFFSET($R$3,0,0,'Données projet'!$E$9+1,1))-AVERAGE(OFFSET($H$3,0,0,'Données projet'!$E$9+1,1))</f>
        <v>267.44861001389006</v>
      </c>
      <c r="T51" s="57">
        <f t="shared" si="34"/>
        <v>165.25921510802965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28.802132149760915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28.802132149760915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209.00000000000003</v>
      </c>
      <c r="AJ51" s="13">
        <f>AI51*VLOOKUP('Données projet'!$B$10,Paramètres!$A$1:$I$89,3,0)*VLOOKUP('Données projet'!$B$10,Paramètres!$A$1:$I$89,5,0)</f>
        <v>189.10320000000002</v>
      </c>
      <c r="AK51" s="13">
        <f t="shared" si="35"/>
        <v>47.34162854278712</v>
      </c>
      <c r="AL51" s="20">
        <f t="shared" si="4"/>
        <v>411.80807637868764</v>
      </c>
      <c r="AM51" s="57">
        <f t="shared" si="5"/>
        <v>705.14140971202096</v>
      </c>
      <c r="AN51" s="57">
        <f ca="1">AVERAGE(OFFSET($AM$3,0,0,'Données projet'!$E$10+1,1))-AVERAGE(OFFSET($H$3,0,0,'Données projet'!$E$10+1,1))</f>
        <v>294.92430430387071</v>
      </c>
      <c r="AO51" s="57">
        <f t="shared" si="36"/>
        <v>181.52228471516497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30.935623420113565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30.935623420113565</v>
      </c>
      <c r="AY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197.77056000000005</v>
      </c>
      <c r="BF51" s="13">
        <f t="shared" si="37"/>
        <v>49.253885093250254</v>
      </c>
      <c r="BG51" s="20">
        <f t="shared" si="7"/>
        <v>430.23424187074426</v>
      </c>
      <c r="BH51" s="57">
        <f t="shared" si="8"/>
        <v>723.56757520407757</v>
      </c>
      <c r="BI51" s="57">
        <f ca="1">AVERAGE(OFFSET($BH$3,0,0,'Données projet'!$E$11+1,1))-AVERAGE(OFFSET($H$3,0,0,'Données projet'!$E$11+1,1))</f>
        <v>250.90550982248311</v>
      </c>
      <c r="BJ51" s="57">
        <f t="shared" si="38"/>
        <v>254.68874167908001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30.672237986070535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30.672237986070535</v>
      </c>
      <c r="BT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20.399999999999999</v>
      </c>
      <c r="BY51" s="12">
        <f>IF('Données projet'!$A$114&gt;35,BY50+BX51-CG50,IF(A51&lt;'Données projet'!$A$114,$BV$205^A51,IF(A51='Données projet'!$A$114,'Données projet'!$B$114,BY50+BX51-CG50)))</f>
        <v>683.19999999999959</v>
      </c>
      <c r="BZ51" s="13">
        <f>BY51*VLOOKUP('Données projet'!$B$12,Paramètres!$A$1:$I$89,3,0)*VLOOKUP('Données projet'!$B$12,Paramètres!$A$1:$I$89,5,0)</f>
        <v>381.90879999999981</v>
      </c>
      <c r="CA51" s="13">
        <f t="shared" si="39"/>
        <v>88.099131154986978</v>
      </c>
      <c r="CB51" s="20">
        <f t="shared" si="10"/>
        <v>818.59714676160195</v>
      </c>
      <c r="CC51" s="57">
        <f t="shared" si="11"/>
        <v>1111.9304800949353</v>
      </c>
      <c r="CD51" s="57">
        <f ca="1">AVERAGE(OFFSET($CC$3,0,0,'Données projet'!$E$12+1,1))-AVERAGE(OFFSET($H$3,0,0,'Données projet'!$E$12+1,1))</f>
        <v>462.54745364638171</v>
      </c>
      <c r="CE51" s="57">
        <f t="shared" si="40"/>
        <v>571.50914830067313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74.100011807408848</v>
      </c>
      <c r="CL51" s="21">
        <f>EXP(-LN(2)/25)*CL50+(1-EXP(-LN(2)/25))/(LN(2)/25)*Calculateur!CG51*Calculateur!CI51*VLOOKUP('Données projet'!$B$12,Paramètres!$A$1:$I$89,3,0)*0.475*44/12</f>
        <v>35.079094336903403</v>
      </c>
      <c r="CM51" s="21">
        <f>EXP(-LN(2)/2)*CM50+(1-EXP(-LN(2)/2))/(LN(2)/2)*CG51*CJ51*VLOOKUP('Données projet'!$B$12,Paramètres!$A$1:$I$89,3,0)*0.475*44/12</f>
        <v>1.661100325661846E-3</v>
      </c>
      <c r="CN51" s="22">
        <f t="shared" si="12"/>
        <v>109.18076724463791</v>
      </c>
      <c r="CO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7.2</v>
      </c>
      <c r="CT51" s="12">
        <f>IF('Données projet'!$A$140&gt;35,CT50+CS51-DB50,IF(A51&lt;'Données projet'!$A$140,$CQ$205^A51,IF(A51='Données projet'!$A$140,'Données projet'!$B$140,CT50+CS51-DB50)))</f>
        <v>234.6</v>
      </c>
      <c r="CU51" s="17">
        <f>CT51*VLOOKUP('Données projet'!$B$13,Paramètres!$A$1:$I$89,3,0)*VLOOKUP('Données projet'!$B$13,Paramètres!$A$1:$I$89,5,0)</f>
        <v>223.24536000000001</v>
      </c>
      <c r="CV51" s="13">
        <f t="shared" si="41"/>
        <v>54.81964639459116</v>
      </c>
      <c r="CW51" s="20">
        <f t="shared" si="13"/>
        <v>484.29655280391285</v>
      </c>
      <c r="CX51" s="57">
        <f t="shared" si="14"/>
        <v>777.6298861372461</v>
      </c>
      <c r="CY51" s="57">
        <f ca="1">AVERAGE(OFFSET($CX$3,0,0,'Données projet'!$E$13+1,1))-AVERAGE(OFFSET($H$3,0,0,'Données projet'!$E$13+1,1))</f>
        <v>314.67680626853303</v>
      </c>
      <c r="CZ51" s="57">
        <f t="shared" si="42"/>
        <v>372.57247561536263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34.510053045090494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34.510053045090494</v>
      </c>
      <c r="DJ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8.6</v>
      </c>
      <c r="DO51" s="12">
        <f>IF('Données projet'!$A$166&gt;35,DO50+DN51-DW50,IF(A51&lt;'Données projet'!$A$166,$DL$205^A51,IF(A51='Données projet'!$A$166,'Données projet'!$B$166,DO50+DN51-DW50)))</f>
        <v>243.80000000000004</v>
      </c>
      <c r="DP51" s="17">
        <f>DO51*VLOOKUP('Données projet'!$B$14,Paramètres!$A$1:$I$89,3,0)*VLOOKUP('Données projet'!$B$14,Paramètres!$A$1:$I$89,5,0)</f>
        <v>159.73776000000004</v>
      </c>
      <c r="DQ51" s="13">
        <f t="shared" si="43"/>
        <v>40.783360797044367</v>
      </c>
      <c r="DR51" s="20">
        <f t="shared" si="16"/>
        <v>349.24095205485236</v>
      </c>
      <c r="DS51" s="57">
        <f t="shared" si="17"/>
        <v>642.57428538818567</v>
      </c>
      <c r="DT51" s="57">
        <f ca="1">AVERAGE(OFFSET($DS$3,0,0,'Données projet'!$E$14+1,1))-AVERAGE(OFFSET($H$3,0,0,'Données projet'!$E$14+1,1))</f>
        <v>188.80259324758066</v>
      </c>
      <c r="DU51" s="57">
        <f t="shared" si="44"/>
        <v>195.48048518255354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24.773730681056975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24.773730681056975</v>
      </c>
      <c r="EE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8.6</v>
      </c>
      <c r="EJ51" s="12">
        <f>IF('Données projet'!$A$192&gt;35,EJ50+EI51-ER50,IF(A51&lt;'Données projet'!$A$192,$EG$205^A51,IF(A51='Données projet'!$A$192,'Données projet'!$B$192,EJ50+EI51-ER50)))</f>
        <v>243.80000000000004</v>
      </c>
      <c r="EK51" s="17">
        <f>EJ51*VLOOKUP('Données projet'!$B$15,Paramètres!$A$1:$I$89,3,0)*VLOOKUP('Données projet'!$B$15,Paramètres!$A$1:$I$89,5,0)</f>
        <v>197.77056000000005</v>
      </c>
      <c r="EL51" s="13">
        <f t="shared" si="45"/>
        <v>49.253885093250254</v>
      </c>
      <c r="EM51" s="20">
        <f t="shared" si="19"/>
        <v>430.23424187074426</v>
      </c>
      <c r="EN51" s="57">
        <f t="shared" si="20"/>
        <v>723.56757520407757</v>
      </c>
      <c r="EO51" s="57">
        <f ca="1">AVERAGE(OFFSET($EN$3,0,0,'Données projet'!$E$15+1,1))-AVERAGE(OFFSET($H$3,0,0,'Données projet'!$E$15+1,1))</f>
        <v>250.90550982248311</v>
      </c>
      <c r="EP51" s="57">
        <f t="shared" si="46"/>
        <v>254.68874167908001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30.672237986070535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30.672237986070535</v>
      </c>
      <c r="EZ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7" t="e">
        <f t="shared" si="23"/>
        <v>#N/A</v>
      </c>
      <c r="FJ51" s="57" t="e">
        <f ca="1">AVERAGE(OFFSET($FI$3,0,0,'Données projet'!$E$16+1,1))-AVERAGE(OFFSET($H$3,0,0,'Données projet'!$E$16+1,1))</f>
        <v>#N/A</v>
      </c>
      <c r="FK51" s="57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7" t="e">
        <f t="shared" si="26"/>
        <v>#N/A</v>
      </c>
      <c r="GE51" s="57" t="e">
        <f ca="1">AVERAGE(OFFSET($GD$3,0,0,'Données projet'!$E$17+1,1))-AVERAGE(OFFSET($H$3,0,0,'Données projet'!$E$17+1,1))</f>
        <v>#N/A</v>
      </c>
      <c r="GF51" s="57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7" t="e">
        <f t="shared" si="29"/>
        <v>#N/A</v>
      </c>
      <c r="GZ51" s="57" t="e">
        <f ca="1">AVERAGE(OFFSET($GY$3,0,0,'Données projet'!$E$18+1,1))-AVERAGE(OFFSET($H$3,0,0,'Données projet'!$E$18+1,1))</f>
        <v>#N/A</v>
      </c>
      <c r="HA51" s="57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0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4">
        <f t="shared" si="1"/>
        <v>390.07581536711751</v>
      </c>
      <c r="I52" s="6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185.32800000000006</v>
      </c>
      <c r="P52" s="13">
        <f t="shared" si="33"/>
        <v>46.505548070897625</v>
      </c>
      <c r="Q52" s="20">
        <f t="shared" si="53"/>
        <v>403.77676289014676</v>
      </c>
      <c r="R52" s="57">
        <f t="shared" si="0"/>
        <v>697.11009622348001</v>
      </c>
      <c r="S52" s="57">
        <f ca="1">AVERAGE(OFFSET($R$3,0,0,'Données projet'!$E$9+1,1))-AVERAGE(OFFSET($H$3,0,0,'Données projet'!$E$9+1,1))</f>
        <v>267.44861001389006</v>
      </c>
      <c r="T52" s="57">
        <f t="shared" si="34"/>
        <v>165.25921510802965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28.237339905870062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28.237339905870062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220.00000000000003</v>
      </c>
      <c r="AJ52" s="13">
        <f>AI52*VLOOKUP('Données projet'!$B$10,Paramètres!$A$1:$I$89,3,0)*VLOOKUP('Données projet'!$B$10,Paramètres!$A$1:$I$89,5,0)</f>
        <v>199.05600000000001</v>
      </c>
      <c r="AK52" s="13">
        <f t="shared" si="35"/>
        <v>49.536648006253934</v>
      </c>
      <c r="AL52" s="20">
        <f t="shared" si="4"/>
        <v>432.96552861089231</v>
      </c>
      <c r="AM52" s="57">
        <f t="shared" si="5"/>
        <v>726.29886194422556</v>
      </c>
      <c r="AN52" s="57">
        <f ca="1">AVERAGE(OFFSET($AM$3,0,0,'Données projet'!$E$10+1,1))-AVERAGE(OFFSET($H$3,0,0,'Données projet'!$E$10+1,1))</f>
        <v>294.92430430387071</v>
      </c>
      <c r="AO52" s="57">
        <f t="shared" si="36"/>
        <v>181.52228471516497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30.328994713712277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30.328994713712277</v>
      </c>
      <c r="AY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204.74688000000003</v>
      </c>
      <c r="BF52" s="13">
        <f t="shared" si="37"/>
        <v>50.785959801489987</v>
      </c>
      <c r="BG52" s="20">
        <f t="shared" si="7"/>
        <v>445.05302932092837</v>
      </c>
      <c r="BH52" s="57">
        <f t="shared" si="8"/>
        <v>738.38636265426169</v>
      </c>
      <c r="BI52" s="57">
        <f ca="1">AVERAGE(OFFSET($BH$3,0,0,'Données projet'!$E$11+1,1))-AVERAGE(OFFSET($H$3,0,0,'Données projet'!$E$11+1,1))</f>
        <v>250.90550982248311</v>
      </c>
      <c r="BJ52" s="57">
        <f t="shared" si="38"/>
        <v>254.68874167908001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30.070774107381581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30.070774107381581</v>
      </c>
      <c r="BT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20.399999999999999</v>
      </c>
      <c r="BY52" s="12">
        <f>IF('Données projet'!$A$114&gt;35,BY51+BX52-CG51,IF(A52&lt;'Données projet'!$A$114,$BV$205^A52,IF(A52='Données projet'!$A$114,'Données projet'!$B$114,BY51+BX52-CG51)))</f>
        <v>703.59999999999957</v>
      </c>
      <c r="BZ52" s="13">
        <f>BY52*VLOOKUP('Données projet'!$B$12,Paramètres!$A$1:$I$89,3,0)*VLOOKUP('Données projet'!$B$12,Paramètres!$A$1:$I$89,5,0)</f>
        <v>393.3123999999998</v>
      </c>
      <c r="CA52" s="13">
        <f t="shared" si="39"/>
        <v>90.419529407700907</v>
      </c>
      <c r="CB52" s="20">
        <f t="shared" si="10"/>
        <v>842.49977705174535</v>
      </c>
      <c r="CC52" s="57">
        <f t="shared" si="11"/>
        <v>1135.8331103850787</v>
      </c>
      <c r="CD52" s="57">
        <f ca="1">AVERAGE(OFFSET($CC$3,0,0,'Données projet'!$E$12+1,1))-AVERAGE(OFFSET($H$3,0,0,'Données projet'!$E$12+1,1))</f>
        <v>462.54745364638171</v>
      </c>
      <c r="CE52" s="57">
        <f t="shared" si="40"/>
        <v>571.50914830067313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72.646955772409981</v>
      </c>
      <c r="CL52" s="21">
        <f>EXP(-LN(2)/25)*CL51+(1-EXP(-LN(2)/25))/(LN(2)/25)*Calculateur!CG52*Calculateur!CI52*VLOOKUP('Données projet'!$B$12,Paramètres!$A$1:$I$89,3,0)*0.475*44/12</f>
        <v>34.119854657531384</v>
      </c>
      <c r="CM52" s="21">
        <f>EXP(-LN(2)/2)*CM51+(1-EXP(-LN(2)/2))/(LN(2)/2)*CG52*CJ52*VLOOKUP('Données projet'!$B$12,Paramètres!$A$1:$I$89,3,0)*0.475*44/12</f>
        <v>1.1745753045066738E-3</v>
      </c>
      <c r="CN52" s="22">
        <f t="shared" si="12"/>
        <v>106.76798500524586</v>
      </c>
      <c r="CO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7.2</v>
      </c>
      <c r="CT52" s="12">
        <f>IF('Données projet'!$A$140&gt;35,CT51+CS52-DB51,IF(A52&lt;'Données projet'!$A$140,$CQ$205^A52,IF(A52='Données projet'!$A$140,'Données projet'!$B$140,CT51+CS52-DB51)))</f>
        <v>241.79999999999998</v>
      </c>
      <c r="CU52" s="17">
        <f>CT52*VLOOKUP('Données projet'!$B$13,Paramètres!$A$1:$I$89,3,0)*VLOOKUP('Données projet'!$B$13,Paramètres!$A$1:$I$89,5,0)</f>
        <v>230.09688</v>
      </c>
      <c r="CV52" s="13">
        <f t="shared" si="41"/>
        <v>56.303628738745964</v>
      </c>
      <c r="CW52" s="20">
        <f t="shared" si="13"/>
        <v>498.81421938664909</v>
      </c>
      <c r="CX52" s="57">
        <f t="shared" si="14"/>
        <v>792.1475527199824</v>
      </c>
      <c r="CY52" s="57">
        <f ca="1">AVERAGE(OFFSET($CX$3,0,0,'Données projet'!$E$13+1,1))-AVERAGE(OFFSET($H$3,0,0,'Données projet'!$E$13+1,1))</f>
        <v>314.67680626853303</v>
      </c>
      <c r="CZ52" s="57">
        <f t="shared" si="42"/>
        <v>372.57247561536263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33.833331953930205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33.833331953930205</v>
      </c>
      <c r="DJ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8.6</v>
      </c>
      <c r="DO52" s="12">
        <f>IF('Données projet'!$A$166&gt;35,DO51+DN52-DW51,IF(A52&lt;'Données projet'!$A$166,$DL$205^A52,IF(A52='Données projet'!$A$166,'Données projet'!$B$166,DO51+DN52-DW51)))</f>
        <v>252.40000000000003</v>
      </c>
      <c r="DP52" s="17">
        <f>DO52*VLOOKUP('Données projet'!$B$14,Paramètres!$A$1:$I$89,3,0)*VLOOKUP('Données projet'!$B$14,Paramètres!$A$1:$I$89,5,0)</f>
        <v>165.37248000000002</v>
      </c>
      <c r="DQ52" s="13">
        <f t="shared" si="43"/>
        <v>42.051954238472845</v>
      </c>
      <c r="DR52" s="20">
        <f t="shared" si="16"/>
        <v>361.26422296534025</v>
      </c>
      <c r="DS52" s="57">
        <f t="shared" si="17"/>
        <v>654.59755629867357</v>
      </c>
      <c r="DT52" s="57">
        <f ca="1">AVERAGE(OFFSET($DS$3,0,0,'Données projet'!$E$14+1,1))-AVERAGE(OFFSET($H$3,0,0,'Données projet'!$E$14+1,1))</f>
        <v>188.80259324758066</v>
      </c>
      <c r="DU52" s="57">
        <f t="shared" si="44"/>
        <v>195.48048518255354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24.287932932885127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24.287932932885127</v>
      </c>
      <c r="EE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8.6</v>
      </c>
      <c r="EJ52" s="12">
        <f>IF('Données projet'!$A$192&gt;35,EJ51+EI52-ER51,IF(A52&lt;'Données projet'!$A$192,$EG$205^A52,IF(A52='Données projet'!$A$192,'Données projet'!$B$192,EJ51+EI52-ER51)))</f>
        <v>252.40000000000003</v>
      </c>
      <c r="EK52" s="17">
        <f>EJ52*VLOOKUP('Données projet'!$B$15,Paramètres!$A$1:$I$89,3,0)*VLOOKUP('Données projet'!$B$15,Paramètres!$A$1:$I$89,5,0)</f>
        <v>204.74688000000003</v>
      </c>
      <c r="EL52" s="13">
        <f t="shared" si="45"/>
        <v>50.785959801489987</v>
      </c>
      <c r="EM52" s="20">
        <f t="shared" si="19"/>
        <v>445.05302932092837</v>
      </c>
      <c r="EN52" s="57">
        <f t="shared" si="20"/>
        <v>738.38636265426169</v>
      </c>
      <c r="EO52" s="57">
        <f ca="1">AVERAGE(OFFSET($EN$3,0,0,'Données projet'!$E$15+1,1))-AVERAGE(OFFSET($H$3,0,0,'Données projet'!$E$15+1,1))</f>
        <v>250.90550982248311</v>
      </c>
      <c r="EP52" s="57">
        <f t="shared" si="46"/>
        <v>254.68874167908001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30.070774107381581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30.070774107381581</v>
      </c>
      <c r="EZ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7" t="e">
        <f t="shared" si="23"/>
        <v>#N/A</v>
      </c>
      <c r="FJ52" s="57" t="e">
        <f ca="1">AVERAGE(OFFSET($FI$3,0,0,'Données projet'!$E$16+1,1))-AVERAGE(OFFSET($H$3,0,0,'Données projet'!$E$16+1,1))</f>
        <v>#N/A</v>
      </c>
      <c r="FK52" s="57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7" t="e">
        <f t="shared" si="26"/>
        <v>#N/A</v>
      </c>
      <c r="GE52" s="57" t="e">
        <f ca="1">AVERAGE(OFFSET($GD$3,0,0,'Données projet'!$E$17+1,1))-AVERAGE(OFFSET($H$3,0,0,'Données projet'!$E$17+1,1))</f>
        <v>#N/A</v>
      </c>
      <c r="GF52" s="57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7" t="e">
        <f t="shared" si="29"/>
        <v>#N/A</v>
      </c>
      <c r="GZ52" s="57" t="e">
        <f ca="1">AVERAGE(OFFSET($GY$3,0,0,'Données projet'!$E$18+1,1))-AVERAGE(OFFSET($H$3,0,0,'Données projet'!$E$18+1,1))</f>
        <v>#N/A</v>
      </c>
      <c r="HA52" s="57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0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4">
        <f t="shared" si="1"/>
        <v>391.99697224963768</v>
      </c>
      <c r="I53" s="6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194.59440000000004</v>
      </c>
      <c r="P53" s="13">
        <f t="shared" si="33"/>
        <v>48.554292648263456</v>
      </c>
      <c r="Q53" s="20">
        <f t="shared" si="53"/>
        <v>423.48397302905886</v>
      </c>
      <c r="R53" s="57">
        <f t="shared" si="0"/>
        <v>716.81730636239217</v>
      </c>
      <c r="S53" s="57">
        <f ca="1">AVERAGE(OFFSET($R$3,0,0,'Données projet'!$E$9+1,1))-AVERAGE(OFFSET($H$3,0,0,'Données projet'!$E$9+1,1))</f>
        <v>267.44861001389006</v>
      </c>
      <c r="T53" s="57">
        <f t="shared" si="34"/>
        <v>165.25921510802965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38.895851795924088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38.895851795924088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231.00000000000003</v>
      </c>
      <c r="AJ53" s="13">
        <f>AI53*VLOOKUP('Données projet'!$B$10,Paramètres!$A$1:$I$89,3,0)*VLOOKUP('Données projet'!$B$10,Paramètres!$A$1:$I$89,5,0)</f>
        <v>209.00880000000004</v>
      </c>
      <c r="AK53" s="13">
        <f t="shared" si="35"/>
        <v>51.718923953824252</v>
      </c>
      <c r="AL53" s="20">
        <f t="shared" si="4"/>
        <v>454.10078588624395</v>
      </c>
      <c r="AM53" s="57">
        <f t="shared" si="5"/>
        <v>747.43411921957727</v>
      </c>
      <c r="AN53" s="57">
        <f ca="1">AVERAGE(OFFSET($AM$3,0,0,'Données projet'!$E$10+1,1))-AVERAGE(OFFSET($H$3,0,0,'Données projet'!$E$10+1,1))</f>
        <v>294.92430430387071</v>
      </c>
      <c r="AO53" s="57">
        <f t="shared" si="36"/>
        <v>181.52228471516497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41.777026003029555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41.777026003029555</v>
      </c>
      <c r="AY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211.72320000000005</v>
      </c>
      <c r="BF53" s="13">
        <f t="shared" si="37"/>
        <v>52.311968964212078</v>
      </c>
      <c r="BG53" s="20">
        <f t="shared" si="7"/>
        <v>459.86125261266943</v>
      </c>
      <c r="BH53" s="57">
        <f t="shared" si="8"/>
        <v>753.19458594600269</v>
      </c>
      <c r="BI53" s="57">
        <f ca="1">AVERAGE(OFFSET($BH$3,0,0,'Données projet'!$E$11+1,1))-AVERAGE(OFFSET($H$3,0,0,'Données projet'!$E$11+1,1))</f>
        <v>250.90550982248311</v>
      </c>
      <c r="BJ53" s="57">
        <f t="shared" si="38"/>
        <v>254.68874167908001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36.807613930733119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36.807613930733119</v>
      </c>
      <c r="BT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724</v>
      </c>
      <c r="BW53" s="12">
        <f>VLOOKUP(A53,'Données projet'!$A$113:$I$133,9,0)</f>
        <v>20.399999999999999</v>
      </c>
      <c r="BX53" s="12">
        <f t="array" ref="BX53">INDEX(BW:BW,MIN(IF(ISNUMBER(BW53:BW249),ROW(BW53:BW249),"")))</f>
        <v>20.399999999999999</v>
      </c>
      <c r="BY53" s="12">
        <f>IF('Données projet'!$A$114&gt;35,BY52+BX53-CG52,IF(A53&lt;'Données projet'!$A$114,$BV$205^A53,IF(A53='Données projet'!$A$114,'Données projet'!$B$114,BY52+BX53-CG52)))</f>
        <v>723.99999999999955</v>
      </c>
      <c r="BZ53" s="13">
        <f>BY53*VLOOKUP('Données projet'!$B$12,Paramètres!$A$1:$I$89,3,0)*VLOOKUP('Données projet'!$B$12,Paramètres!$A$1:$I$89,5,0)</f>
        <v>404.71599999999978</v>
      </c>
      <c r="CA53" s="13">
        <f t="shared" si="39"/>
        <v>92.732108655131142</v>
      </c>
      <c r="CB53" s="20">
        <f t="shared" si="10"/>
        <v>866.38878924101971</v>
      </c>
      <c r="CC53" s="57">
        <f t="shared" si="11"/>
        <v>1159.7221225743531</v>
      </c>
      <c r="CD53" s="57">
        <f ca="1">AVERAGE(OFFSET($CC$3,0,0,'Données projet'!$E$12+1,1))-AVERAGE(OFFSET($H$3,0,0,'Données projet'!$E$12+1,1))</f>
        <v>462.54745364638171</v>
      </c>
      <c r="CE53" s="57">
        <f t="shared" si="40"/>
        <v>571.50914830067313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62</v>
      </c>
      <c r="CH53" s="16">
        <f>IF(ISNA(VLOOKUP(A53,'Données projet'!$A$113:$I$133,5,0)),0%,VLOOKUP(A53,'Données projet'!$A$113:$I$133,5,0)*VLOOKUP('Données projet'!$B$12,Paramètres!$A$1:$I$89,7,0))</f>
        <v>0.55000000000000004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96.509232273123743</v>
      </c>
      <c r="CL53" s="21">
        <f>EXP(-LN(2)/25)*CL52+(1-EXP(-LN(2)/25))/(LN(2)/25)*Calculateur!CG53*Calculateur!CI53*VLOOKUP('Données projet'!$B$12,Paramètres!$A$1:$I$89,3,0)*0.475*44/12</f>
        <v>33.186845437636016</v>
      </c>
      <c r="CM53" s="21">
        <f>EXP(-LN(2)/2)*CM52+(1-EXP(-LN(2)/2))/(LN(2)/2)*CG53*CJ53*VLOOKUP('Données projet'!$B$12,Paramètres!$A$1:$I$89,3,0)*0.475*44/12</f>
        <v>8.30550162830923E-4</v>
      </c>
      <c r="CN53" s="22">
        <f t="shared" si="12"/>
        <v>129.69690826092258</v>
      </c>
      <c r="CO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249</v>
      </c>
      <c r="CR53" s="12">
        <f>VLOOKUP(A53,'Données projet'!$A$139:$I$159,9,0)</f>
        <v>7.2</v>
      </c>
      <c r="CS53" s="12">
        <f t="array" ref="CS53">INDEX(CR:CR,MIN(IF(ISNUMBER(CR53:CR249),ROW(CR53:CR249),"")))</f>
        <v>7.2</v>
      </c>
      <c r="CT53" s="12">
        <f>IF('Données projet'!$A$140&gt;35,CT52+CS53-DB52,IF(A53&lt;'Données projet'!$A$140,$CQ$205^A53,IF(A53='Données projet'!$A$140,'Données projet'!$B$140,CT52+CS53-DB52)))</f>
        <v>248.99999999999997</v>
      </c>
      <c r="CU53" s="17">
        <f>CT53*VLOOKUP('Données projet'!$B$13,Paramètres!$A$1:$I$89,3,0)*VLOOKUP('Données projet'!$B$13,Paramètres!$A$1:$I$89,5,0)</f>
        <v>236.94839999999999</v>
      </c>
      <c r="CV53" s="13">
        <f t="shared" si="41"/>
        <v>57.782475694292401</v>
      </c>
      <c r="CW53" s="20">
        <f t="shared" si="13"/>
        <v>513.32294183422596</v>
      </c>
      <c r="CX53" s="57">
        <f t="shared" si="14"/>
        <v>806.65627516755922</v>
      </c>
      <c r="CY53" s="57">
        <f ca="1">AVERAGE(OFFSET($CX$3,0,0,'Données projet'!$E$13+1,1))-AVERAGE(OFFSET($H$3,0,0,'Données projet'!$E$13+1,1))</f>
        <v>314.67680626853303</v>
      </c>
      <c r="CZ53" s="57">
        <f t="shared" si="42"/>
        <v>372.57247561536263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30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46.74023736041832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46.74023736041832</v>
      </c>
      <c r="DJ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261</v>
      </c>
      <c r="DM53" s="12">
        <f>VLOOKUP(A53,'Données projet'!$A$165:$I$185,9,0)</f>
        <v>8.6</v>
      </c>
      <c r="DN53" s="12">
        <f t="array" ref="DN53">INDEX(DM:DM,MIN(IF(ISNUMBER(DM53:DM249),ROW(DM53:DM249),"")))</f>
        <v>8.6</v>
      </c>
      <c r="DO53" s="12">
        <f>IF('Données projet'!$A$166&gt;35,DO52+DN53-DW52,IF(A53&lt;'Données projet'!$A$166,$DL$205^A53,IF(A53='Données projet'!$A$166,'Données projet'!$B$166,DO52+DN53-DW52)))</f>
        <v>261.00000000000006</v>
      </c>
      <c r="DP53" s="17">
        <f>DO53*VLOOKUP('Données projet'!$B$14,Paramètres!$A$1:$I$89,3,0)*VLOOKUP('Données projet'!$B$14,Paramètres!$A$1:$I$89,5,0)</f>
        <v>171.00720000000004</v>
      </c>
      <c r="DQ53" s="13">
        <f t="shared" si="43"/>
        <v>43.315525267338089</v>
      </c>
      <c r="DR53" s="20">
        <f t="shared" si="16"/>
        <v>373.27874650728057</v>
      </c>
      <c r="DS53" s="57">
        <f t="shared" si="17"/>
        <v>666.61207984061389</v>
      </c>
      <c r="DT53" s="57">
        <f ca="1">AVERAGE(OFFSET($DS$3,0,0,'Données projet'!$E$14+1,1))-AVERAGE(OFFSET($H$3,0,0,'Données projet'!$E$14+1,1))</f>
        <v>188.80259324758066</v>
      </c>
      <c r="DU53" s="57">
        <f t="shared" si="44"/>
        <v>195.48048518255354</v>
      </c>
      <c r="DV53" s="15">
        <f>IF(ISNA(VLOOKUP(A53,'Données projet'!$A$165:$I$185,3,0)),0,VLOOKUP(A53,'Données projet'!$A$165:$I$185,3,0))</f>
        <v>8</v>
      </c>
      <c r="DW53" s="15">
        <f>IF(ISNA(VLOOKUP(A53,'Données projet'!$A$165:$I$185,4,0)),0,VLOOKUP(A53,'Données projet'!$A$165:$I$185,4,0))</f>
        <v>19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29.729226636361368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29.729226636361368</v>
      </c>
      <c r="EE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261</v>
      </c>
      <c r="EH53" s="12">
        <f>VLOOKUP(A53,'Données projet'!$A$191:$I$211,9,0)</f>
        <v>8.6</v>
      </c>
      <c r="EI53" s="12">
        <f t="array" ref="EI53">INDEX(EH:EH,MIN(IF(ISNUMBER(EH53:EH249),ROW(EH53:EH249),"")))</f>
        <v>8.6</v>
      </c>
      <c r="EJ53" s="12">
        <f>IF('Données projet'!$A$192&gt;35,EJ52+EI53-ER52,IF(A53&lt;'Données projet'!$A$192,$EG$205^A53,IF(A53='Données projet'!$A$192,'Données projet'!$B$192,EJ52+EI53-ER52)))</f>
        <v>261.00000000000006</v>
      </c>
      <c r="EK53" s="17">
        <f>EJ53*VLOOKUP('Données projet'!$B$15,Paramètres!$A$1:$I$89,3,0)*VLOOKUP('Données projet'!$B$15,Paramètres!$A$1:$I$89,5,0)</f>
        <v>211.72320000000005</v>
      </c>
      <c r="EL53" s="13">
        <f t="shared" si="45"/>
        <v>52.311968964212078</v>
      </c>
      <c r="EM53" s="20">
        <f t="shared" si="19"/>
        <v>459.86125261266943</v>
      </c>
      <c r="EN53" s="57">
        <f t="shared" si="20"/>
        <v>753.19458594600269</v>
      </c>
      <c r="EO53" s="57">
        <f ca="1">AVERAGE(OFFSET($EN$3,0,0,'Données projet'!$E$15+1,1))-AVERAGE(OFFSET($H$3,0,0,'Données projet'!$E$15+1,1))</f>
        <v>250.90550982248311</v>
      </c>
      <c r="EP53" s="57">
        <f t="shared" si="46"/>
        <v>254.68874167908001</v>
      </c>
      <c r="EQ53" s="15">
        <f>IF(ISNA(VLOOKUP(A53,'Données projet'!$A$191:$I$211,3,0)),0,VLOOKUP(A53,'Données projet'!$A$191:$I$211,3,0))</f>
        <v>8</v>
      </c>
      <c r="ER53" s="15">
        <f>IF(ISNA(VLOOKUP(A53,'Données projet'!$A$191:$I$211,4,0)),0,VLOOKUP(A53,'Données projet'!$A$191:$I$211,4,0))</f>
        <v>19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36.807613930733119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36.807613930733119</v>
      </c>
      <c r="EZ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7" t="e">
        <f t="shared" si="23"/>
        <v>#N/A</v>
      </c>
      <c r="FJ53" s="57" t="e">
        <f ca="1">AVERAGE(OFFSET($FI$3,0,0,'Données projet'!$E$16+1,1))-AVERAGE(OFFSET($H$3,0,0,'Données projet'!$E$16+1,1))</f>
        <v>#N/A</v>
      </c>
      <c r="FK53" s="57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7" t="e">
        <f t="shared" si="26"/>
        <v>#N/A</v>
      </c>
      <c r="GE53" s="57" t="e">
        <f ca="1">AVERAGE(OFFSET($GD$3,0,0,'Données projet'!$E$17+1,1))-AVERAGE(OFFSET($H$3,0,0,'Données projet'!$E$17+1,1))</f>
        <v>#N/A</v>
      </c>
      <c r="GF53" s="57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7" t="e">
        <f t="shared" si="29"/>
        <v>#N/A</v>
      </c>
      <c r="GZ53" s="57" t="e">
        <f ca="1">AVERAGE(OFFSET($GY$3,0,0,'Données projet'!$E$18+1,1))-AVERAGE(OFFSET($H$3,0,0,'Données projet'!$E$18+1,1))</f>
        <v>#N/A</v>
      </c>
      <c r="HA53" s="57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0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4">
        <f t="shared" si="1"/>
        <v>393.91719979409652</v>
      </c>
      <c r="I54" s="6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179.59968000000003</v>
      </c>
      <c r="P54" s="13">
        <f t="shared" si="33"/>
        <v>45.233110804333748</v>
      </c>
      <c r="Q54" s="20">
        <f t="shared" si="53"/>
        <v>391.58377731754803</v>
      </c>
      <c r="R54" s="57">
        <f t="shared" si="0"/>
        <v>684.91711065088134</v>
      </c>
      <c r="S54" s="57">
        <f ca="1">AVERAGE(OFFSET($R$3,0,0,'Données projet'!$E$9+1,1))-AVERAGE(OFFSET($H$3,0,0,'Données projet'!$E$9+1,1))</f>
        <v>267.44861001389006</v>
      </c>
      <c r="T54" s="57">
        <f t="shared" si="34"/>
        <v>165.25921510802965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38.133127866333048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38.133127866333048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10.199999999999999</v>
      </c>
      <c r="AI54" s="13">
        <f>IF('Données projet'!$A$62&gt;35,AI53+AH54-AQ53,IF(A54&lt;'Données projet'!$A$62,$AF$205^A54,IF(A54='Données projet'!$A$62,'Données projet'!$B$62,AI53+AH54-AQ53)))</f>
        <v>213.20000000000002</v>
      </c>
      <c r="AJ54" s="13">
        <f>AI54*VLOOKUP('Données projet'!$B$10,Paramètres!$A$1:$I$89,3,0)*VLOOKUP('Données projet'!$B$10,Paramètres!$A$1:$I$89,5,0)</f>
        <v>192.90336000000002</v>
      </c>
      <c r="AK54" s="13">
        <f t="shared" si="35"/>
        <v>48.181276881765257</v>
      </c>
      <c r="AL54" s="20">
        <f t="shared" si="4"/>
        <v>419.88907590240791</v>
      </c>
      <c r="AM54" s="57">
        <f t="shared" si="5"/>
        <v>713.22240923574122</v>
      </c>
      <c r="AN54" s="57">
        <f ca="1">AVERAGE(OFFSET($AM$3,0,0,'Données projet'!$E$10+1,1))-AVERAGE(OFFSET($H$3,0,0,'Données projet'!$E$10+1,1))</f>
        <v>294.92430430387071</v>
      </c>
      <c r="AO54" s="57">
        <f t="shared" si="36"/>
        <v>181.52228471516497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40.95780400457992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40.95780400457992</v>
      </c>
      <c r="AY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202.31328000000002</v>
      </c>
      <c r="BF54" s="13">
        <f t="shared" si="37"/>
        <v>50.25221588808207</v>
      </c>
      <c r="BG54" s="20">
        <f t="shared" si="7"/>
        <v>439.88490533840962</v>
      </c>
      <c r="BH54" s="57">
        <f t="shared" si="8"/>
        <v>733.21823867174294</v>
      </c>
      <c r="BI54" s="57">
        <f ca="1">AVERAGE(OFFSET($BH$3,0,0,'Données projet'!$E$11+1,1))-AVERAGE(OFFSET($H$3,0,0,'Données projet'!$E$11+1,1))</f>
        <v>250.90550982248311</v>
      </c>
      <c r="BJ54" s="57">
        <f t="shared" si="38"/>
        <v>254.68874167908001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36.085839071979144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36.085839071979144</v>
      </c>
      <c r="BT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15.4</v>
      </c>
      <c r="BY54" s="12">
        <f>IF('Données projet'!$A$114&gt;35,BY53+BX54-CG53,IF(A54&lt;'Données projet'!$A$114,$BV$205^A54,IF(A54='Données projet'!$A$114,'Données projet'!$B$114,BY53+BX54-CG53)))</f>
        <v>677.39999999999952</v>
      </c>
      <c r="BZ54" s="13">
        <f>BY54*VLOOKUP('Données projet'!$B$12,Paramètres!$A$1:$I$89,3,0)*VLOOKUP('Données projet'!$B$12,Paramètres!$A$1:$I$89,5,0)</f>
        <v>378.66659999999979</v>
      </c>
      <c r="CA54" s="13">
        <f t="shared" si="39"/>
        <v>87.437946637883755</v>
      </c>
      <c r="CB54" s="20">
        <f t="shared" si="10"/>
        <v>811.79875206098052</v>
      </c>
      <c r="CC54" s="57">
        <f t="shared" si="11"/>
        <v>1105.1320853943139</v>
      </c>
      <c r="CD54" s="57">
        <f ca="1">AVERAGE(OFFSET($CC$3,0,0,'Données projet'!$E$12+1,1))-AVERAGE(OFFSET($H$3,0,0,'Données projet'!$E$12+1,1))</f>
        <v>462.54745364638171</v>
      </c>
      <c r="CE54" s="57">
        <f t="shared" si="40"/>
        <v>571.50914830067313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94.616745093067053</v>
      </c>
      <c r="CL54" s="21">
        <f>EXP(-LN(2)/25)*CL53+(1-EXP(-LN(2)/25))/(LN(2)/25)*Calculateur!CG54*Calculateur!CI54*VLOOKUP('Données projet'!$B$12,Paramètres!$A$1:$I$89,3,0)*0.475*44/12</f>
        <v>32.279349403923504</v>
      </c>
      <c r="CM54" s="21">
        <f>EXP(-LN(2)/2)*CM53+(1-EXP(-LN(2)/2))/(LN(2)/2)*CG54*CJ54*VLOOKUP('Données projet'!$B$12,Paramètres!$A$1:$I$89,3,0)*0.475*44/12</f>
        <v>5.8728765225333688E-4</v>
      </c>
      <c r="CN54" s="22">
        <f t="shared" si="12"/>
        <v>126.89668178464281</v>
      </c>
      <c r="CO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</v>
      </c>
      <c r="CT54" s="12">
        <f>IF('Données projet'!$A$140&gt;35,CT53+CS54-DB53,IF(A54&lt;'Données projet'!$A$140,$CQ$205^A54,IF(A54='Données projet'!$A$140,'Données projet'!$B$140,CT53+CS54-DB53)))</f>
        <v>225.99999999999997</v>
      </c>
      <c r="CU54" s="17">
        <f>CT54*VLOOKUP('Données projet'!$B$13,Paramètres!$A$1:$I$89,3,0)*VLOOKUP('Données projet'!$B$13,Paramètres!$A$1:$I$89,5,0)</f>
        <v>215.06159999999997</v>
      </c>
      <c r="CV54" s="13">
        <f t="shared" si="41"/>
        <v>53.040134784913143</v>
      </c>
      <c r="CW54" s="20">
        <f t="shared" si="13"/>
        <v>466.9438547503903</v>
      </c>
      <c r="CX54" s="57">
        <f t="shared" si="14"/>
        <v>760.27718808372356</v>
      </c>
      <c r="CY54" s="57">
        <f ca="1">AVERAGE(OFFSET($CX$3,0,0,'Données projet'!$E$13+1,1))-AVERAGE(OFFSET($H$3,0,0,'Données projet'!$E$13+1,1))</f>
        <v>314.67680626853303</v>
      </c>
      <c r="CZ54" s="57">
        <f t="shared" si="42"/>
        <v>372.57247561536263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45.823689814510303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45.823689814510303</v>
      </c>
      <c r="DJ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7.4</v>
      </c>
      <c r="DO54" s="12">
        <f>IF('Données projet'!$A$166&gt;35,DO53+DN54-DW53,IF(A54&lt;'Données projet'!$A$166,$DL$205^A54,IF(A54='Données projet'!$A$166,'Données projet'!$B$166,DO53+DN54-DW53)))</f>
        <v>249.40000000000003</v>
      </c>
      <c r="DP54" s="17">
        <f>DO54*VLOOKUP('Données projet'!$B$14,Paramètres!$A$1:$I$89,3,0)*VLOOKUP('Données projet'!$B$14,Paramètres!$A$1:$I$89,5,0)</f>
        <v>163.40688</v>
      </c>
      <c r="DQ54" s="13">
        <f t="shared" si="43"/>
        <v>41.610001881769797</v>
      </c>
      <c r="DR54" s="20">
        <f t="shared" si="16"/>
        <v>357.07106927741569</v>
      </c>
      <c r="DS54" s="57">
        <f t="shared" si="17"/>
        <v>650.404402610749</v>
      </c>
      <c r="DT54" s="57">
        <f ca="1">AVERAGE(OFFSET($DS$3,0,0,'Données projet'!$E$14+1,1))-AVERAGE(OFFSET($H$3,0,0,'Données projet'!$E$14+1,1))</f>
        <v>188.80259324758066</v>
      </c>
      <c r="DU54" s="57">
        <f t="shared" si="44"/>
        <v>195.48048518255354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29.146254635060082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29.146254635060082</v>
      </c>
      <c r="EE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7.4</v>
      </c>
      <c r="EJ54" s="12">
        <f>IF('Données projet'!$A$192&gt;35,EJ53+EI54-ER53,IF(A54&lt;'Données projet'!$A$192,$EG$205^A54,IF(A54='Données projet'!$A$192,'Données projet'!$B$192,EJ53+EI54-ER53)))</f>
        <v>249.40000000000003</v>
      </c>
      <c r="EK54" s="17">
        <f>EJ54*VLOOKUP('Données projet'!$B$15,Paramètres!$A$1:$I$89,3,0)*VLOOKUP('Données projet'!$B$15,Paramètres!$A$1:$I$89,5,0)</f>
        <v>202.31328000000002</v>
      </c>
      <c r="EL54" s="13">
        <f t="shared" si="45"/>
        <v>50.25221588808207</v>
      </c>
      <c r="EM54" s="20">
        <f t="shared" si="19"/>
        <v>439.88490533840962</v>
      </c>
      <c r="EN54" s="57">
        <f t="shared" si="20"/>
        <v>733.21823867174294</v>
      </c>
      <c r="EO54" s="57">
        <f ca="1">AVERAGE(OFFSET($EN$3,0,0,'Données projet'!$E$15+1,1))-AVERAGE(OFFSET($H$3,0,0,'Données projet'!$E$15+1,1))</f>
        <v>250.90550982248311</v>
      </c>
      <c r="EP54" s="57">
        <f t="shared" si="46"/>
        <v>254.68874167908001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36.085839071979144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36.085839071979144</v>
      </c>
      <c r="EZ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7" t="e">
        <f t="shared" si="23"/>
        <v>#N/A</v>
      </c>
      <c r="FJ54" s="57" t="e">
        <f ca="1">AVERAGE(OFFSET($FI$3,0,0,'Données projet'!$E$16+1,1))-AVERAGE(OFFSET($H$3,0,0,'Données projet'!$E$16+1,1))</f>
        <v>#N/A</v>
      </c>
      <c r="FK54" s="57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7" t="e">
        <f t="shared" si="26"/>
        <v>#N/A</v>
      </c>
      <c r="GE54" s="57" t="e">
        <f ca="1">AVERAGE(OFFSET($GD$3,0,0,'Données projet'!$E$17+1,1))-AVERAGE(OFFSET($H$3,0,0,'Données projet'!$E$17+1,1))</f>
        <v>#N/A</v>
      </c>
      <c r="GF54" s="57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7" t="e">
        <f t="shared" si="29"/>
        <v>#N/A</v>
      </c>
      <c r="GZ54" s="57" t="e">
        <f ca="1">AVERAGE(OFFSET($GY$3,0,0,'Données projet'!$E$18+1,1))-AVERAGE(OFFSET($H$3,0,0,'Données projet'!$E$18+1,1))</f>
        <v>#N/A</v>
      </c>
      <c r="HA54" s="57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0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4">
        <f t="shared" si="1"/>
        <v>395.83651832331645</v>
      </c>
      <c r="I55" s="6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188.19216000000003</v>
      </c>
      <c r="P55" s="13">
        <f t="shared" si="33"/>
        <v>47.140042972585213</v>
      </c>
      <c r="Q55" s="20">
        <f t="shared" si="53"/>
        <v>409.870253510586</v>
      </c>
      <c r="R55" s="57">
        <f t="shared" si="0"/>
        <v>703.20358684391931</v>
      </c>
      <c r="S55" s="57">
        <f ca="1">AVERAGE(OFFSET($R$3,0,0,'Données projet'!$E$9+1,1))-AVERAGE(OFFSET($H$3,0,0,'Données projet'!$E$9+1,1))</f>
        <v>267.44861001389006</v>
      </c>
      <c r="T55" s="57">
        <f t="shared" si="34"/>
        <v>165.25921510802965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37.385360487785626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37.385360487785626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10.199999999999999</v>
      </c>
      <c r="AI55" s="13">
        <f>IF('Données projet'!$A$62&gt;35,AI54+AH55-AQ54,IF(A55&lt;'Données projet'!$A$62,$AF$205^A55,IF(A55='Données projet'!$A$62,'Données projet'!$B$62,AI54+AH55-AQ54)))</f>
        <v>223.4</v>
      </c>
      <c r="AJ55" s="13">
        <f>AI55*VLOOKUP('Données projet'!$B$10,Paramètres!$A$1:$I$89,3,0)*VLOOKUP('Données projet'!$B$10,Paramètres!$A$1:$I$89,5,0)</f>
        <v>202.13232000000002</v>
      </c>
      <c r="AK55" s="13">
        <f t="shared" si="35"/>
        <v>50.212497488959627</v>
      </c>
      <c r="AL55" s="20">
        <f t="shared" si="4"/>
        <v>439.50055712660469</v>
      </c>
      <c r="AM55" s="57">
        <f t="shared" si="5"/>
        <v>732.83389045993795</v>
      </c>
      <c r="AN55" s="57">
        <f ca="1">AVERAGE(OFFSET($AM$3,0,0,'Données projet'!$E$10+1,1))-AVERAGE(OFFSET($H$3,0,0,'Données projet'!$E$10+1,1))</f>
        <v>294.92430430387071</v>
      </c>
      <c r="AO55" s="57">
        <f t="shared" si="36"/>
        <v>181.52228471516497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40.154646449843803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40.154646449843803</v>
      </c>
      <c r="AY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208.31616</v>
      </c>
      <c r="BF55" s="13">
        <f t="shared" si="37"/>
        <v>51.567452064520282</v>
      </c>
      <c r="BG55" s="20">
        <f t="shared" si="7"/>
        <v>452.63062434570611</v>
      </c>
      <c r="BH55" s="57">
        <f t="shared" si="8"/>
        <v>745.96395767903937</v>
      </c>
      <c r="BI55" s="57">
        <f ca="1">AVERAGE(OFFSET($BH$3,0,0,'Données projet'!$E$11+1,1))-AVERAGE(OFFSET($H$3,0,0,'Données projet'!$E$11+1,1))</f>
        <v>250.90550982248311</v>
      </c>
      <c r="BJ55" s="57">
        <f t="shared" si="38"/>
        <v>254.68874167908001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35.378217777966142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35.378217777966142</v>
      </c>
      <c r="BT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15.4</v>
      </c>
      <c r="BY55" s="12">
        <f>IF('Données projet'!$A$114&gt;35,BY54+BX55-CG54,IF(A55&lt;'Données projet'!$A$114,$BV$205^A55,IF(A55='Données projet'!$A$114,'Données projet'!$B$114,BY54+BX55-CG54)))</f>
        <v>692.7999999999995</v>
      </c>
      <c r="BZ55" s="13">
        <f>BY55*VLOOKUP('Données projet'!$B$12,Paramètres!$A$1:$I$89,3,0)*VLOOKUP('Données projet'!$B$12,Paramètres!$A$1:$I$89,5,0)</f>
        <v>387.2751999999997</v>
      </c>
      <c r="CA55" s="13">
        <f t="shared" si="39"/>
        <v>89.192073473767834</v>
      </c>
      <c r="CB55" s="20">
        <f t="shared" si="10"/>
        <v>829.84716796681175</v>
      </c>
      <c r="CC55" s="57">
        <f t="shared" si="11"/>
        <v>1123.1805013001451</v>
      </c>
      <c r="CD55" s="57">
        <f ca="1">AVERAGE(OFFSET($CC$3,0,0,'Données projet'!$E$12+1,1))-AVERAGE(OFFSET($H$3,0,0,'Données projet'!$E$12+1,1))</f>
        <v>462.54745364638171</v>
      </c>
      <c r="CE55" s="57">
        <f t="shared" si="40"/>
        <v>571.50914830067313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92.761368432308075</v>
      </c>
      <c r="CL55" s="21">
        <f>EXP(-LN(2)/25)*CL54+(1-EXP(-LN(2)/25))/(LN(2)/25)*Calculateur!CG55*Calculateur!CI55*VLOOKUP('Données projet'!$B$12,Paramètres!$A$1:$I$89,3,0)*0.475*44/12</f>
        <v>31.396668896976006</v>
      </c>
      <c r="CM55" s="21">
        <f>EXP(-LN(2)/2)*CM54+(1-EXP(-LN(2)/2))/(LN(2)/2)*CG55*CJ55*VLOOKUP('Données projet'!$B$12,Paramètres!$A$1:$I$89,3,0)*0.475*44/12</f>
        <v>4.152750814154615E-4</v>
      </c>
      <c r="CN55" s="22">
        <f t="shared" si="12"/>
        <v>124.15845260436549</v>
      </c>
      <c r="CO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</v>
      </c>
      <c r="CT55" s="12">
        <f>IF('Données projet'!$A$140&gt;35,CT54+CS55-DB54,IF(A55&lt;'Données projet'!$A$140,$CQ$205^A55,IF(A55='Données projet'!$A$140,'Données projet'!$B$140,CT54+CS55-DB54)))</f>
        <v>232.99999999999997</v>
      </c>
      <c r="CU55" s="17">
        <f>CT55*VLOOKUP('Données projet'!$B$13,Paramètres!$A$1:$I$89,3,0)*VLOOKUP('Données projet'!$B$13,Paramètres!$A$1:$I$89,5,0)</f>
        <v>221.72279999999995</v>
      </c>
      <c r="CV55" s="13">
        <f t="shared" si="41"/>
        <v>54.489157628530627</v>
      </c>
      <c r="CW55" s="20">
        <f t="shared" si="13"/>
        <v>481.0691595363574</v>
      </c>
      <c r="CX55" s="57">
        <f t="shared" si="14"/>
        <v>774.40249286969072</v>
      </c>
      <c r="CY55" s="57">
        <f ca="1">AVERAGE(OFFSET($CX$3,0,0,'Données projet'!$E$13+1,1))-AVERAGE(OFFSET($H$3,0,0,'Données projet'!$E$13+1,1))</f>
        <v>314.67680626853303</v>
      </c>
      <c r="CZ55" s="57">
        <f t="shared" si="42"/>
        <v>372.57247561536263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44.925115206938742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44.925115206938742</v>
      </c>
      <c r="DJ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7.4</v>
      </c>
      <c r="DO55" s="12">
        <f>IF('Données projet'!$A$166&gt;35,DO54+DN55-DW54,IF(A55&lt;'Données projet'!$A$166,$DL$205^A55,IF(A55='Données projet'!$A$166,'Données projet'!$B$166,DO54+DN55-DW54)))</f>
        <v>256.8</v>
      </c>
      <c r="DP55" s="17">
        <f>DO55*VLOOKUP('Données projet'!$B$14,Paramètres!$A$1:$I$89,3,0)*VLOOKUP('Données projet'!$B$14,Paramètres!$A$1:$I$89,5,0)</f>
        <v>168.25536</v>
      </c>
      <c r="DQ55" s="13">
        <f t="shared" si="43"/>
        <v>42.699047982710887</v>
      </c>
      <c r="DR55" s="20">
        <f t="shared" si="16"/>
        <v>367.41226056988808</v>
      </c>
      <c r="DS55" s="57">
        <f t="shared" si="17"/>
        <v>660.74559390322133</v>
      </c>
      <c r="DT55" s="57">
        <f ca="1">AVERAGE(OFFSET($DS$3,0,0,'Données projet'!$E$14+1,1))-AVERAGE(OFFSET($H$3,0,0,'Données projet'!$E$14+1,1))</f>
        <v>188.80259324758066</v>
      </c>
      <c r="DU55" s="57">
        <f t="shared" si="44"/>
        <v>195.48048518255354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28.574714359126503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28.574714359126503</v>
      </c>
      <c r="EE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7.4</v>
      </c>
      <c r="EJ55" s="12">
        <f>IF('Données projet'!$A$192&gt;35,EJ54+EI55-ER54,IF(A55&lt;'Données projet'!$A$192,$EG$205^A55,IF(A55='Données projet'!$A$192,'Données projet'!$B$192,EJ54+EI55-ER54)))</f>
        <v>256.8</v>
      </c>
      <c r="EK55" s="17">
        <f>EJ55*VLOOKUP('Données projet'!$B$15,Paramètres!$A$1:$I$89,3,0)*VLOOKUP('Données projet'!$B$15,Paramètres!$A$1:$I$89,5,0)</f>
        <v>208.31616</v>
      </c>
      <c r="EL55" s="13">
        <f t="shared" si="45"/>
        <v>51.567452064520282</v>
      </c>
      <c r="EM55" s="20">
        <f t="shared" si="19"/>
        <v>452.63062434570611</v>
      </c>
      <c r="EN55" s="57">
        <f t="shared" si="20"/>
        <v>745.96395767903937</v>
      </c>
      <c r="EO55" s="57">
        <f ca="1">AVERAGE(OFFSET($EN$3,0,0,'Données projet'!$E$15+1,1))-AVERAGE(OFFSET($H$3,0,0,'Données projet'!$E$15+1,1))</f>
        <v>250.90550982248311</v>
      </c>
      <c r="EP55" s="57">
        <f t="shared" si="46"/>
        <v>254.68874167908001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35.378217777966142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35.378217777966142</v>
      </c>
      <c r="EZ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7" t="e">
        <f t="shared" si="23"/>
        <v>#N/A</v>
      </c>
      <c r="FJ55" s="57" t="e">
        <f ca="1">AVERAGE(OFFSET($FI$3,0,0,'Données projet'!$E$16+1,1))-AVERAGE(OFFSET($H$3,0,0,'Données projet'!$E$16+1,1))</f>
        <v>#N/A</v>
      </c>
      <c r="FK55" s="57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7" t="e">
        <f t="shared" si="26"/>
        <v>#N/A</v>
      </c>
      <c r="GE55" s="57" t="e">
        <f ca="1">AVERAGE(OFFSET($GD$3,0,0,'Données projet'!$E$17+1,1))-AVERAGE(OFFSET($H$3,0,0,'Données projet'!$E$17+1,1))</f>
        <v>#N/A</v>
      </c>
      <c r="GF55" s="57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7" t="e">
        <f t="shared" si="29"/>
        <v>#N/A</v>
      </c>
      <c r="GZ55" s="57" t="e">
        <f ca="1">AVERAGE(OFFSET($GY$3,0,0,'Données projet'!$E$18+1,1))-AVERAGE(OFFSET($H$3,0,0,'Données projet'!$E$18+1,1))</f>
        <v>#N/A</v>
      </c>
      <c r="HA55" s="57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0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4">
        <f t="shared" si="1"/>
        <v>397.75494733375336</v>
      </c>
      <c r="I56" s="6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196.78464000000002</v>
      </c>
      <c r="P56" s="13">
        <f t="shared" si="33"/>
        <v>49.036863746442876</v>
      </c>
      <c r="Q56" s="20">
        <f t="shared" si="53"/>
        <v>428.1391190250547</v>
      </c>
      <c r="R56" s="57">
        <f t="shared" si="0"/>
        <v>721.47245235838795</v>
      </c>
      <c r="S56" s="57">
        <f ca="1">AVERAGE(OFFSET($R$3,0,0,'Données projet'!$E$9+1,1))-AVERAGE(OFFSET($H$3,0,0,'Données projet'!$E$9+1,1))</f>
        <v>267.44861001389006</v>
      </c>
      <c r="T56" s="57">
        <f t="shared" si="34"/>
        <v>165.25921510802965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36.652256371438455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36.652256371438455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10.199999999999999</v>
      </c>
      <c r="AI56" s="13">
        <f>IF('Données projet'!$A$62&gt;35,AI55+AH56-AQ55,IF(A56&lt;'Données projet'!$A$62,$AF$205^A56,IF(A56='Données projet'!$A$62,'Données projet'!$B$62,AI55+AH56-AQ55)))</f>
        <v>233.6</v>
      </c>
      <c r="AJ56" s="13">
        <f>AI56*VLOOKUP('Données projet'!$B$10,Paramètres!$A$1:$I$89,3,0)*VLOOKUP('Données projet'!$B$10,Paramètres!$A$1:$I$89,5,0)</f>
        <v>211.36127999999999</v>
      </c>
      <c r="AK56" s="13">
        <f t="shared" si="35"/>
        <v>52.232947669705631</v>
      </c>
      <c r="AL56" s="20">
        <f t="shared" si="4"/>
        <v>459.09327985807062</v>
      </c>
      <c r="AM56" s="57">
        <f t="shared" si="5"/>
        <v>752.42661319140393</v>
      </c>
      <c r="AN56" s="57">
        <f ca="1">AVERAGE(OFFSET($AM$3,0,0,'Données projet'!$E$10+1,1))-AVERAGE(OFFSET($H$3,0,0,'Données projet'!$E$10+1,1))</f>
        <v>294.92430430387071</v>
      </c>
      <c r="AO56" s="57">
        <f t="shared" si="36"/>
        <v>181.52228471516497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39.367238324878322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39.367238324878322</v>
      </c>
      <c r="AY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214.31903999999997</v>
      </c>
      <c r="BF56" s="13">
        <f t="shared" si="37"/>
        <v>52.878283414659698</v>
      </c>
      <c r="BG56" s="20">
        <f t="shared" si="7"/>
        <v>465.3686716138655</v>
      </c>
      <c r="BH56" s="57">
        <f t="shared" si="8"/>
        <v>758.70200494719882</v>
      </c>
      <c r="BI56" s="57">
        <f ca="1">AVERAGE(OFFSET($BH$3,0,0,'Données projet'!$E$11+1,1))-AVERAGE(OFFSET($H$3,0,0,'Données projet'!$E$11+1,1))</f>
        <v>250.90550982248311</v>
      </c>
      <c r="BJ56" s="57">
        <f t="shared" si="38"/>
        <v>254.68874167908001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34.684472505922365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34.684472505922365</v>
      </c>
      <c r="BT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15.4</v>
      </c>
      <c r="BY56" s="12">
        <f>IF('Données projet'!$A$114&gt;35,BY55+BX56-CG55,IF(A56&lt;'Données projet'!$A$114,$BV$205^A56,IF(A56='Données projet'!$A$114,'Données projet'!$B$114,BY55+BX56-CG55)))</f>
        <v>708.19999999999948</v>
      </c>
      <c r="BZ56" s="13">
        <f>BY56*VLOOKUP('Données projet'!$B$12,Paramètres!$A$1:$I$89,3,0)*VLOOKUP('Données projet'!$B$12,Paramètres!$A$1:$I$89,5,0)</f>
        <v>395.88379999999972</v>
      </c>
      <c r="CA56" s="13">
        <f t="shared" si="39"/>
        <v>90.941667130422957</v>
      </c>
      <c r="CB56" s="20">
        <f t="shared" si="10"/>
        <v>847.8876885854861</v>
      </c>
      <c r="CC56" s="57">
        <f t="shared" si="11"/>
        <v>1141.2210219188194</v>
      </c>
      <c r="CD56" s="57">
        <f ca="1">AVERAGE(OFFSET($CC$3,0,0,'Données projet'!$E$12+1,1))-AVERAGE(OFFSET($H$3,0,0,'Données projet'!$E$12+1,1))</f>
        <v>462.54745364638171</v>
      </c>
      <c r="CE56" s="57">
        <f t="shared" si="40"/>
        <v>571.50914830067313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90.94237457619856</v>
      </c>
      <c r="CL56" s="21">
        <f>EXP(-LN(2)/25)*CL55+(1-EXP(-LN(2)/25))/(LN(2)/25)*Calculateur!CG56*Calculateur!CI56*VLOOKUP('Données projet'!$B$12,Paramètres!$A$1:$I$89,3,0)*0.475*44/12</f>
        <v>30.538125334909139</v>
      </c>
      <c r="CM56" s="21">
        <f>EXP(-LN(2)/2)*CM55+(1-EXP(-LN(2)/2))/(LN(2)/2)*CG56*CJ56*VLOOKUP('Données projet'!$B$12,Paramètres!$A$1:$I$89,3,0)*0.475*44/12</f>
        <v>2.9364382612666844E-4</v>
      </c>
      <c r="CN56" s="22">
        <f t="shared" si="12"/>
        <v>121.48079355493383</v>
      </c>
      <c r="CO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</v>
      </c>
      <c r="CT56" s="12">
        <f>IF('Données projet'!$A$140&gt;35,CT55+CS56-DB55,IF(A56&lt;'Données projet'!$A$140,$CQ$205^A56,IF(A56='Données projet'!$A$140,'Données projet'!$B$140,CT55+CS56-DB55)))</f>
        <v>239.99999999999997</v>
      </c>
      <c r="CU56" s="17">
        <f>CT56*VLOOKUP('Données projet'!$B$13,Paramètres!$A$1:$I$89,3,0)*VLOOKUP('Données projet'!$B$13,Paramètres!$A$1:$I$89,5,0)</f>
        <v>228.38399999999999</v>
      </c>
      <c r="CV56" s="13">
        <f t="shared" si="41"/>
        <v>55.933121291087289</v>
      </c>
      <c r="CW56" s="20">
        <f t="shared" si="13"/>
        <v>495.18565291531036</v>
      </c>
      <c r="CX56" s="57">
        <f t="shared" si="14"/>
        <v>788.51898624864361</v>
      </c>
      <c r="CY56" s="57">
        <f ca="1">AVERAGE(OFFSET($CX$3,0,0,'Données projet'!$E$13+1,1))-AVERAGE(OFFSET($H$3,0,0,'Données projet'!$E$13+1,1))</f>
        <v>314.67680626853303</v>
      </c>
      <c r="CZ56" s="57">
        <f t="shared" si="42"/>
        <v>372.57247561536263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44.044161099345267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44.044161099345267</v>
      </c>
      <c r="DJ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7.4</v>
      </c>
      <c r="DO56" s="12">
        <f>IF('Données projet'!$A$166&gt;35,DO55+DN56-DW55,IF(A56&lt;'Données projet'!$A$166,$DL$205^A56,IF(A56='Données projet'!$A$166,'Données projet'!$B$166,DO55+DN56-DW55)))</f>
        <v>264.2</v>
      </c>
      <c r="DP56" s="17">
        <f>DO56*VLOOKUP('Données projet'!$B$14,Paramètres!$A$1:$I$89,3,0)*VLOOKUP('Données projet'!$B$14,Paramètres!$A$1:$I$89,5,0)</f>
        <v>173.10383999999999</v>
      </c>
      <c r="DQ56" s="13">
        <f t="shared" si="43"/>
        <v>43.784446785172882</v>
      </c>
      <c r="DR56" s="20">
        <f t="shared" si="16"/>
        <v>377.74709948417603</v>
      </c>
      <c r="DS56" s="57">
        <f t="shared" si="17"/>
        <v>671.08043281750929</v>
      </c>
      <c r="DT56" s="57">
        <f ca="1">AVERAGE(OFFSET($DS$3,0,0,'Données projet'!$E$14+1,1))-AVERAGE(OFFSET($H$3,0,0,'Données projet'!$E$14+1,1))</f>
        <v>188.80259324758066</v>
      </c>
      <c r="DU56" s="57">
        <f t="shared" si="44"/>
        <v>195.48048518255354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28.014381639398835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28.014381639398835</v>
      </c>
      <c r="EE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7.4</v>
      </c>
      <c r="EJ56" s="12">
        <f>IF('Données projet'!$A$192&gt;35,EJ55+EI56-ER55,IF(A56&lt;'Données projet'!$A$192,$EG$205^A56,IF(A56='Données projet'!$A$192,'Données projet'!$B$192,EJ55+EI56-ER55)))</f>
        <v>264.2</v>
      </c>
      <c r="EK56" s="17">
        <f>EJ56*VLOOKUP('Données projet'!$B$15,Paramètres!$A$1:$I$89,3,0)*VLOOKUP('Données projet'!$B$15,Paramètres!$A$1:$I$89,5,0)</f>
        <v>214.31903999999997</v>
      </c>
      <c r="EL56" s="13">
        <f t="shared" si="45"/>
        <v>52.878283414659698</v>
      </c>
      <c r="EM56" s="20">
        <f t="shared" si="19"/>
        <v>465.3686716138655</v>
      </c>
      <c r="EN56" s="57">
        <f t="shared" si="20"/>
        <v>758.70200494719882</v>
      </c>
      <c r="EO56" s="57">
        <f ca="1">AVERAGE(OFFSET($EN$3,0,0,'Données projet'!$E$15+1,1))-AVERAGE(OFFSET($H$3,0,0,'Données projet'!$E$15+1,1))</f>
        <v>250.90550982248311</v>
      </c>
      <c r="EP56" s="57">
        <f t="shared" si="46"/>
        <v>254.68874167908001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34.684472505922365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34.684472505922365</v>
      </c>
      <c r="EZ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7" t="e">
        <f t="shared" si="23"/>
        <v>#N/A</v>
      </c>
      <c r="FJ56" s="57" t="e">
        <f ca="1">AVERAGE(OFFSET($FI$3,0,0,'Données projet'!$E$16+1,1))-AVERAGE(OFFSET($H$3,0,0,'Données projet'!$E$16+1,1))</f>
        <v>#N/A</v>
      </c>
      <c r="FK56" s="57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7" t="e">
        <f t="shared" si="26"/>
        <v>#N/A</v>
      </c>
      <c r="GE56" s="57" t="e">
        <f ca="1">AVERAGE(OFFSET($GD$3,0,0,'Données projet'!$E$17+1,1))-AVERAGE(OFFSET($H$3,0,0,'Données projet'!$E$17+1,1))</f>
        <v>#N/A</v>
      </c>
      <c r="GF56" s="57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7" t="e">
        <f t="shared" si="29"/>
        <v>#N/A</v>
      </c>
      <c r="GZ56" s="57" t="e">
        <f ca="1">AVERAGE(OFFSET($GY$3,0,0,'Données projet'!$E$18+1,1))-AVERAGE(OFFSET($H$3,0,0,'Données projet'!$E$18+1,1))</f>
        <v>#N/A</v>
      </c>
      <c r="HA56" s="57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0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4">
        <f t="shared" si="1"/>
        <v>399.67250554404541</v>
      </c>
      <c r="I57" s="6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205.37711999999999</v>
      </c>
      <c r="P57" s="13">
        <f t="shared" si="33"/>
        <v>50.924065093909938</v>
      </c>
      <c r="Q57" s="20">
        <f t="shared" si="53"/>
        <v>446.39123070522641</v>
      </c>
      <c r="R57" s="57">
        <f t="shared" si="0"/>
        <v>739.72456403855972</v>
      </c>
      <c r="S57" s="57">
        <f ca="1">AVERAGE(OFFSET($R$3,0,0,'Données projet'!$E$9+1,1))-AVERAGE(OFFSET($H$3,0,0,'Données projet'!$E$9+1,1))</f>
        <v>267.44861001389006</v>
      </c>
      <c r="T57" s="57">
        <f t="shared" si="34"/>
        <v>165.25921510802965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35.933527979663495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35.933527979663495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10.199999999999999</v>
      </c>
      <c r="AI57" s="13">
        <f>IF('Données projet'!$A$62&gt;35,AI56+AH57-AQ56,IF(A57&lt;'Données projet'!$A$62,$AF$205^A57,IF(A57='Données projet'!$A$62,'Données projet'!$B$62,AI56+AH57-AQ56)))</f>
        <v>243.79999999999998</v>
      </c>
      <c r="AJ57" s="13">
        <f>AI57*VLOOKUP('Données projet'!$B$10,Paramètres!$A$1:$I$89,3,0)*VLOOKUP('Données projet'!$B$10,Paramètres!$A$1:$I$89,5,0)</f>
        <v>220.59023999999997</v>
      </c>
      <c r="AK57" s="13">
        <f t="shared" si="35"/>
        <v>54.24315145708789</v>
      </c>
      <c r="AL57" s="20">
        <f t="shared" si="4"/>
        <v>478.66815678776129</v>
      </c>
      <c r="AM57" s="57">
        <f t="shared" si="5"/>
        <v>772.00149012109455</v>
      </c>
      <c r="AN57" s="57">
        <f ca="1">AVERAGE(OFFSET($AM$3,0,0,'Données projet'!$E$10+1,1))-AVERAGE(OFFSET($H$3,0,0,'Données projet'!$E$10+1,1))</f>
        <v>294.92430430387071</v>
      </c>
      <c r="AO57" s="57">
        <f t="shared" si="36"/>
        <v>181.52228471516497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38.595270792971881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38.595270792971881</v>
      </c>
      <c r="AY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220.32192000000001</v>
      </c>
      <c r="BF57" s="13">
        <f t="shared" si="37"/>
        <v>54.18484748666976</v>
      </c>
      <c r="BG57" s="20">
        <f t="shared" si="7"/>
        <v>478.09928670594991</v>
      </c>
      <c r="BH57" s="57">
        <f t="shared" si="8"/>
        <v>771.43262003928317</v>
      </c>
      <c r="BI57" s="57">
        <f ca="1">AVERAGE(OFFSET($BH$3,0,0,'Données projet'!$E$11+1,1))-AVERAGE(OFFSET($H$3,0,0,'Données projet'!$E$11+1,1))</f>
        <v>250.90550982248311</v>
      </c>
      <c r="BJ57" s="57">
        <f t="shared" si="38"/>
        <v>254.68874167908001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34.004331155520532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34.004331155520532</v>
      </c>
      <c r="BT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15.4</v>
      </c>
      <c r="BY57" s="12">
        <f>IF('Données projet'!$A$114&gt;35,BY56+BX57-CG56,IF(A57&lt;'Données projet'!$A$114,$BV$205^A57,IF(A57='Données projet'!$A$114,'Données projet'!$B$114,BY56+BX57-CG56)))</f>
        <v>723.59999999999945</v>
      </c>
      <c r="BZ57" s="13">
        <f>BY57*VLOOKUP('Données projet'!$B$12,Paramètres!$A$1:$I$89,3,0)*VLOOKUP('Données projet'!$B$12,Paramètres!$A$1:$I$89,5,0)</f>
        <v>404.49239999999969</v>
      </c>
      <c r="CA57" s="13">
        <f t="shared" si="39"/>
        <v>92.686837535548761</v>
      </c>
      <c r="CB57" s="20">
        <f t="shared" si="10"/>
        <v>865.92050537441344</v>
      </c>
      <c r="CC57" s="57">
        <f t="shared" si="11"/>
        <v>1159.2538387077468</v>
      </c>
      <c r="CD57" s="57">
        <f ca="1">AVERAGE(OFFSET($CC$3,0,0,'Données projet'!$E$12+1,1))-AVERAGE(OFFSET($H$3,0,0,'Données projet'!$E$12+1,1))</f>
        <v>462.54745364638171</v>
      </c>
      <c r="CE57" s="57">
        <f t="shared" si="40"/>
        <v>571.50914830067313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89.159050080130655</v>
      </c>
      <c r="CL57" s="21">
        <f>EXP(-LN(2)/25)*CL56+(1-EXP(-LN(2)/25))/(LN(2)/25)*Calculateur!CG57*Calculateur!CI57*VLOOKUP('Données projet'!$B$12,Paramètres!$A$1:$I$89,3,0)*0.475*44/12</f>
        <v>29.703058691695833</v>
      </c>
      <c r="CM57" s="21">
        <f>EXP(-LN(2)/2)*CM56+(1-EXP(-LN(2)/2))/(LN(2)/2)*CG57*CJ57*VLOOKUP('Données projet'!$B$12,Paramètres!$A$1:$I$89,3,0)*0.475*44/12</f>
        <v>2.0763754070773075E-4</v>
      </c>
      <c r="CN57" s="22">
        <f t="shared" si="12"/>
        <v>118.8623164093672</v>
      </c>
      <c r="CO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</v>
      </c>
      <c r="CT57" s="12">
        <f>IF('Données projet'!$A$140&gt;35,CT56+CS57-DB56,IF(A57&lt;'Données projet'!$A$140,$CQ$205^A57,IF(A57='Données projet'!$A$140,'Données projet'!$B$140,CT56+CS57-DB56)))</f>
        <v>246.99999999999997</v>
      </c>
      <c r="CU57" s="17">
        <f>CT57*VLOOKUP('Données projet'!$B$13,Paramètres!$A$1:$I$89,3,0)*VLOOKUP('Données projet'!$B$13,Paramètres!$A$1:$I$89,5,0)</f>
        <v>235.04519999999999</v>
      </c>
      <c r="CV57" s="13">
        <f t="shared" si="41"/>
        <v>57.372190275906782</v>
      </c>
      <c r="CW57" s="20">
        <f t="shared" si="13"/>
        <v>509.29362139720428</v>
      </c>
      <c r="CX57" s="57">
        <f t="shared" si="14"/>
        <v>802.62695473053759</v>
      </c>
      <c r="CY57" s="57">
        <f ca="1">AVERAGE(OFFSET($CX$3,0,0,'Données projet'!$E$13+1,1))-AVERAGE(OFFSET($H$3,0,0,'Données projet'!$E$13+1,1))</f>
        <v>314.67680626853303</v>
      </c>
      <c r="CZ57" s="57">
        <f t="shared" si="42"/>
        <v>372.57247561536263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43.180481964472747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43.180481964472747</v>
      </c>
      <c r="DJ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7.4</v>
      </c>
      <c r="DO57" s="12">
        <f>IF('Données projet'!$A$166&gt;35,DO56+DN57-DW56,IF(A57&lt;'Données projet'!$A$166,$DL$205^A57,IF(A57='Données projet'!$A$166,'Données projet'!$B$166,DO56+DN57-DW56)))</f>
        <v>271.59999999999997</v>
      </c>
      <c r="DP57" s="17">
        <f>DO57*VLOOKUP('Données projet'!$B$14,Paramètres!$A$1:$I$89,3,0)*VLOOKUP('Données projet'!$B$14,Paramètres!$A$1:$I$89,5,0)</f>
        <v>177.95231999999999</v>
      </c>
      <c r="DQ57" s="13">
        <f t="shared" si="43"/>
        <v>44.866312182234566</v>
      </c>
      <c r="DR57" s="20">
        <f t="shared" si="16"/>
        <v>388.07578438405852</v>
      </c>
      <c r="DS57" s="57">
        <f t="shared" si="17"/>
        <v>681.40911771739184</v>
      </c>
      <c r="DT57" s="57">
        <f ca="1">AVERAGE(OFFSET($DS$3,0,0,'Données projet'!$E$14+1,1))-AVERAGE(OFFSET($H$3,0,0,'Données projet'!$E$14+1,1))</f>
        <v>188.80259324758066</v>
      </c>
      <c r="DU57" s="57">
        <f t="shared" si="44"/>
        <v>195.48048518255354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27.465036702535812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27.465036702535812</v>
      </c>
      <c r="EE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7.4</v>
      </c>
      <c r="EJ57" s="12">
        <f>IF('Données projet'!$A$192&gt;35,EJ56+EI57-ER56,IF(A57&lt;'Données projet'!$A$192,$EG$205^A57,IF(A57='Données projet'!$A$192,'Données projet'!$B$192,EJ56+EI57-ER56)))</f>
        <v>271.59999999999997</v>
      </c>
      <c r="EK57" s="17">
        <f>EJ57*VLOOKUP('Données projet'!$B$15,Paramètres!$A$1:$I$89,3,0)*VLOOKUP('Données projet'!$B$15,Paramètres!$A$1:$I$89,5,0)</f>
        <v>220.32192000000001</v>
      </c>
      <c r="EL57" s="13">
        <f t="shared" si="45"/>
        <v>54.18484748666976</v>
      </c>
      <c r="EM57" s="20">
        <f t="shared" si="19"/>
        <v>478.09928670594991</v>
      </c>
      <c r="EN57" s="57">
        <f t="shared" si="20"/>
        <v>771.43262003928317</v>
      </c>
      <c r="EO57" s="57">
        <f ca="1">AVERAGE(OFFSET($EN$3,0,0,'Données projet'!$E$15+1,1))-AVERAGE(OFFSET($H$3,0,0,'Données projet'!$E$15+1,1))</f>
        <v>250.90550982248311</v>
      </c>
      <c r="EP57" s="57">
        <f t="shared" si="46"/>
        <v>254.68874167908001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34.004331155520532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34.004331155520532</v>
      </c>
      <c r="EZ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7" t="e">
        <f t="shared" si="23"/>
        <v>#N/A</v>
      </c>
      <c r="FJ57" s="57" t="e">
        <f ca="1">AVERAGE(OFFSET($FI$3,0,0,'Données projet'!$E$16+1,1))-AVERAGE(OFFSET($H$3,0,0,'Données projet'!$E$16+1,1))</f>
        <v>#N/A</v>
      </c>
      <c r="FK57" s="57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7" t="e">
        <f t="shared" si="26"/>
        <v>#N/A</v>
      </c>
      <c r="GE57" s="57" t="e">
        <f ca="1">AVERAGE(OFFSET($GD$3,0,0,'Données projet'!$E$17+1,1))-AVERAGE(OFFSET($H$3,0,0,'Données projet'!$E$17+1,1))</f>
        <v>#N/A</v>
      </c>
      <c r="GF57" s="57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7" t="e">
        <f t="shared" si="29"/>
        <v>#N/A</v>
      </c>
      <c r="GZ57" s="57" t="e">
        <f ca="1">AVERAGE(OFFSET($GY$3,0,0,'Données projet'!$E$18+1,1))-AVERAGE(OFFSET($H$3,0,0,'Données projet'!$E$18+1,1))</f>
        <v>#N/A</v>
      </c>
      <c r="HA57" s="57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0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4">
        <f t="shared" si="1"/>
        <v>401.58921093986316</v>
      </c>
      <c r="I58" s="6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213.96960000000001</v>
      </c>
      <c r="P58" s="13">
        <f t="shared" si="33"/>
        <v>52.802095488627479</v>
      </c>
      <c r="Q58" s="20">
        <f t="shared" si="53"/>
        <v>464.62736964269283</v>
      </c>
      <c r="R58" s="57">
        <f t="shared" si="0"/>
        <v>757.96070297602614</v>
      </c>
      <c r="S58" s="57">
        <f ca="1">AVERAGE(OFFSET($R$3,0,0,'Données projet'!$E$9+1,1))-AVERAGE(OFFSET($H$3,0,0,'Données projet'!$E$9+1,1))</f>
        <v>267.44861001389006</v>
      </c>
      <c r="T58" s="57">
        <f t="shared" si="34"/>
        <v>165.25921510802965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46.441122315801636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46.441122315801636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10.199999999999999</v>
      </c>
      <c r="AH58" s="12">
        <f t="array" ref="AH58">INDEX(AG:AG,MIN(IF(ISNUMBER(AG58:AG254),ROW(AG58:AG254),"")))</f>
        <v>10.199999999999999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229.81919999999997</v>
      </c>
      <c r="AK58" s="13">
        <f t="shared" si="35"/>
        <v>56.243586554989342</v>
      </c>
      <c r="AL58" s="20">
        <f t="shared" si="4"/>
        <v>498.22601991660639</v>
      </c>
      <c r="AM58" s="57">
        <f t="shared" si="5"/>
        <v>791.5593532499397</v>
      </c>
      <c r="AN58" s="57">
        <f ca="1">AVERAGE(OFFSET($AM$3,0,0,'Données projet'!$E$10+1,1))-AVERAGE(OFFSET($H$3,0,0,'Données projet'!$E$10+1,1))</f>
        <v>294.92430430387071</v>
      </c>
      <c r="AO58" s="57">
        <f t="shared" si="36"/>
        <v>181.52228471516497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49.881205450305444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49.881205450305444</v>
      </c>
      <c r="AY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226.32479999999998</v>
      </c>
      <c r="BF58" s="13">
        <f t="shared" si="37"/>
        <v>55.48727390683667</v>
      </c>
      <c r="BG58" s="20">
        <f t="shared" si="7"/>
        <v>490.82269538774045</v>
      </c>
      <c r="BH58" s="57">
        <f t="shared" si="8"/>
        <v>784.15602872107377</v>
      </c>
      <c r="BI58" s="57">
        <f ca="1">AVERAGE(OFFSET($BH$3,0,0,'Données projet'!$E$11+1,1))-AVERAGE(OFFSET($H$3,0,0,'Données projet'!$E$11+1,1))</f>
        <v>250.90550982248311</v>
      </c>
      <c r="BJ58" s="57">
        <f t="shared" si="38"/>
        <v>254.68874167908001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39.50721905666947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39.50721905666947</v>
      </c>
      <c r="BT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739</v>
      </c>
      <c r="BW58" s="12">
        <f>VLOOKUP(A58,'Données projet'!$A$113:$I$133,9,0)</f>
        <v>15.4</v>
      </c>
      <c r="BX58" s="12">
        <f t="array" ref="BX58">INDEX(BW:BW,MIN(IF(ISNUMBER(BW58:BW254),ROW(BW58:BW254),"")))</f>
        <v>15.4</v>
      </c>
      <c r="BY58" s="12">
        <f>IF('Données projet'!$A$114&gt;35,BY57+BX58-CG57,IF(A58&lt;'Données projet'!$A$114,$BV$205^A58,IF(A58='Données projet'!$A$114,'Données projet'!$B$114,BY57+BX58-CG57)))</f>
        <v>738.99999999999943</v>
      </c>
      <c r="BZ58" s="13">
        <f>BY58*VLOOKUP('Données projet'!$B$12,Paramètres!$A$1:$I$89,3,0)*VLOOKUP('Données projet'!$B$12,Paramètres!$A$1:$I$89,5,0)</f>
        <v>413.10099999999971</v>
      </c>
      <c r="CA58" s="13">
        <f t="shared" si="39"/>
        <v>94.427689670462271</v>
      </c>
      <c r="CB58" s="20">
        <f t="shared" si="10"/>
        <v>883.94580117605472</v>
      </c>
      <c r="CC58" s="57">
        <f t="shared" si="11"/>
        <v>1177.2791345093881</v>
      </c>
      <c r="CD58" s="57">
        <f ca="1">AVERAGE(OFFSET($CC$3,0,0,'Données projet'!$E$12+1,1))-AVERAGE(OFFSET($H$3,0,0,'Données projet'!$E$12+1,1))</f>
        <v>462.54745364638171</v>
      </c>
      <c r="CE58" s="57">
        <f t="shared" si="40"/>
        <v>571.50914830067313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46</v>
      </c>
      <c r="CH58" s="16">
        <f>IF(ISNA(VLOOKUP(A58,'Données projet'!$A$113:$I$133,5,0)),0%,VLOOKUP(A58,'Données projet'!$A$113:$I$133,5,0)*VLOOKUP('Données projet'!$B$12,Paramètres!$A$1:$I$89,7,0))</f>
        <v>0.55000000000000004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106.17189861365489</v>
      </c>
      <c r="CL58" s="21">
        <f>EXP(-LN(2)/25)*CL57+(1-EXP(-LN(2)/25))/(LN(2)/25)*Calculateur!CG58*Calculateur!CI58*VLOOKUP('Données projet'!$B$12,Paramètres!$A$1:$I$89,3,0)*0.475*44/12</f>
        <v>28.890826989755443</v>
      </c>
      <c r="CM58" s="21">
        <f>EXP(-LN(2)/2)*CM57+(1-EXP(-LN(2)/2))/(LN(2)/2)*CG58*CJ58*VLOOKUP('Données projet'!$B$12,Paramètres!$A$1:$I$89,3,0)*0.475*44/12</f>
        <v>1.4682191306333422E-4</v>
      </c>
      <c r="CN58" s="22">
        <f t="shared" si="12"/>
        <v>135.06287242532341</v>
      </c>
      <c r="CO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254</v>
      </c>
      <c r="CR58" s="12">
        <f>VLOOKUP(A58,'Données projet'!$A$139:$I$159,9,0)</f>
        <v>7</v>
      </c>
      <c r="CS58" s="12">
        <f t="array" ref="CS58">INDEX(CR:CR,MIN(IF(ISNUMBER(CR58:CR254),ROW(CR58:CR254),"")))</f>
        <v>7</v>
      </c>
      <c r="CT58" s="12">
        <f>IF('Données projet'!$A$140&gt;35,CT57+CS58-DB57,IF(A58&lt;'Données projet'!$A$140,$CQ$205^A58,IF(A58='Données projet'!$A$140,'Données projet'!$B$140,CT57+CS58-DB57)))</f>
        <v>253.99999999999997</v>
      </c>
      <c r="CU58" s="17">
        <f>CT58*VLOOKUP('Données projet'!$B$13,Paramètres!$A$1:$I$89,3,0)*VLOOKUP('Données projet'!$B$13,Paramètres!$A$1:$I$89,5,0)</f>
        <v>241.70639999999997</v>
      </c>
      <c r="CV58" s="13">
        <f t="shared" si="41"/>
        <v>58.806519231842536</v>
      </c>
      <c r="CW58" s="20">
        <f t="shared" si="13"/>
        <v>523.39333432879232</v>
      </c>
      <c r="CX58" s="57">
        <f t="shared" si="14"/>
        <v>816.72666766212569</v>
      </c>
      <c r="CY58" s="57">
        <f ca="1">AVERAGE(OFFSET($CX$3,0,0,'Données projet'!$E$13+1,1))-AVERAGE(OFFSET($H$3,0,0,'Données projet'!$E$13+1,1))</f>
        <v>314.67680626853303</v>
      </c>
      <c r="CZ58" s="57">
        <f t="shared" si="42"/>
        <v>372.57247561536263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30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55.904095460452687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55.904095460452687</v>
      </c>
      <c r="DJ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279</v>
      </c>
      <c r="DM58" s="12">
        <f>VLOOKUP(A58,'Données projet'!$A$165:$I$185,9,0)</f>
        <v>7.4</v>
      </c>
      <c r="DN58" s="12">
        <f t="array" ref="DN58">INDEX(DM:DM,MIN(IF(ISNUMBER(DM58:DM254),ROW(DM58:DM254),"")))</f>
        <v>7.4</v>
      </c>
      <c r="DO58" s="12">
        <f>IF('Données projet'!$A$166&gt;35,DO57+DN58-DW57,IF(A58&lt;'Données projet'!$A$166,$DL$205^A58,IF(A58='Données projet'!$A$166,'Données projet'!$B$166,DO57+DN58-DW57)))</f>
        <v>278.99999999999994</v>
      </c>
      <c r="DP58" s="17">
        <f>DO58*VLOOKUP('Données projet'!$B$14,Paramètres!$A$1:$I$89,3,0)*VLOOKUP('Données projet'!$B$14,Paramètres!$A$1:$I$89,5,0)</f>
        <v>182.80079999999998</v>
      </c>
      <c r="DQ58" s="13">
        <f t="shared" si="43"/>
        <v>45.944751507471658</v>
      </c>
      <c r="DR58" s="20">
        <f t="shared" si="16"/>
        <v>398.39850220884642</v>
      </c>
      <c r="DS58" s="57">
        <f t="shared" si="17"/>
        <v>691.73183554217974</v>
      </c>
      <c r="DT58" s="57">
        <f ca="1">AVERAGE(OFFSET($DS$3,0,0,'Données projet'!$E$14+1,1))-AVERAGE(OFFSET($H$3,0,0,'Données projet'!$E$14+1,1))</f>
        <v>188.80259324758066</v>
      </c>
      <c r="DU58" s="57">
        <f t="shared" si="44"/>
        <v>195.48048518255354</v>
      </c>
      <c r="DV58" s="15">
        <f>IF(ISNA(VLOOKUP(A58,'Données projet'!$A$165:$I$185,3,0)),0,VLOOKUP(A58,'Données projet'!$A$165:$I$185,3,0))</f>
        <v>9</v>
      </c>
      <c r="DW58" s="15">
        <f>IF(ISNA(VLOOKUP(A58,'Données projet'!$A$165:$I$185,4,0)),0,VLOOKUP(A58,'Données projet'!$A$165:$I$185,4,0))</f>
        <v>16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31.909676930386873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31.909676930386873</v>
      </c>
      <c r="EE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279</v>
      </c>
      <c r="EH58" s="12">
        <f>VLOOKUP(A58,'Données projet'!$A$191:$I$211,9,0)</f>
        <v>7.4</v>
      </c>
      <c r="EI58" s="12">
        <f t="array" ref="EI58">INDEX(EH:EH,MIN(IF(ISNUMBER(EH58:EH254),ROW(EH58:EH254),"")))</f>
        <v>7.4</v>
      </c>
      <c r="EJ58" s="12">
        <f>IF('Données projet'!$A$192&gt;35,EJ57+EI58-ER57,IF(A58&lt;'Données projet'!$A$192,$EG$205^A58,IF(A58='Données projet'!$A$192,'Données projet'!$B$192,EJ57+EI58-ER57)))</f>
        <v>278.99999999999994</v>
      </c>
      <c r="EK58" s="17">
        <f>EJ58*VLOOKUP('Données projet'!$B$15,Paramètres!$A$1:$I$89,3,0)*VLOOKUP('Données projet'!$B$15,Paramètres!$A$1:$I$89,5,0)</f>
        <v>226.32479999999998</v>
      </c>
      <c r="EL58" s="13">
        <f t="shared" si="45"/>
        <v>55.48727390683667</v>
      </c>
      <c r="EM58" s="20">
        <f t="shared" si="19"/>
        <v>490.82269538774045</v>
      </c>
      <c r="EN58" s="57">
        <f t="shared" si="20"/>
        <v>784.15602872107377</v>
      </c>
      <c r="EO58" s="57">
        <f ca="1">AVERAGE(OFFSET($EN$3,0,0,'Données projet'!$E$15+1,1))-AVERAGE(OFFSET($H$3,0,0,'Données projet'!$E$15+1,1))</f>
        <v>250.90550982248311</v>
      </c>
      <c r="EP58" s="57">
        <f t="shared" si="46"/>
        <v>254.68874167908001</v>
      </c>
      <c r="EQ58" s="15">
        <f>IF(ISNA(VLOOKUP(A58,'Données projet'!$A$191:$I$211,3,0)),0,VLOOKUP(A58,'Données projet'!$A$191:$I$211,3,0))</f>
        <v>9</v>
      </c>
      <c r="ER58" s="15">
        <f>IF(ISNA(VLOOKUP(A58,'Données projet'!$A$191:$I$211,4,0)),0,VLOOKUP(A58,'Données projet'!$A$191:$I$211,4,0))</f>
        <v>16</v>
      </c>
      <c r="ES58" s="16">
        <f>IF(ISNA(VLOOKUP(A58,'Données projet'!$A$191:$I$211,5,0)),0%,VLOOKUP(A58,'Données projet'!$A$191:$I$211,5,0)*VLOOKUP('Données projet'!$B$15,Paramètres!$A$1:$I$89,7,0))</f>
        <v>0.43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39.50721905666947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39.50721905666947</v>
      </c>
      <c r="EZ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7" t="e">
        <f t="shared" si="23"/>
        <v>#N/A</v>
      </c>
      <c r="FJ58" s="57" t="e">
        <f ca="1">AVERAGE(OFFSET($FI$3,0,0,'Données projet'!$E$16+1,1))-AVERAGE(OFFSET($H$3,0,0,'Données projet'!$E$16+1,1))</f>
        <v>#N/A</v>
      </c>
      <c r="FK58" s="57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7" t="e">
        <f t="shared" si="26"/>
        <v>#N/A</v>
      </c>
      <c r="GE58" s="57" t="e">
        <f ca="1">AVERAGE(OFFSET($GD$3,0,0,'Données projet'!$E$17+1,1))-AVERAGE(OFFSET($H$3,0,0,'Données projet'!$E$17+1,1))</f>
        <v>#N/A</v>
      </c>
      <c r="GF58" s="57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7" t="e">
        <f t="shared" si="29"/>
        <v>#N/A</v>
      </c>
      <c r="GZ58" s="57" t="e">
        <f ca="1">AVERAGE(OFFSET($GY$3,0,0,'Données projet'!$E$18+1,1))-AVERAGE(OFFSET($H$3,0,0,'Données projet'!$E$18+1,1))</f>
        <v>#N/A</v>
      </c>
      <c r="HA58" s="57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0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4">
        <f t="shared" si="1"/>
        <v>403.50508081540659</v>
      </c>
      <c r="I59" s="6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198.30096</v>
      </c>
      <c r="P59" s="13">
        <f t="shared" si="33"/>
        <v>49.3705849564736</v>
      </c>
      <c r="Q59" s="20">
        <f t="shared" si="53"/>
        <v>431.36127413252484</v>
      </c>
      <c r="R59" s="57">
        <f t="shared" si="0"/>
        <v>724.6946074658581</v>
      </c>
      <c r="S59" s="57">
        <f ca="1">AVERAGE(OFFSET($R$3,0,0,'Données projet'!$E$9+1,1))-AVERAGE(OFFSET($H$3,0,0,'Données projet'!$E$9+1,1))</f>
        <v>267.44861001389006</v>
      </c>
      <c r="T59" s="57">
        <f t="shared" si="34"/>
        <v>165.25921510802965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45.530440233476391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45.530440233476391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9.4</v>
      </c>
      <c r="AI59" s="13">
        <f>IF('Données projet'!$A$62&gt;35,AI58+AH59-AQ58,IF(A59&lt;'Données projet'!$A$62,$AF$205^A59,IF(A59='Données projet'!$A$62,'Données projet'!$B$62,AI58+AH59-AQ58)))</f>
        <v>235.39999999999998</v>
      </c>
      <c r="AJ59" s="13">
        <f>AI59*VLOOKUP('Données projet'!$B$10,Paramètres!$A$1:$I$89,3,0)*VLOOKUP('Données projet'!$B$10,Paramètres!$A$1:$I$89,5,0)</f>
        <v>212.98991999999998</v>
      </c>
      <c r="AK59" s="13">
        <f t="shared" si="35"/>
        <v>52.588419883221171</v>
      </c>
      <c r="AL59" s="20">
        <f t="shared" si="4"/>
        <v>462.54894196327677</v>
      </c>
      <c r="AM59" s="57">
        <f t="shared" si="5"/>
        <v>755.88227529661003</v>
      </c>
      <c r="AN59" s="57">
        <f ca="1">AVERAGE(OFFSET($AM$3,0,0,'Données projet'!$E$10+1,1))-AVERAGE(OFFSET($H$3,0,0,'Données projet'!$E$10+1,1))</f>
        <v>294.92430430387071</v>
      </c>
      <c r="AO59" s="57">
        <f t="shared" si="36"/>
        <v>181.52228471516497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48.903065435956108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48.903065435956108</v>
      </c>
      <c r="AY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218.37503999999998</v>
      </c>
      <c r="BF59" s="13">
        <f t="shared" si="37"/>
        <v>53.761556452013281</v>
      </c>
      <c r="BG59" s="20">
        <f t="shared" si="7"/>
        <v>473.97123882058969</v>
      </c>
      <c r="BH59" s="57">
        <f t="shared" si="8"/>
        <v>767.304572153923</v>
      </c>
      <c r="BI59" s="57">
        <f ca="1">AVERAGE(OFFSET($BH$3,0,0,'Données projet'!$E$11+1,1))-AVERAGE(OFFSET($H$3,0,0,'Données projet'!$E$11+1,1))</f>
        <v>250.90550982248311</v>
      </c>
      <c r="BJ59" s="57">
        <f t="shared" si="38"/>
        <v>254.68874167908001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38.732506587992425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38.732506587992425</v>
      </c>
      <c r="BT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12.2</v>
      </c>
      <c r="BY59" s="12">
        <f>IF('Données projet'!$A$114&gt;35,BY58+BX59-CG58,IF(A59&lt;'Données projet'!$A$114,$BV$205^A59,IF(A59='Données projet'!$A$114,'Données projet'!$B$114,BY58+BX59-CG58)))</f>
        <v>705.19999999999948</v>
      </c>
      <c r="BZ59" s="13">
        <f>BY59*VLOOKUP('Données projet'!$B$12,Paramètres!$A$1:$I$89,3,0)*VLOOKUP('Données projet'!$B$12,Paramètres!$A$1:$I$89,5,0)</f>
        <v>394.2067999999997</v>
      </c>
      <c r="CA59" s="13">
        <f t="shared" si="39"/>
        <v>90.601187466199292</v>
      </c>
      <c r="CB59" s="20">
        <f t="shared" si="10"/>
        <v>844.37391150362998</v>
      </c>
      <c r="CC59" s="57">
        <f t="shared" si="11"/>
        <v>1137.7072448369634</v>
      </c>
      <c r="CD59" s="57">
        <f ca="1">AVERAGE(OFFSET($CC$3,0,0,'Données projet'!$E$12+1,1))-AVERAGE(OFFSET($H$3,0,0,'Données projet'!$E$12+1,1))</f>
        <v>462.54745364638171</v>
      </c>
      <c r="CE59" s="57">
        <f t="shared" si="40"/>
        <v>571.50914830067313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104.08993244030491</v>
      </c>
      <c r="CL59" s="21">
        <f>EXP(-LN(2)/25)*CL58+(1-EXP(-LN(2)/25))/(LN(2)/25)*Calculateur!CG59*Calculateur!CI59*VLOOKUP('Données projet'!$B$12,Paramètres!$A$1:$I$89,3,0)*0.475*44/12</f>
        <v>28.10080580641802</v>
      </c>
      <c r="CM59" s="21">
        <f>EXP(-LN(2)/2)*CM58+(1-EXP(-LN(2)/2))/(LN(2)/2)*CG59*CJ59*VLOOKUP('Données projet'!$B$12,Paramètres!$A$1:$I$89,3,0)*0.475*44/12</f>
        <v>1.0381877035386538E-4</v>
      </c>
      <c r="CN59" s="22">
        <f t="shared" si="12"/>
        <v>132.19084206549329</v>
      </c>
      <c r="CO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6.6</v>
      </c>
      <c r="CT59" s="12">
        <f>IF('Données projet'!$A$140&gt;35,CT58+CS59-DB58,IF(A59&lt;'Données projet'!$A$140,$CQ$205^A59,IF(A59='Données projet'!$A$140,'Données projet'!$B$140,CT58+CS59-DB58)))</f>
        <v>230.59999999999997</v>
      </c>
      <c r="CU59" s="17">
        <f>CT59*VLOOKUP('Données projet'!$B$13,Paramètres!$A$1:$I$89,3,0)*VLOOKUP('Données projet'!$B$13,Paramètres!$A$1:$I$89,5,0)</f>
        <v>219.43895999999995</v>
      </c>
      <c r="CV59" s="13">
        <f t="shared" si="41"/>
        <v>53.992928333089367</v>
      </c>
      <c r="CW59" s="20">
        <f t="shared" si="13"/>
        <v>476.22720551346384</v>
      </c>
      <c r="CX59" s="57">
        <f t="shared" si="14"/>
        <v>769.56053884679716</v>
      </c>
      <c r="CY59" s="57">
        <f ca="1">AVERAGE(OFFSET($CX$3,0,0,'Données projet'!$E$13+1,1))-AVERAGE(OFFSET($H$3,0,0,'Données projet'!$E$13+1,1))</f>
        <v>314.67680626853303</v>
      </c>
      <c r="CZ59" s="57">
        <f t="shared" si="42"/>
        <v>372.57247561536263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54.807850246604531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54.807850246604531</v>
      </c>
      <c r="DJ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6.2</v>
      </c>
      <c r="DO59" s="12">
        <f>IF('Données projet'!$A$166&gt;35,DO58+DN59-DW58,IF(A59&lt;'Données projet'!$A$166,$DL$205^A59,IF(A59='Données projet'!$A$166,'Données projet'!$B$166,DO58+DN59-DW58)))</f>
        <v>269.19999999999993</v>
      </c>
      <c r="DP59" s="17">
        <f>DO59*VLOOKUP('Données projet'!$B$14,Paramètres!$A$1:$I$89,3,0)*VLOOKUP('Données projet'!$B$14,Paramètres!$A$1:$I$89,5,0)</f>
        <v>176.37983999999994</v>
      </c>
      <c r="DQ59" s="13">
        <f t="shared" si="43"/>
        <v>44.51581737444701</v>
      </c>
      <c r="DR59" s="20">
        <f t="shared" si="16"/>
        <v>384.7266032604951</v>
      </c>
      <c r="DS59" s="57">
        <f t="shared" si="17"/>
        <v>678.05993659382841</v>
      </c>
      <c r="DT59" s="57">
        <f ca="1">AVERAGE(OFFSET($DS$3,0,0,'Données projet'!$E$14+1,1))-AVERAGE(OFFSET($H$3,0,0,'Données projet'!$E$14+1,1))</f>
        <v>188.80259324758066</v>
      </c>
      <c r="DU59" s="57">
        <f t="shared" si="44"/>
        <v>195.48048518255354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31.283947628763105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31.283947628763105</v>
      </c>
      <c r="EE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6.2</v>
      </c>
      <c r="EJ59" s="12">
        <f>IF('Données projet'!$A$192&gt;35,EJ58+EI59-ER58,IF(A59&lt;'Données projet'!$A$192,$EG$205^A59,IF(A59='Données projet'!$A$192,'Données projet'!$B$192,EJ58+EI59-ER58)))</f>
        <v>269.19999999999993</v>
      </c>
      <c r="EK59" s="17">
        <f>EJ59*VLOOKUP('Données projet'!$B$15,Paramètres!$A$1:$I$89,3,0)*VLOOKUP('Données projet'!$B$15,Paramètres!$A$1:$I$89,5,0)</f>
        <v>218.37503999999998</v>
      </c>
      <c r="EL59" s="13">
        <f t="shared" si="45"/>
        <v>53.761556452013281</v>
      </c>
      <c r="EM59" s="20">
        <f t="shared" si="19"/>
        <v>473.97123882058969</v>
      </c>
      <c r="EN59" s="57">
        <f t="shared" si="20"/>
        <v>767.304572153923</v>
      </c>
      <c r="EO59" s="57">
        <f ca="1">AVERAGE(OFFSET($EN$3,0,0,'Données projet'!$E$15+1,1))-AVERAGE(OFFSET($H$3,0,0,'Données projet'!$E$15+1,1))</f>
        <v>250.90550982248311</v>
      </c>
      <c r="EP59" s="57">
        <f t="shared" si="46"/>
        <v>254.68874167908001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38.732506587992425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38.732506587992425</v>
      </c>
      <c r="EZ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7" t="e">
        <f t="shared" si="23"/>
        <v>#N/A</v>
      </c>
      <c r="FJ59" s="57" t="e">
        <f ca="1">AVERAGE(OFFSET($FI$3,0,0,'Données projet'!$E$16+1,1))-AVERAGE(OFFSET($H$3,0,0,'Données projet'!$E$16+1,1))</f>
        <v>#N/A</v>
      </c>
      <c r="FK59" s="57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7" t="e">
        <f t="shared" si="26"/>
        <v>#N/A</v>
      </c>
      <c r="GE59" s="57" t="e">
        <f ca="1">AVERAGE(OFFSET($GD$3,0,0,'Données projet'!$E$17+1,1))-AVERAGE(OFFSET($H$3,0,0,'Données projet'!$E$17+1,1))</f>
        <v>#N/A</v>
      </c>
      <c r="GF59" s="57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7" t="e">
        <f t="shared" si="29"/>
        <v>#N/A</v>
      </c>
      <c r="GZ59" s="57" t="e">
        <f ca="1">AVERAGE(OFFSET($GY$3,0,0,'Données projet'!$E$18+1,1))-AVERAGE(OFFSET($H$3,0,0,'Données projet'!$E$18+1,1))</f>
        <v>#N/A</v>
      </c>
      <c r="HA59" s="57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0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4">
        <f t="shared" si="1"/>
        <v>405.4201318118532</v>
      </c>
      <c r="I60" s="6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206.21952000000002</v>
      </c>
      <c r="P60" s="13">
        <f t="shared" si="33"/>
        <v>51.108584284640322</v>
      </c>
      <c r="Q60" s="20">
        <f t="shared" si="53"/>
        <v>448.1797816290819</v>
      </c>
      <c r="R60" s="57">
        <f t="shared" si="0"/>
        <v>741.51311496241522</v>
      </c>
      <c r="S60" s="57">
        <f ca="1">AVERAGE(OFFSET($R$3,0,0,'Données projet'!$E$9+1,1))-AVERAGE(OFFSET($H$3,0,0,'Données projet'!$E$9+1,1))</f>
        <v>267.44861001389006</v>
      </c>
      <c r="T60" s="57">
        <f t="shared" si="34"/>
        <v>165.25921510802965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44.637616071324317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44.637616071324317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9.4</v>
      </c>
      <c r="AI60" s="13">
        <f>IF('Données projet'!$A$62&gt;35,AI59+AH60-AQ59,IF(A60&lt;'Données projet'!$A$62,$AF$205^A60,IF(A60='Données projet'!$A$62,'Données projet'!$B$62,AI59+AH60-AQ59)))</f>
        <v>244.79999999999998</v>
      </c>
      <c r="AJ60" s="13">
        <f>AI60*VLOOKUP('Données projet'!$B$10,Paramètres!$A$1:$I$89,3,0)*VLOOKUP('Données projet'!$B$10,Paramètres!$A$1:$I$89,5,0)</f>
        <v>221.49503999999999</v>
      </c>
      <c r="AK60" s="13">
        <f t="shared" si="35"/>
        <v>54.439697086174412</v>
      </c>
      <c r="AL60" s="20">
        <f t="shared" si="4"/>
        <v>480.58633375842032</v>
      </c>
      <c r="AM60" s="57">
        <f t="shared" si="5"/>
        <v>773.91966709175358</v>
      </c>
      <c r="AN60" s="57">
        <f ca="1">AVERAGE(OFFSET($AM$3,0,0,'Données projet'!$E$10+1,1))-AVERAGE(OFFSET($H$3,0,0,'Données projet'!$E$10+1,1))</f>
        <v>294.92430430387071</v>
      </c>
      <c r="AO60" s="57">
        <f t="shared" si="36"/>
        <v>181.52228471516497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47.944106150681662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47.944106150681662</v>
      </c>
      <c r="AY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223.40447999999995</v>
      </c>
      <c r="BF60" s="13">
        <f t="shared" si="37"/>
        <v>54.854170008795911</v>
      </c>
      <c r="BG60" s="20">
        <f t="shared" si="7"/>
        <v>484.63381543198619</v>
      </c>
      <c r="BH60" s="57">
        <f t="shared" si="8"/>
        <v>777.96714876531951</v>
      </c>
      <c r="BI60" s="57">
        <f ca="1">AVERAGE(OFFSET($BH$3,0,0,'Données projet'!$E$11+1,1))-AVERAGE(OFFSET($H$3,0,0,'Données projet'!$E$11+1,1))</f>
        <v>250.90550982248311</v>
      </c>
      <c r="BJ60" s="57">
        <f t="shared" si="38"/>
        <v>254.68874167908001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37.972985758298186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37.972985758298186</v>
      </c>
      <c r="BT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12.2</v>
      </c>
      <c r="BY60" s="12">
        <f>IF('Données projet'!$A$114&gt;35,BY59+BX60-CG59,IF(A60&lt;'Données projet'!$A$114,$BV$205^A60,IF(A60='Données projet'!$A$114,'Données projet'!$B$114,BY59+BX60-CG59)))</f>
        <v>717.39999999999952</v>
      </c>
      <c r="BZ60" s="13">
        <f>BY60*VLOOKUP('Données projet'!$B$12,Paramètres!$A$1:$I$89,3,0)*VLOOKUP('Données projet'!$B$12,Paramètres!$A$1:$I$89,5,0)</f>
        <v>401.02659999999975</v>
      </c>
      <c r="CA60" s="13">
        <f t="shared" si="39"/>
        <v>91.984761558101539</v>
      </c>
      <c r="CB60" s="20">
        <f t="shared" si="10"/>
        <v>858.66145471369293</v>
      </c>
      <c r="CC60" s="57">
        <f t="shared" si="11"/>
        <v>1151.9947880470263</v>
      </c>
      <c r="CD60" s="57">
        <f ca="1">AVERAGE(OFFSET($CC$3,0,0,'Données projet'!$E$12+1,1))-AVERAGE(OFFSET($H$3,0,0,'Données projet'!$E$12+1,1))</f>
        <v>462.54745364638171</v>
      </c>
      <c r="CE60" s="57">
        <f t="shared" si="40"/>
        <v>571.50914830067313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102.04879235374034</v>
      </c>
      <c r="CL60" s="21">
        <f>EXP(-LN(2)/25)*CL59+(1-EXP(-LN(2)/25))/(LN(2)/25)*Calculateur!CG60*Calculateur!CI60*VLOOKUP('Données projet'!$B$12,Paramètres!$A$1:$I$89,3,0)*0.475*44/12</f>
        <v>27.332387793884365</v>
      </c>
      <c r="CM60" s="21">
        <f>EXP(-LN(2)/2)*CM59+(1-EXP(-LN(2)/2))/(LN(2)/2)*CG60*CJ60*VLOOKUP('Données projet'!$B$12,Paramètres!$A$1:$I$89,3,0)*0.475*44/12</f>
        <v>7.3410956531667109E-5</v>
      </c>
      <c r="CN60" s="22">
        <f t="shared" si="12"/>
        <v>129.38125355858125</v>
      </c>
      <c r="CO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6.6</v>
      </c>
      <c r="CT60" s="12">
        <f>IF('Données projet'!$A$140&gt;35,CT59+CS60-DB59,IF(A60&lt;'Données projet'!$A$140,$CQ$205^A60,IF(A60='Données projet'!$A$140,'Données projet'!$B$140,CT59+CS60-DB59)))</f>
        <v>237.19999999999996</v>
      </c>
      <c r="CU60" s="17">
        <f>CT60*VLOOKUP('Données projet'!$B$13,Paramètres!$A$1:$I$89,3,0)*VLOOKUP('Données projet'!$B$13,Paramètres!$A$1:$I$89,5,0)</f>
        <v>225.71951999999999</v>
      </c>
      <c r="CV60" s="13">
        <f t="shared" si="41"/>
        <v>55.356132169127413</v>
      </c>
      <c r="CW60" s="20">
        <f t="shared" si="13"/>
        <v>489.54009419456355</v>
      </c>
      <c r="CX60" s="57">
        <f t="shared" si="14"/>
        <v>782.87342752789687</v>
      </c>
      <c r="CY60" s="57">
        <f ca="1">AVERAGE(OFFSET($CX$3,0,0,'Données projet'!$E$13+1,1))-AVERAGE(OFFSET($H$3,0,0,'Données projet'!$E$13+1,1))</f>
        <v>314.67680626853303</v>
      </c>
      <c r="CZ60" s="57">
        <f t="shared" si="42"/>
        <v>372.57247561536263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53.733101732756381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53.733101732756381</v>
      </c>
      <c r="DJ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6.2</v>
      </c>
      <c r="DO60" s="12">
        <f>IF('Données projet'!$A$166&gt;35,DO59+DN60-DW59,IF(A60&lt;'Données projet'!$A$166,$DL$205^A60,IF(A60='Données projet'!$A$166,'Données projet'!$B$166,DO59+DN60-DW59)))</f>
        <v>275.39999999999992</v>
      </c>
      <c r="DP60" s="17">
        <f>DO60*VLOOKUP('Données projet'!$B$14,Paramètres!$A$1:$I$89,3,0)*VLOOKUP('Données projet'!$B$14,Paramètres!$A$1:$I$89,5,0)</f>
        <v>180.44207999999995</v>
      </c>
      <c r="DQ60" s="13">
        <f t="shared" si="43"/>
        <v>45.420526775820029</v>
      </c>
      <c r="DR60" s="20">
        <f t="shared" si="16"/>
        <v>393.37737346788646</v>
      </c>
      <c r="DS60" s="57">
        <f t="shared" si="17"/>
        <v>686.71070680121977</v>
      </c>
      <c r="DT60" s="57">
        <f ca="1">AVERAGE(OFFSET($DS$3,0,0,'Données projet'!$E$14+1,1))-AVERAGE(OFFSET($H$3,0,0,'Données projet'!$E$14+1,1))</f>
        <v>188.80259324758066</v>
      </c>
      <c r="DU60" s="57">
        <f t="shared" si="44"/>
        <v>195.48048518255354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30.670488497086989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30.670488497086989</v>
      </c>
      <c r="EE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6.2</v>
      </c>
      <c r="EJ60" s="12">
        <f>IF('Données projet'!$A$192&gt;35,EJ59+EI60-ER59,IF(A60&lt;'Données projet'!$A$192,$EG$205^A60,IF(A60='Données projet'!$A$192,'Données projet'!$B$192,EJ59+EI60-ER59)))</f>
        <v>275.39999999999992</v>
      </c>
      <c r="EK60" s="17">
        <f>EJ60*VLOOKUP('Données projet'!$B$15,Paramètres!$A$1:$I$89,3,0)*VLOOKUP('Données projet'!$B$15,Paramètres!$A$1:$I$89,5,0)</f>
        <v>223.40447999999995</v>
      </c>
      <c r="EL60" s="13">
        <f t="shared" si="45"/>
        <v>54.854170008795911</v>
      </c>
      <c r="EM60" s="20">
        <f t="shared" si="19"/>
        <v>484.63381543198619</v>
      </c>
      <c r="EN60" s="57">
        <f t="shared" si="20"/>
        <v>777.96714876531951</v>
      </c>
      <c r="EO60" s="57">
        <f ca="1">AVERAGE(OFFSET($EN$3,0,0,'Données projet'!$E$15+1,1))-AVERAGE(OFFSET($H$3,0,0,'Données projet'!$E$15+1,1))</f>
        <v>250.90550982248311</v>
      </c>
      <c r="EP60" s="57">
        <f t="shared" si="46"/>
        <v>254.68874167908001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37.972985758298186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37.972985758298186</v>
      </c>
      <c r="EZ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7" t="e">
        <f t="shared" si="23"/>
        <v>#N/A</v>
      </c>
      <c r="FJ60" s="57" t="e">
        <f ca="1">AVERAGE(OFFSET($FI$3,0,0,'Données projet'!$E$16+1,1))-AVERAGE(OFFSET($H$3,0,0,'Données projet'!$E$16+1,1))</f>
        <v>#N/A</v>
      </c>
      <c r="FK60" s="57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7" t="e">
        <f t="shared" si="26"/>
        <v>#N/A</v>
      </c>
      <c r="GE60" s="57" t="e">
        <f ca="1">AVERAGE(OFFSET($GD$3,0,0,'Données projet'!$E$17+1,1))-AVERAGE(OFFSET($H$3,0,0,'Données projet'!$E$17+1,1))</f>
        <v>#N/A</v>
      </c>
      <c r="GF60" s="57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7" t="e">
        <f t="shared" si="29"/>
        <v>#N/A</v>
      </c>
      <c r="GZ60" s="57" t="e">
        <f ca="1">AVERAGE(OFFSET($GY$3,0,0,'Données projet'!$E$18+1,1))-AVERAGE(OFFSET($H$3,0,0,'Données projet'!$E$18+1,1))</f>
        <v>#N/A</v>
      </c>
      <c r="HA60" s="57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0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4">
        <f t="shared" si="1"/>
        <v>407.33437995303234</v>
      </c>
      <c r="I61" s="6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214.13808</v>
      </c>
      <c r="P61" s="13">
        <f t="shared" si="33"/>
        <v>52.838830759579693</v>
      </c>
      <c r="Q61" s="20">
        <f t="shared" si="53"/>
        <v>464.98478623960131</v>
      </c>
      <c r="R61" s="57">
        <f t="shared" si="0"/>
        <v>758.31811957293462</v>
      </c>
      <c r="S61" s="57">
        <f ca="1">AVERAGE(OFFSET($R$3,0,0,'Données projet'!$E$9+1,1))-AVERAGE(OFFSET($H$3,0,0,'Données projet'!$E$9+1,1))</f>
        <v>267.44861001389006</v>
      </c>
      <c r="T61" s="57">
        <f t="shared" si="34"/>
        <v>165.25921510802965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43.762299646423081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43.762299646423081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9.4</v>
      </c>
      <c r="AI61" s="13">
        <f>IF('Données projet'!$A$62&gt;35,AI60+AH61-AQ60,IF(A61&lt;'Données projet'!$A$62,$AF$205^A61,IF(A61='Données projet'!$A$62,'Données projet'!$B$62,AI60+AH61-AQ60)))</f>
        <v>254.2</v>
      </c>
      <c r="AJ61" s="13">
        <f>AI61*VLOOKUP('Données projet'!$B$10,Paramètres!$A$1:$I$89,3,0)*VLOOKUP('Données projet'!$B$10,Paramètres!$A$1:$I$89,5,0)</f>
        <v>230.00015999999997</v>
      </c>
      <c r="AK61" s="13">
        <f t="shared" si="35"/>
        <v>56.282716126880423</v>
      </c>
      <c r="AL61" s="20">
        <f t="shared" si="4"/>
        <v>498.60934258765002</v>
      </c>
      <c r="AM61" s="57">
        <f t="shared" si="5"/>
        <v>791.94267592098333</v>
      </c>
      <c r="AN61" s="57">
        <f ca="1">AVERAGE(OFFSET($AM$3,0,0,'Données projet'!$E$10+1,1))-AVERAGE(OFFSET($H$3,0,0,'Données projet'!$E$10+1,1))</f>
        <v>294.92430430387071</v>
      </c>
      <c r="AO61" s="57">
        <f t="shared" si="36"/>
        <v>181.52228471516497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47.00395147208404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47.00395147208404</v>
      </c>
      <c r="AY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228.43391999999994</v>
      </c>
      <c r="BF61" s="13">
        <f t="shared" si="37"/>
        <v>55.943923887219448</v>
      </c>
      <c r="BG61" s="20">
        <f t="shared" si="7"/>
        <v>495.29141143690708</v>
      </c>
      <c r="BH61" s="57">
        <f t="shared" si="8"/>
        <v>788.62474477024034</v>
      </c>
      <c r="BI61" s="57">
        <f ca="1">AVERAGE(OFFSET($BH$3,0,0,'Données projet'!$E$11+1,1))-AVERAGE(OFFSET($H$3,0,0,'Données projet'!$E$11+1,1))</f>
        <v>250.90550982248311</v>
      </c>
      <c r="BJ61" s="57">
        <f t="shared" si="38"/>
        <v>254.68874167908001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37.228358668812291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37.228358668812291</v>
      </c>
      <c r="BT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12.2</v>
      </c>
      <c r="BY61" s="12">
        <f>IF('Données projet'!$A$114&gt;35,BY60+BX61-CG60,IF(A61&lt;'Données projet'!$A$114,$BV$205^A61,IF(A61='Données projet'!$A$114,'Données projet'!$B$114,BY60+BX61-CG60)))</f>
        <v>729.59999999999957</v>
      </c>
      <c r="BZ61" s="13">
        <f>BY61*VLOOKUP('Données projet'!$B$12,Paramètres!$A$1:$I$89,3,0)*VLOOKUP('Données projet'!$B$12,Paramètres!$A$1:$I$89,5,0)</f>
        <v>407.84639999999973</v>
      </c>
      <c r="CA61" s="13">
        <f t="shared" si="39"/>
        <v>93.365599460181741</v>
      </c>
      <c r="CB61" s="20">
        <f t="shared" si="10"/>
        <v>872.94423239314926</v>
      </c>
      <c r="CC61" s="57">
        <f t="shared" si="11"/>
        <v>1166.2775657264826</v>
      </c>
      <c r="CD61" s="57">
        <f ca="1">AVERAGE(OFFSET($CC$3,0,0,'Données projet'!$E$12+1,1))-AVERAGE(OFFSET($H$3,0,0,'Données projet'!$E$12+1,1))</f>
        <v>462.54745364638171</v>
      </c>
      <c r="CE61" s="57">
        <f t="shared" si="40"/>
        <v>571.50914830067313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100.04767777930078</v>
      </c>
      <c r="CL61" s="21">
        <f>EXP(-LN(2)/25)*CL60+(1-EXP(-LN(2)/25))/(LN(2)/25)*Calculateur!CG61*Calculateur!CI61*VLOOKUP('Données projet'!$B$12,Paramètres!$A$1:$I$89,3,0)*0.475*44/12</f>
        <v>26.584982212312791</v>
      </c>
      <c r="CM61" s="21">
        <f>EXP(-LN(2)/2)*CM60+(1-EXP(-LN(2)/2))/(LN(2)/2)*CG61*CJ61*VLOOKUP('Données projet'!$B$12,Paramètres!$A$1:$I$89,3,0)*0.475*44/12</f>
        <v>5.1909385176932688E-5</v>
      </c>
      <c r="CN61" s="22">
        <f t="shared" si="12"/>
        <v>126.63271190099876</v>
      </c>
      <c r="CO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6.6</v>
      </c>
      <c r="CT61" s="12">
        <f>IF('Données projet'!$A$140&gt;35,CT60+CS61-DB60,IF(A61&lt;'Données projet'!$A$140,$CQ$205^A61,IF(A61='Données projet'!$A$140,'Données projet'!$B$140,CT60+CS61-DB60)))</f>
        <v>243.79999999999995</v>
      </c>
      <c r="CU61" s="17">
        <f>CT61*VLOOKUP('Données projet'!$B$13,Paramètres!$A$1:$I$89,3,0)*VLOOKUP('Données projet'!$B$13,Paramètres!$A$1:$I$89,5,0)</f>
        <v>232.00007999999994</v>
      </c>
      <c r="CV61" s="13">
        <f t="shared" si="41"/>
        <v>56.714927420893837</v>
      </c>
      <c r="CW61" s="20">
        <f t="shared" si="13"/>
        <v>502.84530459138995</v>
      </c>
      <c r="CX61" s="57">
        <f t="shared" si="14"/>
        <v>796.17863792472326</v>
      </c>
      <c r="CY61" s="57">
        <f ca="1">AVERAGE(OFFSET($CX$3,0,0,'Données projet'!$E$13+1,1))-AVERAGE(OFFSET($H$3,0,0,'Données projet'!$E$13+1,1))</f>
        <v>314.67680626853303</v>
      </c>
      <c r="CZ61" s="57">
        <f t="shared" si="42"/>
        <v>372.57247561536263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52.679428381732926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52.679428381732926</v>
      </c>
      <c r="DJ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6.2</v>
      </c>
      <c r="DO61" s="12">
        <f>IF('Données projet'!$A$166&gt;35,DO60+DN61-DW60,IF(A61&lt;'Données projet'!$A$166,$DL$205^A61,IF(A61='Données projet'!$A$166,'Données projet'!$B$166,DO60+DN61-DW60)))</f>
        <v>281.59999999999991</v>
      </c>
      <c r="DP61" s="17">
        <f>DO61*VLOOKUP('Données projet'!$B$14,Paramètres!$A$1:$I$89,3,0)*VLOOKUP('Données projet'!$B$14,Paramètres!$A$1:$I$89,5,0)</f>
        <v>184.50431999999995</v>
      </c>
      <c r="DQ61" s="13">
        <f t="shared" si="43"/>
        <v>46.32286829709458</v>
      </c>
      <c r="DR61" s="20">
        <f t="shared" si="16"/>
        <v>402.02401961743959</v>
      </c>
      <c r="DS61" s="57">
        <f t="shared" si="17"/>
        <v>695.35735295077291</v>
      </c>
      <c r="DT61" s="57">
        <f ca="1">AVERAGE(OFFSET($DS$3,0,0,'Données projet'!$E$14+1,1))-AVERAGE(OFFSET($H$3,0,0,'Données projet'!$E$14+1,1))</f>
        <v>188.80259324758066</v>
      </c>
      <c r="DU61" s="57">
        <f t="shared" si="44"/>
        <v>195.48048518255354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30.069058924809919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30.069058924809919</v>
      </c>
      <c r="EE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6.2</v>
      </c>
      <c r="EJ61" s="12">
        <f>IF('Données projet'!$A$192&gt;35,EJ60+EI61-ER60,IF(A61&lt;'Données projet'!$A$192,$EG$205^A61,IF(A61='Données projet'!$A$192,'Données projet'!$B$192,EJ60+EI61-ER60)))</f>
        <v>281.59999999999991</v>
      </c>
      <c r="EK61" s="17">
        <f>EJ61*VLOOKUP('Données projet'!$B$15,Paramètres!$A$1:$I$89,3,0)*VLOOKUP('Données projet'!$B$15,Paramètres!$A$1:$I$89,5,0)</f>
        <v>228.43391999999994</v>
      </c>
      <c r="EL61" s="13">
        <f t="shared" si="45"/>
        <v>55.943923887219448</v>
      </c>
      <c r="EM61" s="20">
        <f t="shared" si="19"/>
        <v>495.29141143690708</v>
      </c>
      <c r="EN61" s="57">
        <f t="shared" si="20"/>
        <v>788.62474477024034</v>
      </c>
      <c r="EO61" s="57">
        <f ca="1">AVERAGE(OFFSET($EN$3,0,0,'Données projet'!$E$15+1,1))-AVERAGE(OFFSET($H$3,0,0,'Données projet'!$E$15+1,1))</f>
        <v>250.90550982248311</v>
      </c>
      <c r="EP61" s="57">
        <f t="shared" si="46"/>
        <v>254.68874167908001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37.228358668812291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37.228358668812291</v>
      </c>
      <c r="EZ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7" t="e">
        <f t="shared" si="23"/>
        <v>#N/A</v>
      </c>
      <c r="FJ61" s="57" t="e">
        <f ca="1">AVERAGE(OFFSET($FI$3,0,0,'Données projet'!$E$16+1,1))-AVERAGE(OFFSET($H$3,0,0,'Données projet'!$E$16+1,1))</f>
        <v>#N/A</v>
      </c>
      <c r="FK61" s="57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7" t="e">
        <f t="shared" si="26"/>
        <v>#N/A</v>
      </c>
      <c r="GE61" s="57" t="e">
        <f ca="1">AVERAGE(OFFSET($GD$3,0,0,'Données projet'!$E$17+1,1))-AVERAGE(OFFSET($H$3,0,0,'Données projet'!$E$17+1,1))</f>
        <v>#N/A</v>
      </c>
      <c r="GF61" s="57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7" t="e">
        <f t="shared" si="29"/>
        <v>#N/A</v>
      </c>
      <c r="GZ61" s="57" t="e">
        <f ca="1">AVERAGE(OFFSET($GY$3,0,0,'Données projet'!$E$18+1,1))-AVERAGE(OFFSET($H$3,0,0,'Données projet'!$E$18+1,1))</f>
        <v>#N/A</v>
      </c>
      <c r="HA61" s="57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0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4">
        <f t="shared" si="1"/>
        <v>409.24784067856899</v>
      </c>
      <c r="I62" s="6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222.05663999999999</v>
      </c>
      <c r="P62" s="13">
        <f t="shared" si="33"/>
        <v>54.561643903321311</v>
      </c>
      <c r="Q62" s="20">
        <f t="shared" si="53"/>
        <v>481.77684446495124</v>
      </c>
      <c r="R62" s="57">
        <f t="shared" si="0"/>
        <v>775.11017779828455</v>
      </c>
      <c r="S62" s="57">
        <f ca="1">AVERAGE(OFFSET($R$3,0,0,'Données projet'!$E$9+1,1))-AVERAGE(OFFSET($H$3,0,0,'Données projet'!$E$9+1,1))</f>
        <v>267.44861001389006</v>
      </c>
      <c r="T62" s="57">
        <f t="shared" si="34"/>
        <v>165.25921510802965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42.904147642723856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42.904147642723856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9.4</v>
      </c>
      <c r="AI62" s="13">
        <f>IF('Données projet'!$A$62&gt;35,AI61+AH62-AQ61,IF(A62&lt;'Données projet'!$A$62,$AF$205^A62,IF(A62='Données projet'!$A$62,'Données projet'!$B$62,AI61+AH62-AQ61)))</f>
        <v>263.59999999999997</v>
      </c>
      <c r="AJ62" s="13">
        <f>AI62*VLOOKUP('Données projet'!$B$10,Paramètres!$A$1:$I$89,3,0)*VLOOKUP('Données projet'!$B$10,Paramètres!$A$1:$I$89,5,0)</f>
        <v>238.50527999999997</v>
      </c>
      <c r="AK62" s="13">
        <f t="shared" si="35"/>
        <v>58.117817352909881</v>
      </c>
      <c r="AL62" s="20">
        <f t="shared" si="4"/>
        <v>516.61856122298457</v>
      </c>
      <c r="AM62" s="57">
        <f t="shared" si="5"/>
        <v>809.95189455631794</v>
      </c>
      <c r="AN62" s="57">
        <f ca="1">AVERAGE(OFFSET($AM$3,0,0,'Données projet'!$E$10+1,1))-AVERAGE(OFFSET($H$3,0,0,'Données projet'!$E$10+1,1))</f>
        <v>294.92430430387071</v>
      </c>
      <c r="AO62" s="57">
        <f t="shared" si="36"/>
        <v>181.52228471516497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46.082232653295982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46.082232653295982</v>
      </c>
      <c r="AY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233.46335999999994</v>
      </c>
      <c r="BF62" s="13">
        <f t="shared" si="37"/>
        <v>57.030888299157333</v>
      </c>
      <c r="BG62" s="20">
        <f t="shared" si="7"/>
        <v>505.94414912103224</v>
      </c>
      <c r="BH62" s="57">
        <f t="shared" si="8"/>
        <v>799.27748245436555</v>
      </c>
      <c r="BI62" s="57">
        <f ca="1">AVERAGE(OFFSET($BH$3,0,0,'Données projet'!$E$11+1,1))-AVERAGE(OFFSET($H$3,0,0,'Données projet'!$E$11+1,1))</f>
        <v>250.90550982248311</v>
      </c>
      <c r="BJ62" s="57">
        <f t="shared" si="38"/>
        <v>254.68874167908001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36.498333262373535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36.498333262373535</v>
      </c>
      <c r="BT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12.2</v>
      </c>
      <c r="BY62" s="12">
        <f>IF('Données projet'!$A$114&gt;35,BY61+BX62-CG61,IF(A62&lt;'Données projet'!$A$114,$BV$205^A62,IF(A62='Données projet'!$A$114,'Données projet'!$B$114,BY61+BX62-CG61)))</f>
        <v>741.79999999999961</v>
      </c>
      <c r="BZ62" s="13">
        <f>BY62*VLOOKUP('Données projet'!$B$12,Paramètres!$A$1:$I$89,3,0)*VLOOKUP('Données projet'!$B$12,Paramètres!$A$1:$I$89,5,0)</f>
        <v>414.66619999999978</v>
      </c>
      <c r="CA62" s="13">
        <f t="shared" si="39"/>
        <v>94.743752206399009</v>
      </c>
      <c r="CB62" s="20">
        <f t="shared" si="10"/>
        <v>887.22233342614447</v>
      </c>
      <c r="CC62" s="57">
        <f t="shared" si="11"/>
        <v>1180.5556667594778</v>
      </c>
      <c r="CD62" s="57">
        <f ca="1">AVERAGE(OFFSET($CC$3,0,0,'Données projet'!$E$12+1,1))-AVERAGE(OFFSET($H$3,0,0,'Données projet'!$E$12+1,1))</f>
        <v>462.54745364638171</v>
      </c>
      <c r="CE62" s="57">
        <f t="shared" si="40"/>
        <v>571.50914830067313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98.08580384110661</v>
      </c>
      <c r="CL62" s="21">
        <f>EXP(-LN(2)/25)*CL61+(1-EXP(-LN(2)/25))/(LN(2)/25)*Calculateur!CG62*Calculateur!CI62*VLOOKUP('Données projet'!$B$12,Paramètres!$A$1:$I$89,3,0)*0.475*44/12</f>
        <v>25.858014475673645</v>
      </c>
      <c r="CM62" s="21">
        <f>EXP(-LN(2)/2)*CM61+(1-EXP(-LN(2)/2))/(LN(2)/2)*CG62*CJ62*VLOOKUP('Données projet'!$B$12,Paramètres!$A$1:$I$89,3,0)*0.475*44/12</f>
        <v>3.6705478265833555E-5</v>
      </c>
      <c r="CN62" s="22">
        <f t="shared" si="12"/>
        <v>123.94385502225852</v>
      </c>
      <c r="CO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6.6</v>
      </c>
      <c r="CT62" s="12">
        <f>IF('Données projet'!$A$140&gt;35,CT61+CS62-DB61,IF(A62&lt;'Données projet'!$A$140,$CQ$205^A62,IF(A62='Données projet'!$A$140,'Données projet'!$B$140,CT61+CS62-DB61)))</f>
        <v>250.39999999999995</v>
      </c>
      <c r="CU62" s="17">
        <f>CT62*VLOOKUP('Données projet'!$B$13,Paramètres!$A$1:$I$89,3,0)*VLOOKUP('Données projet'!$B$13,Paramètres!$A$1:$I$89,5,0)</f>
        <v>238.28063999999998</v>
      </c>
      <c r="CV62" s="13">
        <f t="shared" si="41"/>
        <v>58.069447149935201</v>
      </c>
      <c r="CW62" s="20">
        <f t="shared" si="13"/>
        <v>516.14306845280373</v>
      </c>
      <c r="CX62" s="57">
        <f t="shared" si="14"/>
        <v>809.4764017861371</v>
      </c>
      <c r="CY62" s="57">
        <f ca="1">AVERAGE(OFFSET($CX$3,0,0,'Données projet'!$E$13+1,1))-AVERAGE(OFFSET($H$3,0,0,'Données projet'!$E$13+1,1))</f>
        <v>314.67680626853303</v>
      </c>
      <c r="CZ62" s="57">
        <f t="shared" si="42"/>
        <v>372.57247561536263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51.646416922445759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51.646416922445759</v>
      </c>
      <c r="DJ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6.2</v>
      </c>
      <c r="DO62" s="12">
        <f>IF('Données projet'!$A$166&gt;35,DO61+DN62-DW61,IF(A62&lt;'Données projet'!$A$166,$DL$205^A62,IF(A62='Données projet'!$A$166,'Données projet'!$B$166,DO61+DN62-DW61)))</f>
        <v>287.7999999999999</v>
      </c>
      <c r="DP62" s="17">
        <f>DO62*VLOOKUP('Données projet'!$B$14,Paramètres!$A$1:$I$89,3,0)*VLOOKUP('Données projet'!$B$14,Paramètres!$A$1:$I$89,5,0)</f>
        <v>188.56655999999992</v>
      </c>
      <c r="DQ62" s="13">
        <f t="shared" si="43"/>
        <v>47.222900075332575</v>
      </c>
      <c r="DR62" s="20">
        <f t="shared" si="16"/>
        <v>410.66664296453746</v>
      </c>
      <c r="DS62" s="57">
        <f t="shared" si="17"/>
        <v>703.99997629787072</v>
      </c>
      <c r="DT62" s="57">
        <f ca="1">AVERAGE(OFFSET($DS$3,0,0,'Données projet'!$E$14+1,1))-AVERAGE(OFFSET($H$3,0,0,'Données projet'!$E$14+1,1))</f>
        <v>188.80259324758066</v>
      </c>
      <c r="DU62" s="57">
        <f t="shared" si="44"/>
        <v>195.48048518255354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29.479423019609385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29.479423019609385</v>
      </c>
      <c r="EE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6.2</v>
      </c>
      <c r="EJ62" s="12">
        <f>IF('Données projet'!$A$192&gt;35,EJ61+EI62-ER61,IF(A62&lt;'Données projet'!$A$192,$EG$205^A62,IF(A62='Données projet'!$A$192,'Données projet'!$B$192,EJ61+EI62-ER61)))</f>
        <v>287.7999999999999</v>
      </c>
      <c r="EK62" s="17">
        <f>EJ62*VLOOKUP('Données projet'!$B$15,Paramètres!$A$1:$I$89,3,0)*VLOOKUP('Données projet'!$B$15,Paramètres!$A$1:$I$89,5,0)</f>
        <v>233.46335999999994</v>
      </c>
      <c r="EL62" s="13">
        <f t="shared" si="45"/>
        <v>57.030888299157333</v>
      </c>
      <c r="EM62" s="20">
        <f t="shared" si="19"/>
        <v>505.94414912103224</v>
      </c>
      <c r="EN62" s="57">
        <f t="shared" si="20"/>
        <v>799.27748245436555</v>
      </c>
      <c r="EO62" s="57">
        <f ca="1">AVERAGE(OFFSET($EN$3,0,0,'Données projet'!$E$15+1,1))-AVERAGE(OFFSET($H$3,0,0,'Données projet'!$E$15+1,1))</f>
        <v>250.90550982248311</v>
      </c>
      <c r="EP62" s="57">
        <f t="shared" si="46"/>
        <v>254.68874167908001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36.498333262373535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36.498333262373535</v>
      </c>
      <c r="EZ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7" t="e">
        <f t="shared" si="23"/>
        <v>#N/A</v>
      </c>
      <c r="FJ62" s="57" t="e">
        <f ca="1">AVERAGE(OFFSET($FI$3,0,0,'Données projet'!$E$16+1,1))-AVERAGE(OFFSET($H$3,0,0,'Données projet'!$E$16+1,1))</f>
        <v>#N/A</v>
      </c>
      <c r="FK62" s="57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7" t="e">
        <f t="shared" si="26"/>
        <v>#N/A</v>
      </c>
      <c r="GE62" s="57" t="e">
        <f ca="1">AVERAGE(OFFSET($GD$3,0,0,'Données projet'!$E$17+1,1))-AVERAGE(OFFSET($H$3,0,0,'Données projet'!$E$17+1,1))</f>
        <v>#N/A</v>
      </c>
      <c r="GF62" s="57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7" t="e">
        <f t="shared" si="29"/>
        <v>#N/A</v>
      </c>
      <c r="GZ62" s="57" t="e">
        <f ca="1">AVERAGE(OFFSET($GY$3,0,0,'Données projet'!$E$18+1,1))-AVERAGE(OFFSET($H$3,0,0,'Données projet'!$E$18+1,1))</f>
        <v>#N/A</v>
      </c>
      <c r="HA62" s="57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0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4">
        <f t="shared" si="1"/>
        <v>411.16052887471733</v>
      </c>
      <c r="I63" s="6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229.9752</v>
      </c>
      <c r="P63" s="13">
        <f t="shared" si="33"/>
        <v>56.277319157664316</v>
      </c>
      <c r="Q63" s="20">
        <f t="shared" si="53"/>
        <v>498.55647086626527</v>
      </c>
      <c r="R63" s="57">
        <f t="shared" si="0"/>
        <v>791.88980419959853</v>
      </c>
      <c r="S63" s="57">
        <f ca="1">AVERAGE(OFFSET($R$3,0,0,'Données projet'!$E$9+1,1))-AVERAGE(OFFSET($H$3,0,0,'Données projet'!$E$9+1,1))</f>
        <v>267.44861001389006</v>
      </c>
      <c r="T63" s="57">
        <f t="shared" si="34"/>
        <v>165.25921510802965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53.275052378927562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53.275052378927562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273</v>
      </c>
      <c r="AG63" s="12">
        <f>VLOOKUP(A63,'Données projet'!$A$61:$I$81,9,0)</f>
        <v>9.4</v>
      </c>
      <c r="AH63" s="12">
        <f t="array" ref="AH63">INDEX(AG:AG,MIN(IF(ISNUMBER(AG63:AG259),ROW(AG63:AG259),"")))</f>
        <v>9.4</v>
      </c>
      <c r="AI63" s="13">
        <f>IF('Données projet'!$A$62&gt;35,AI62+AH63-AQ62,IF(A63&lt;'Données projet'!$A$62,$AF$205^A63,IF(A63='Données projet'!$A$62,'Données projet'!$B$62,AI62+AH63-AQ62)))</f>
        <v>272.99999999999994</v>
      </c>
      <c r="AJ63" s="13">
        <f>AI63*VLOOKUP('Données projet'!$B$10,Paramètres!$A$1:$I$89,3,0)*VLOOKUP('Données projet'!$B$10,Paramètres!$A$1:$I$89,5,0)</f>
        <v>247.01039999999992</v>
      </c>
      <c r="AK63" s="13">
        <f t="shared" si="35"/>
        <v>59.945315462121812</v>
      </c>
      <c r="AL63" s="20">
        <f t="shared" si="4"/>
        <v>534.61453776319524</v>
      </c>
      <c r="AM63" s="57">
        <f t="shared" si="5"/>
        <v>827.94787109652862</v>
      </c>
      <c r="AN63" s="57">
        <f ca="1">AVERAGE(OFFSET($AM$3,0,0,'Données projet'!$E$10+1,1))-AVERAGE(OFFSET($H$3,0,0,'Données projet'!$E$10+1,1))</f>
        <v>294.92430430387071</v>
      </c>
      <c r="AO63" s="57">
        <f t="shared" si="36"/>
        <v>181.52228471516497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57.221352555144406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57.221352555144406</v>
      </c>
      <c r="AY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238.4927999999999</v>
      </c>
      <c r="BF63" s="13">
        <f t="shared" si="37"/>
        <v>58.115130258576542</v>
      </c>
      <c r="BG63" s="20">
        <f t="shared" si="7"/>
        <v>516.59214520035403</v>
      </c>
      <c r="BH63" s="57">
        <f t="shared" si="8"/>
        <v>809.92547853368728</v>
      </c>
      <c r="BI63" s="57">
        <f ca="1">AVERAGE(OFFSET($BH$3,0,0,'Données projet'!$E$11+1,1))-AVERAGE(OFFSET($H$3,0,0,'Données projet'!$E$11+1,1))</f>
        <v>250.90550982248311</v>
      </c>
      <c r="BJ63" s="57">
        <f t="shared" si="38"/>
        <v>254.68874167908001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41.18110379158383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41.18110379158383</v>
      </c>
      <c r="BT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754</v>
      </c>
      <c r="BW63" s="12">
        <f>VLOOKUP(A63,'Données projet'!$A$113:$I$133,9,0)</f>
        <v>12.2</v>
      </c>
      <c r="BX63" s="12">
        <f t="array" ref="BX63">INDEX(BW:BW,MIN(IF(ISNUMBER(BW63:BW259),ROW(BW63:BW259),"")))</f>
        <v>12.2</v>
      </c>
      <c r="BY63" s="12">
        <f>IF('Données projet'!$A$114&gt;35,BY62+BX63-CG62,IF(A63&lt;'Données projet'!$A$114,$BV$205^A63,IF(A63='Données projet'!$A$114,'Données projet'!$B$114,BY62+BX63-CG62)))</f>
        <v>753.99999999999966</v>
      </c>
      <c r="BZ63" s="13">
        <f>BY63*VLOOKUP('Données projet'!$B$12,Paramètres!$A$1:$I$89,3,0)*VLOOKUP('Données projet'!$B$12,Paramètres!$A$1:$I$89,5,0)</f>
        <v>421.48599999999982</v>
      </c>
      <c r="CA63" s="13">
        <f t="shared" si="39"/>
        <v>96.119269055816147</v>
      </c>
      <c r="CB63" s="20">
        <f t="shared" si="10"/>
        <v>901.49584360554616</v>
      </c>
      <c r="CC63" s="57">
        <f t="shared" si="11"/>
        <v>1194.8291769388795</v>
      </c>
      <c r="CD63" s="57">
        <f ca="1">AVERAGE(OFFSET($CC$3,0,0,'Données projet'!$E$12+1,1))-AVERAGE(OFFSET($H$3,0,0,'Données projet'!$E$12+1,1))</f>
        <v>462.54745364638171</v>
      </c>
      <c r="CE63" s="57">
        <f t="shared" si="40"/>
        <v>571.50914830067313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35</v>
      </c>
      <c r="CH63" s="16">
        <f>IF(ISNA(VLOOKUP(A63,'Données projet'!$A$113:$I$133,5,0)),0%,VLOOKUP(A63,'Données projet'!$A$113:$I$133,5,0)*VLOOKUP('Données projet'!$B$12,Paramètres!$A$1:$I$89,7,0))</f>
        <v>0.55000000000000004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110.43722951808651</v>
      </c>
      <c r="CL63" s="21">
        <f>EXP(-LN(2)/25)*CL62+(1-EXP(-LN(2)/25))/(LN(2)/25)*Calculateur!CG63*Calculateur!CI63*VLOOKUP('Données projet'!$B$12,Paramètres!$A$1:$I$89,3,0)*0.475*44/12</f>
        <v>25.150925710022467</v>
      </c>
      <c r="CM63" s="21">
        <f>EXP(-LN(2)/2)*CM62+(1-EXP(-LN(2)/2))/(LN(2)/2)*CG63*CJ63*VLOOKUP('Données projet'!$B$12,Paramètres!$A$1:$I$89,3,0)*0.475*44/12</f>
        <v>2.5954692588466344E-5</v>
      </c>
      <c r="CN63" s="22">
        <f t="shared" si="12"/>
        <v>135.58818118280155</v>
      </c>
      <c r="CO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257</v>
      </c>
      <c r="CR63" s="12">
        <f>VLOOKUP(A63,'Données projet'!$A$139:$I$159,9,0)</f>
        <v>6.6</v>
      </c>
      <c r="CS63" s="12">
        <f t="array" ref="CS63">INDEX(CR:CR,MIN(IF(ISNUMBER(CR63:CR259),ROW(CR63:CR259),"")))</f>
        <v>6.6</v>
      </c>
      <c r="CT63" s="12">
        <f>IF('Données projet'!$A$140&gt;35,CT62+CS63-DB62,IF(A63&lt;'Données projet'!$A$140,$CQ$205^A63,IF(A63='Données projet'!$A$140,'Données projet'!$B$140,CT62+CS63-DB62)))</f>
        <v>256.99999999999994</v>
      </c>
      <c r="CU63" s="17">
        <f>CT63*VLOOKUP('Données projet'!$B$13,Paramètres!$A$1:$I$89,3,0)*VLOOKUP('Données projet'!$B$13,Paramètres!$A$1:$I$89,5,0)</f>
        <v>244.56119999999993</v>
      </c>
      <c r="CV63" s="13">
        <f t="shared" si="41"/>
        <v>59.419817003915256</v>
      </c>
      <c r="CW63" s="20">
        <f t="shared" si="13"/>
        <v>529.43360461515238</v>
      </c>
      <c r="CX63" s="57">
        <f t="shared" si="14"/>
        <v>822.76693794848575</v>
      </c>
      <c r="CY63" s="57">
        <f ca="1">AVERAGE(OFFSET($CX$3,0,0,'Données projet'!$E$13+1,1))-AVERAGE(OFFSET($H$3,0,0,'Données projet'!$E$13+1,1))</f>
        <v>314.67680626853303</v>
      </c>
      <c r="CZ63" s="57">
        <f t="shared" si="42"/>
        <v>372.57247561536263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29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63.751673383949971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63.751673383949971</v>
      </c>
      <c r="DJ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294</v>
      </c>
      <c r="DM63" s="12">
        <f>VLOOKUP(A63,'Données projet'!$A$165:$I$185,9,0)</f>
        <v>6.2</v>
      </c>
      <c r="DN63" s="12">
        <f t="array" ref="DN63">INDEX(DM:DM,MIN(IF(ISNUMBER(DM63:DM259),ROW(DM63:DM259),"")))</f>
        <v>6.2</v>
      </c>
      <c r="DO63" s="12">
        <f>IF('Données projet'!$A$166&gt;35,DO62+DN63-DW62,IF(A63&lt;'Données projet'!$A$166,$DL$205^A63,IF(A63='Données projet'!$A$166,'Données projet'!$B$166,DO62+DN63-DW62)))</f>
        <v>293.99999999999989</v>
      </c>
      <c r="DP63" s="17">
        <f>DO63*VLOOKUP('Données projet'!$B$14,Paramètres!$A$1:$I$89,3,0)*VLOOKUP('Données projet'!$B$14,Paramètres!$A$1:$I$89,5,0)</f>
        <v>192.62879999999993</v>
      </c>
      <c r="DQ63" s="13">
        <f t="shared" si="43"/>
        <v>48.120677599655174</v>
      </c>
      <c r="DR63" s="20">
        <f t="shared" si="16"/>
        <v>419.30534015273264</v>
      </c>
      <c r="DS63" s="57">
        <f t="shared" si="17"/>
        <v>712.63867348606595</v>
      </c>
      <c r="DT63" s="57">
        <f ca="1">AVERAGE(OFFSET($DS$3,0,0,'Données projet'!$E$14+1,1))-AVERAGE(OFFSET($H$3,0,0,'Données projet'!$E$14+1,1))</f>
        <v>188.80259324758066</v>
      </c>
      <c r="DU63" s="57">
        <f t="shared" si="44"/>
        <v>195.48048518255354</v>
      </c>
      <c r="DV63" s="15">
        <f>IF(ISNA(VLOOKUP(A63,'Données projet'!$A$165:$I$185,3,0)),0,VLOOKUP(A63,'Données projet'!$A$165:$I$185,3,0))</f>
        <v>10</v>
      </c>
      <c r="DW63" s="15">
        <f>IF(ISNA(VLOOKUP(A63,'Données projet'!$A$165:$I$185,4,0)),0,VLOOKUP(A63,'Données projet'!$A$165:$I$185,4,0))</f>
        <v>14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33.261660754740774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33.261660754740774</v>
      </c>
      <c r="EE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294</v>
      </c>
      <c r="EH63" s="12">
        <f>VLOOKUP(A63,'Données projet'!$A$191:$I$211,9,0)</f>
        <v>6.2</v>
      </c>
      <c r="EI63" s="12">
        <f t="array" ref="EI63">INDEX(EH:EH,MIN(IF(ISNUMBER(EH63:EH259),ROW(EH63:EH259),"")))</f>
        <v>6.2</v>
      </c>
      <c r="EJ63" s="12">
        <f>IF('Données projet'!$A$192&gt;35,EJ62+EI63-ER62,IF(A63&lt;'Données projet'!$A$192,$EG$205^A63,IF(A63='Données projet'!$A$192,'Données projet'!$B$192,EJ62+EI63-ER62)))</f>
        <v>293.99999999999989</v>
      </c>
      <c r="EK63" s="17">
        <f>EJ63*VLOOKUP('Données projet'!$B$15,Paramètres!$A$1:$I$89,3,0)*VLOOKUP('Données projet'!$B$15,Paramètres!$A$1:$I$89,5,0)</f>
        <v>238.4927999999999</v>
      </c>
      <c r="EL63" s="13">
        <f t="shared" si="45"/>
        <v>58.115130258576542</v>
      </c>
      <c r="EM63" s="20">
        <f t="shared" si="19"/>
        <v>516.59214520035403</v>
      </c>
      <c r="EN63" s="57">
        <f t="shared" si="20"/>
        <v>809.92547853368728</v>
      </c>
      <c r="EO63" s="57">
        <f ca="1">AVERAGE(OFFSET($EN$3,0,0,'Données projet'!$E$15+1,1))-AVERAGE(OFFSET($H$3,0,0,'Données projet'!$E$15+1,1))</f>
        <v>250.90550982248311</v>
      </c>
      <c r="EP63" s="57">
        <f t="shared" si="46"/>
        <v>254.68874167908001</v>
      </c>
      <c r="EQ63" s="15">
        <f>IF(ISNA(VLOOKUP(A63,'Données projet'!$A$191:$I$211,3,0)),0,VLOOKUP(A63,'Données projet'!$A$191:$I$211,3,0))</f>
        <v>10</v>
      </c>
      <c r="ER63" s="15">
        <f>IF(ISNA(VLOOKUP(A63,'Données projet'!$A$191:$I$211,4,0)),0,VLOOKUP(A63,'Données projet'!$A$191:$I$211,4,0))</f>
        <v>14</v>
      </c>
      <c r="ES63" s="16">
        <f>IF(ISNA(VLOOKUP(A63,'Données projet'!$A$191:$I$211,5,0)),0%,VLOOKUP(A63,'Données projet'!$A$191:$I$211,5,0)*VLOOKUP('Données projet'!$B$15,Paramètres!$A$1:$I$89,7,0))</f>
        <v>0.43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41.18110379158383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41.18110379158383</v>
      </c>
      <c r="EZ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7" t="e">
        <f t="shared" si="23"/>
        <v>#N/A</v>
      </c>
      <c r="FJ63" s="57" t="e">
        <f ca="1">AVERAGE(OFFSET($FI$3,0,0,'Données projet'!$E$16+1,1))-AVERAGE(OFFSET($H$3,0,0,'Données projet'!$E$16+1,1))</f>
        <v>#N/A</v>
      </c>
      <c r="FK63" s="57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7" t="e">
        <f t="shared" si="26"/>
        <v>#N/A</v>
      </c>
      <c r="GE63" s="57" t="e">
        <f ca="1">AVERAGE(OFFSET($GD$3,0,0,'Données projet'!$E$17+1,1))-AVERAGE(OFFSET($H$3,0,0,'Données projet'!$E$17+1,1))</f>
        <v>#N/A</v>
      </c>
      <c r="GF63" s="57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7" t="e">
        <f t="shared" si="29"/>
        <v>#N/A</v>
      </c>
      <c r="GZ63" s="57" t="e">
        <f ca="1">AVERAGE(OFFSET($GY$3,0,0,'Données projet'!$E$18+1,1))-AVERAGE(OFFSET($H$3,0,0,'Données projet'!$E$18+1,1))</f>
        <v>#N/A</v>
      </c>
      <c r="HA63" s="57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0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4">
        <f t="shared" si="1"/>
        <v>413.07245890307996</v>
      </c>
      <c r="I64" s="6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213.80112</v>
      </c>
      <c r="P64" s="13">
        <f t="shared" si="33"/>
        <v>52.765356850602878</v>
      </c>
      <c r="Q64" s="20">
        <f t="shared" si="53"/>
        <v>464.2699471814667</v>
      </c>
      <c r="R64" s="57">
        <f t="shared" si="0"/>
        <v>757.60328051479996</v>
      </c>
      <c r="S64" s="57">
        <f ca="1">AVERAGE(OFFSET($R$3,0,0,'Données projet'!$E$9+1,1))-AVERAGE(OFFSET($H$3,0,0,'Données projet'!$E$9+1,1))</f>
        <v>267.44861001389006</v>
      </c>
      <c r="T64" s="57">
        <f t="shared" si="34"/>
        <v>165.25921510802965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52.230361096350173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52.230361096350173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8.8000000000000007</v>
      </c>
      <c r="AI64" s="13">
        <f>IF('Données projet'!$A$62&gt;35,AI63+AH64-AQ63,IF(A64&lt;'Données projet'!$A$62,$AF$205^A64,IF(A64='Données projet'!$A$62,'Données projet'!$B$62,AI63+AH64-AQ63)))</f>
        <v>253.79999999999995</v>
      </c>
      <c r="AJ64" s="13">
        <f>AI64*VLOOKUP('Données projet'!$B$10,Paramètres!$A$1:$I$89,3,0)*VLOOKUP('Données projet'!$B$10,Paramètres!$A$1:$I$89,5,0)</f>
        <v>229.63823999999994</v>
      </c>
      <c r="AK64" s="13">
        <f t="shared" si="35"/>
        <v>56.204453396569633</v>
      </c>
      <c r="AL64" s="20">
        <f t="shared" si="4"/>
        <v>497.84269099902531</v>
      </c>
      <c r="AM64" s="57">
        <f t="shared" si="5"/>
        <v>791.17602433235857</v>
      </c>
      <c r="AN64" s="57">
        <f ca="1">AVERAGE(OFFSET($AM$3,0,0,'Données projet'!$E$10+1,1))-AVERAGE(OFFSET($H$3,0,0,'Données projet'!$E$10+1,1))</f>
        <v>294.92430430387071</v>
      </c>
      <c r="AO64" s="57">
        <f t="shared" si="36"/>
        <v>181.52228471516497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56.099276733116838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56.099276733116838</v>
      </c>
      <c r="AY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231.35423999999992</v>
      </c>
      <c r="BF64" s="13">
        <f t="shared" si="37"/>
        <v>56.575399756999062</v>
      </c>
      <c r="BG64" s="20">
        <f t="shared" si="7"/>
        <v>501.47745591010658</v>
      </c>
      <c r="BH64" s="57">
        <f t="shared" si="8"/>
        <v>794.8107892434399</v>
      </c>
      <c r="BI64" s="57">
        <f ca="1">AVERAGE(OFFSET($BH$3,0,0,'Données projet'!$E$11+1,1))-AVERAGE(OFFSET($H$3,0,0,'Données projet'!$E$11+1,1))</f>
        <v>250.90550982248311</v>
      </c>
      <c r="BJ64" s="57">
        <f t="shared" si="38"/>
        <v>254.68874167908001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40.373567464223989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40.373567464223989</v>
      </c>
      <c r="BT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</v>
      </c>
      <c r="BY64" s="12">
        <f>IF('Données projet'!$A$114&gt;35,BY63+BX64-CG63,IF(A64&lt;'Données projet'!$A$114,$BV$205^A64,IF(A64='Données projet'!$A$114,'Données projet'!$B$114,BY63+BX64-CG63)))</f>
        <v>728.99999999999966</v>
      </c>
      <c r="BZ64" s="13">
        <f>BY64*VLOOKUP('Données projet'!$B$12,Paramètres!$A$1:$I$89,3,0)*VLOOKUP('Données projet'!$B$12,Paramètres!$A$1:$I$89,5,0)</f>
        <v>407.51099999999985</v>
      </c>
      <c r="CA64" s="13">
        <f t="shared" si="39"/>
        <v>93.297752590617137</v>
      </c>
      <c r="CB64" s="20">
        <f t="shared" si="10"/>
        <v>872.24191076199133</v>
      </c>
      <c r="CC64" s="57">
        <f t="shared" si="11"/>
        <v>1165.5752440953247</v>
      </c>
      <c r="CD64" s="57">
        <f ca="1">AVERAGE(OFFSET($CC$3,0,0,'Données projet'!$E$12+1,1))-AVERAGE(OFFSET($H$3,0,0,'Données projet'!$E$12+1,1))</f>
        <v>462.54745364638171</v>
      </c>
      <c r="CE64" s="57">
        <f t="shared" si="40"/>
        <v>571.50914830067313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108.27162280729559</v>
      </c>
      <c r="CL64" s="21">
        <f>EXP(-LN(2)/25)*CL63+(1-EXP(-LN(2)/25))/(LN(2)/25)*Calculateur!CG64*Calculateur!CI64*VLOOKUP('Données projet'!$B$12,Paramètres!$A$1:$I$89,3,0)*0.475*44/12</f>
        <v>24.463172323852202</v>
      </c>
      <c r="CM64" s="21">
        <f>EXP(-LN(2)/2)*CM63+(1-EXP(-LN(2)/2))/(LN(2)/2)*CG64*CJ64*VLOOKUP('Données projet'!$B$12,Paramètres!$A$1:$I$89,3,0)*0.475*44/12</f>
        <v>1.8352739132916777E-5</v>
      </c>
      <c r="CN64" s="22">
        <f t="shared" si="12"/>
        <v>132.73481348388694</v>
      </c>
      <c r="CO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6.6</v>
      </c>
      <c r="CT64" s="12">
        <f>IF('Données projet'!$A$140&gt;35,CT63+CS64-DB63,IF(A64&lt;'Données projet'!$A$140,$CQ$205^A64,IF(A64='Données projet'!$A$140,'Données projet'!$B$140,CT63+CS64-DB63)))</f>
        <v>234.59999999999997</v>
      </c>
      <c r="CU64" s="17">
        <f>CT64*VLOOKUP('Données projet'!$B$13,Paramètres!$A$1:$I$89,3,0)*VLOOKUP('Données projet'!$B$13,Paramètres!$A$1:$I$89,5,0)</f>
        <v>223.24535999999995</v>
      </c>
      <c r="CV64" s="13">
        <f t="shared" si="41"/>
        <v>54.819646394591118</v>
      </c>
      <c r="CW64" s="20">
        <f t="shared" si="13"/>
        <v>484.29655280391279</v>
      </c>
      <c r="CX64" s="57">
        <f t="shared" si="14"/>
        <v>777.6298861372461</v>
      </c>
      <c r="CY64" s="57">
        <f ca="1">AVERAGE(OFFSET($CX$3,0,0,'Données projet'!$E$13+1,1))-AVERAGE(OFFSET($H$3,0,0,'Données projet'!$E$13+1,1))</f>
        <v>314.67680626853303</v>
      </c>
      <c r="CZ64" s="57">
        <f t="shared" si="42"/>
        <v>372.57247561536263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62.50154195357193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62.50154195357193</v>
      </c>
      <c r="DJ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5.2</v>
      </c>
      <c r="DO64" s="12">
        <f>IF('Données projet'!$A$166&gt;35,DO63+DN64-DW63,IF(A64&lt;'Données projet'!$A$166,$DL$205^A64,IF(A64='Données projet'!$A$166,'Données projet'!$B$166,DO63+DN64-DW63)))</f>
        <v>285.19999999999987</v>
      </c>
      <c r="DP64" s="17">
        <f>DO64*VLOOKUP('Données projet'!$B$14,Paramètres!$A$1:$I$89,3,0)*VLOOKUP('Données projet'!$B$14,Paramètres!$A$1:$I$89,5,0)</f>
        <v>186.86303999999993</v>
      </c>
      <c r="DQ64" s="13">
        <f t="shared" si="43"/>
        <v>46.845744983534466</v>
      </c>
      <c r="DR64" s="20">
        <f t="shared" si="16"/>
        <v>407.04280051298906</v>
      </c>
      <c r="DS64" s="57">
        <f t="shared" si="17"/>
        <v>700.37613384632232</v>
      </c>
      <c r="DT64" s="57">
        <f ca="1">AVERAGE(OFFSET($DS$3,0,0,'Données projet'!$E$14+1,1))-AVERAGE(OFFSET($H$3,0,0,'Données projet'!$E$14+1,1))</f>
        <v>188.80259324758066</v>
      </c>
      <c r="DU64" s="57">
        <f t="shared" si="44"/>
        <v>195.48048518255354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32.609419874950134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32.609419874950134</v>
      </c>
      <c r="EE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285.19999999999987</v>
      </c>
      <c r="EK64" s="17">
        <f>EJ64*VLOOKUP('Données projet'!$B$15,Paramètres!$A$1:$I$89,3,0)*VLOOKUP('Données projet'!$B$15,Paramètres!$A$1:$I$89,5,0)</f>
        <v>231.35423999999992</v>
      </c>
      <c r="EL64" s="13">
        <f t="shared" si="45"/>
        <v>56.575399756999062</v>
      </c>
      <c r="EM64" s="20">
        <f t="shared" si="19"/>
        <v>501.47745591010658</v>
      </c>
      <c r="EN64" s="57">
        <f t="shared" si="20"/>
        <v>794.8107892434399</v>
      </c>
      <c r="EO64" s="57">
        <f ca="1">AVERAGE(OFFSET($EN$3,0,0,'Données projet'!$E$15+1,1))-AVERAGE(OFFSET($H$3,0,0,'Données projet'!$E$15+1,1))</f>
        <v>250.90550982248311</v>
      </c>
      <c r="EP64" s="57">
        <f t="shared" si="46"/>
        <v>254.68874167908001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40.373567464223989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40.373567464223989</v>
      </c>
      <c r="EZ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7" t="e">
        <f t="shared" si="23"/>
        <v>#N/A</v>
      </c>
      <c r="FJ64" s="57" t="e">
        <f ca="1">AVERAGE(OFFSET($FI$3,0,0,'Données projet'!$E$16+1,1))-AVERAGE(OFFSET($H$3,0,0,'Données projet'!$E$16+1,1))</f>
        <v>#N/A</v>
      </c>
      <c r="FK64" s="57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7" t="e">
        <f t="shared" si="26"/>
        <v>#N/A</v>
      </c>
      <c r="GE64" s="57" t="e">
        <f ca="1">AVERAGE(OFFSET($GD$3,0,0,'Données projet'!$E$17+1,1))-AVERAGE(OFFSET($H$3,0,0,'Données projet'!$E$17+1,1))</f>
        <v>#N/A</v>
      </c>
      <c r="GF64" s="57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7" t="e">
        <f t="shared" si="29"/>
        <v>#N/A</v>
      </c>
      <c r="GZ64" s="57" t="e">
        <f ca="1">AVERAGE(OFFSET($GY$3,0,0,'Données projet'!$E$18+1,1))-AVERAGE(OFFSET($H$3,0,0,'Données projet'!$E$18+1,1))</f>
        <v>#N/A</v>
      </c>
      <c r="HA64" s="57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0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4">
        <f t="shared" si="1"/>
        <v>414.98364462739102</v>
      </c>
      <c r="I65" s="6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221.21424000000002</v>
      </c>
      <c r="P65" s="13">
        <f t="shared" si="33"/>
        <v>54.378710185570377</v>
      </c>
      <c r="Q65" s="20">
        <f t="shared" si="53"/>
        <v>479.99105490653511</v>
      </c>
      <c r="R65" s="57">
        <f t="shared" si="0"/>
        <v>773.32438823986843</v>
      </c>
      <c r="S65" s="57">
        <f ca="1">AVERAGE(OFFSET($R$3,0,0,'Données projet'!$E$9+1,1))-AVERAGE(OFFSET($H$3,0,0,'Données projet'!$E$9+1,1))</f>
        <v>267.44861001389006</v>
      </c>
      <c r="T65" s="57">
        <f t="shared" si="34"/>
        <v>165.25921510802965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51.206155572625363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51.206155572625363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8.8000000000000007</v>
      </c>
      <c r="AI65" s="13">
        <f>IF('Données projet'!$A$62&gt;35,AI64+AH65-AQ64,IF(A65&lt;'Données projet'!$A$62,$AF$205^A65,IF(A65='Données projet'!$A$62,'Données projet'!$B$62,AI64+AH65-AQ64)))</f>
        <v>262.59999999999997</v>
      </c>
      <c r="AJ65" s="13">
        <f>AI65*VLOOKUP('Données projet'!$B$10,Paramètres!$A$1:$I$89,3,0)*VLOOKUP('Données projet'!$B$10,Paramètres!$A$1:$I$89,5,0)</f>
        <v>237.60047999999995</v>
      </c>
      <c r="AK65" s="13">
        <f t="shared" si="35"/>
        <v>57.922960533442058</v>
      </c>
      <c r="AL65" s="20">
        <f t="shared" si="4"/>
        <v>514.70332559574479</v>
      </c>
      <c r="AM65" s="57">
        <f t="shared" si="5"/>
        <v>808.03665892907816</v>
      </c>
      <c r="AN65" s="57">
        <f ca="1">AVERAGE(OFFSET($AM$3,0,0,'Données projet'!$E$10+1,1))-AVERAGE(OFFSET($H$3,0,0,'Données projet'!$E$10+1,1))</f>
        <v>294.92430430387071</v>
      </c>
      <c r="AO65" s="57">
        <f t="shared" si="36"/>
        <v>181.52228471516497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54.999204133560561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54.999204133560561</v>
      </c>
      <c r="AY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235.5724799999999</v>
      </c>
      <c r="BF65" s="13">
        <f t="shared" si="37"/>
        <v>57.485898111011707</v>
      </c>
      <c r="BG65" s="20">
        <f t="shared" si="7"/>
        <v>510.41000854334516</v>
      </c>
      <c r="BH65" s="57">
        <f t="shared" si="8"/>
        <v>803.74334187667841</v>
      </c>
      <c r="BI65" s="57">
        <f ca="1">AVERAGE(OFFSET($BH$3,0,0,'Données projet'!$E$11+1,1))-AVERAGE(OFFSET($H$3,0,0,'Données projet'!$E$11+1,1))</f>
        <v>250.90550982248311</v>
      </c>
      <c r="BJ65" s="57">
        <f t="shared" si="38"/>
        <v>254.68874167908001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39.581866431695147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39.581866431695147</v>
      </c>
      <c r="BT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</v>
      </c>
      <c r="BY65" s="12">
        <f>IF('Données projet'!$A$114&gt;35,BY64+BX65-CG64,IF(A65&lt;'Données projet'!$A$114,$BV$205^A65,IF(A65='Données projet'!$A$114,'Données projet'!$B$114,BY64+BX65-CG64)))</f>
        <v>738.99999999999966</v>
      </c>
      <c r="BZ65" s="13">
        <f>BY65*VLOOKUP('Données projet'!$B$12,Paramètres!$A$1:$I$89,3,0)*VLOOKUP('Données projet'!$B$12,Paramètres!$A$1:$I$89,5,0)</f>
        <v>413.10099999999983</v>
      </c>
      <c r="CA65" s="13">
        <f t="shared" si="39"/>
        <v>94.427689670462357</v>
      </c>
      <c r="CB65" s="20">
        <f t="shared" si="10"/>
        <v>883.94580117605494</v>
      </c>
      <c r="CC65" s="57">
        <f t="shared" si="11"/>
        <v>1177.2791345093883</v>
      </c>
      <c r="CD65" s="57">
        <f ca="1">AVERAGE(OFFSET($CC$3,0,0,'Données projet'!$E$12+1,1))-AVERAGE(OFFSET($H$3,0,0,'Données projet'!$E$12+1,1))</f>
        <v>462.54745364638171</v>
      </c>
      <c r="CE65" s="57">
        <f t="shared" si="40"/>
        <v>571.50914830067313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106.1484823232136</v>
      </c>
      <c r="CL65" s="21">
        <f>EXP(-LN(2)/25)*CL64+(1-EXP(-LN(2)/25))/(LN(2)/25)*Calculateur!CG65*Calculateur!CI65*VLOOKUP('Données projet'!$B$12,Paramètres!$A$1:$I$89,3,0)*0.475*44/12</f>
        <v>23.794225590194142</v>
      </c>
      <c r="CM65" s="21">
        <f>EXP(-LN(2)/2)*CM64+(1-EXP(-LN(2)/2))/(LN(2)/2)*CG65*CJ65*VLOOKUP('Données projet'!$B$12,Paramètres!$A$1:$I$89,3,0)*0.475*44/12</f>
        <v>1.2977346294233172E-5</v>
      </c>
      <c r="CN65" s="22">
        <f t="shared" si="12"/>
        <v>129.94272089075403</v>
      </c>
      <c r="CO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6.6</v>
      </c>
      <c r="CT65" s="12">
        <f>IF('Données projet'!$A$140&gt;35,CT64+CS65-DB64,IF(A65&lt;'Données projet'!$A$140,$CQ$205^A65,IF(A65='Données projet'!$A$140,'Données projet'!$B$140,CT64+CS65-DB64)))</f>
        <v>241.19999999999996</v>
      </c>
      <c r="CU65" s="17">
        <f>CT65*VLOOKUP('Données projet'!$B$13,Paramètres!$A$1:$I$89,3,0)*VLOOKUP('Données projet'!$B$13,Paramètres!$A$1:$I$89,5,0)</f>
        <v>229.52591999999999</v>
      </c>
      <c r="CV65" s="13">
        <f t="shared" si="41"/>
        <v>56.180162044652285</v>
      </c>
      <c r="CW65" s="20">
        <f t="shared" si="13"/>
        <v>497.60475956110264</v>
      </c>
      <c r="CX65" s="57">
        <f t="shared" si="14"/>
        <v>790.93809289443595</v>
      </c>
      <c r="CY65" s="57">
        <f ca="1">AVERAGE(OFFSET($CX$3,0,0,'Données projet'!$E$13+1,1))-AVERAGE(OFFSET($H$3,0,0,'Données projet'!$E$13+1,1))</f>
        <v>314.67680626853303</v>
      </c>
      <c r="CZ65" s="57">
        <f t="shared" si="42"/>
        <v>372.57247561536263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61.275924838038726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61.275924838038726</v>
      </c>
      <c r="DJ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5.2</v>
      </c>
      <c r="DO65" s="12">
        <f>IF('Données projet'!$A$166&gt;35,DO64+DN65-DW64,IF(A65&lt;'Données projet'!$A$166,$DL$205^A65,IF(A65='Données projet'!$A$166,'Données projet'!$B$166,DO64+DN65-DW64)))</f>
        <v>290.39999999999986</v>
      </c>
      <c r="DP65" s="17">
        <f>DO65*VLOOKUP('Données projet'!$B$14,Paramètres!$A$1:$I$89,3,0)*VLOOKUP('Données projet'!$B$14,Paramètres!$A$1:$I$89,5,0)</f>
        <v>190.27007999999989</v>
      </c>
      <c r="DQ65" s="13">
        <f t="shared" si="43"/>
        <v>47.599658767320413</v>
      </c>
      <c r="DR65" s="20">
        <f t="shared" si="16"/>
        <v>414.28979501974953</v>
      </c>
      <c r="DS65" s="57">
        <f t="shared" si="17"/>
        <v>707.62312835308285</v>
      </c>
      <c r="DT65" s="57">
        <f ca="1">AVERAGE(OFFSET($DS$3,0,0,'Données projet'!$E$14+1,1))-AVERAGE(OFFSET($H$3,0,0,'Données projet'!$E$14+1,1))</f>
        <v>188.80259324758066</v>
      </c>
      <c r="DU65" s="57">
        <f t="shared" si="44"/>
        <v>195.48048518255354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31.969969040984534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31.969969040984534</v>
      </c>
      <c r="EE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290.39999999999986</v>
      </c>
      <c r="EK65" s="17">
        <f>EJ65*VLOOKUP('Données projet'!$B$15,Paramètres!$A$1:$I$89,3,0)*VLOOKUP('Données projet'!$B$15,Paramètres!$A$1:$I$89,5,0)</f>
        <v>235.5724799999999</v>
      </c>
      <c r="EL65" s="13">
        <f t="shared" si="45"/>
        <v>57.485898111011707</v>
      </c>
      <c r="EM65" s="20">
        <f t="shared" si="19"/>
        <v>510.41000854334516</v>
      </c>
      <c r="EN65" s="57">
        <f t="shared" si="20"/>
        <v>803.74334187667841</v>
      </c>
      <c r="EO65" s="57">
        <f ca="1">AVERAGE(OFFSET($EN$3,0,0,'Données projet'!$E$15+1,1))-AVERAGE(OFFSET($H$3,0,0,'Données projet'!$E$15+1,1))</f>
        <v>250.90550982248311</v>
      </c>
      <c r="EP65" s="57">
        <f t="shared" si="46"/>
        <v>254.68874167908001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39.581866431695147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39.581866431695147</v>
      </c>
      <c r="EZ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7" t="e">
        <f t="shared" si="23"/>
        <v>#N/A</v>
      </c>
      <c r="FJ65" s="57" t="e">
        <f ca="1">AVERAGE(OFFSET($FI$3,0,0,'Données projet'!$E$16+1,1))-AVERAGE(OFFSET($H$3,0,0,'Données projet'!$E$16+1,1))</f>
        <v>#N/A</v>
      </c>
      <c r="FK65" s="57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7" t="e">
        <f t="shared" si="26"/>
        <v>#N/A</v>
      </c>
      <c r="GE65" s="57" t="e">
        <f ca="1">AVERAGE(OFFSET($GD$3,0,0,'Données projet'!$E$17+1,1))-AVERAGE(OFFSET($H$3,0,0,'Données projet'!$E$17+1,1))</f>
        <v>#N/A</v>
      </c>
      <c r="GF65" s="57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7" t="e">
        <f t="shared" si="29"/>
        <v>#N/A</v>
      </c>
      <c r="GZ65" s="57" t="e">
        <f ca="1">AVERAGE(OFFSET($GY$3,0,0,'Données projet'!$E$18+1,1))-AVERAGE(OFFSET($H$3,0,0,'Données projet'!$E$18+1,1))</f>
        <v>#N/A</v>
      </c>
      <c r="HA65" s="57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0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4">
        <f t="shared" si="1"/>
        <v>416.89409943852223</v>
      </c>
      <c r="I66" s="6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228.62735999999998</v>
      </c>
      <c r="P66" s="13">
        <f t="shared" si="33"/>
        <v>55.985781352428695</v>
      </c>
      <c r="Q66" s="20">
        <f t="shared" si="53"/>
        <v>495.70122118881324</v>
      </c>
      <c r="R66" s="57">
        <f t="shared" si="0"/>
        <v>789.03455452214655</v>
      </c>
      <c r="S66" s="57">
        <f ca="1">AVERAGE(OFFSET($R$3,0,0,'Données projet'!$E$9+1,1))-AVERAGE(OFFSET($H$3,0,0,'Données projet'!$E$9+1,1))</f>
        <v>267.44861001389006</v>
      </c>
      <c r="T66" s="57">
        <f t="shared" si="34"/>
        <v>165.25921510802965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50.20203409451711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50.20203409451711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8.8000000000000007</v>
      </c>
      <c r="AI66" s="13">
        <f>IF('Données projet'!$A$62&gt;35,AI65+AH66-AQ65,IF(A66&lt;'Données projet'!$A$62,$AF$205^A66,IF(A66='Données projet'!$A$62,'Données projet'!$B$62,AI65+AH66-AQ65)))</f>
        <v>271.39999999999998</v>
      </c>
      <c r="AJ66" s="13">
        <f>AI66*VLOOKUP('Données projet'!$B$10,Paramètres!$A$1:$I$89,3,0)*VLOOKUP('Données projet'!$B$10,Paramètres!$A$1:$I$89,5,0)</f>
        <v>245.56271999999998</v>
      </c>
      <c r="AK66" s="13">
        <f t="shared" si="35"/>
        <v>59.634776048276898</v>
      </c>
      <c r="AL66" s="20">
        <f t="shared" si="4"/>
        <v>531.55230561741564</v>
      </c>
      <c r="AM66" s="57">
        <f t="shared" si="5"/>
        <v>824.8856389507489</v>
      </c>
      <c r="AN66" s="57">
        <f ca="1">AVERAGE(OFFSET($AM$3,0,0,'Données projet'!$E$10+1,1))-AVERAGE(OFFSET($H$3,0,0,'Données projet'!$E$10+1,1))</f>
        <v>294.92430430387071</v>
      </c>
      <c r="AO66" s="57">
        <f t="shared" si="36"/>
        <v>181.52228471516497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53.920703286703549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53.920703286703549</v>
      </c>
      <c r="AY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239.79071999999991</v>
      </c>
      <c r="BF66" s="13">
        <f t="shared" si="37"/>
        <v>58.394500584818381</v>
      </c>
      <c r="BG66" s="20">
        <f t="shared" si="7"/>
        <v>519.33925918522516</v>
      </c>
      <c r="BH66" s="57">
        <f t="shared" si="8"/>
        <v>812.67259251855853</v>
      </c>
      <c r="BI66" s="57">
        <f ca="1">AVERAGE(OFFSET($BH$3,0,0,'Données projet'!$E$11+1,1))-AVERAGE(OFFSET($H$3,0,0,'Données projet'!$E$11+1,1))</f>
        <v>250.90550982248311</v>
      </c>
      <c r="BJ66" s="57">
        <f t="shared" si="38"/>
        <v>254.68874167908001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38.805690173524248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38.805690173524248</v>
      </c>
      <c r="BT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</v>
      </c>
      <c r="BY66" s="12">
        <f>IF('Données projet'!$A$114&gt;35,BY65+BX66-CG65,IF(A66&lt;'Données projet'!$A$114,$BV$205^A66,IF(A66='Données projet'!$A$114,'Données projet'!$B$114,BY65+BX66-CG65)))</f>
        <v>748.99999999999966</v>
      </c>
      <c r="BZ66" s="13">
        <f>BY66*VLOOKUP('Données projet'!$B$12,Paramètres!$A$1:$I$89,3,0)*VLOOKUP('Données projet'!$B$12,Paramètres!$A$1:$I$89,5,0)</f>
        <v>418.6909999999998</v>
      </c>
      <c r="CA66" s="13">
        <f t="shared" si="39"/>
        <v>95.555848328260851</v>
      </c>
      <c r="CB66" s="20">
        <f t="shared" si="10"/>
        <v>895.64659417172061</v>
      </c>
      <c r="CC66" s="57">
        <f t="shared" si="11"/>
        <v>1188.9799275050539</v>
      </c>
      <c r="CD66" s="57">
        <f ca="1">AVERAGE(OFFSET($CC$3,0,0,'Données projet'!$E$12+1,1))-AVERAGE(OFFSET($H$3,0,0,'Données projet'!$E$12+1,1))</f>
        <v>462.54745364638171</v>
      </c>
      <c r="CE66" s="57">
        <f t="shared" si="40"/>
        <v>571.50914830067313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104.06697532903664</v>
      </c>
      <c r="CL66" s="21">
        <f>EXP(-LN(2)/25)*CL65+(1-EXP(-LN(2)/25))/(LN(2)/25)*Calculateur!CG66*Calculateur!CI66*VLOOKUP('Données projet'!$B$12,Paramètres!$A$1:$I$89,3,0)*0.475*44/12</f>
        <v>23.14357124014634</v>
      </c>
      <c r="CM66" s="21">
        <f>EXP(-LN(2)/2)*CM65+(1-EXP(-LN(2)/2))/(LN(2)/2)*CG66*CJ66*VLOOKUP('Données projet'!$B$12,Paramètres!$A$1:$I$89,3,0)*0.475*44/12</f>
        <v>9.1763695664583887E-6</v>
      </c>
      <c r="CN66" s="22">
        <f t="shared" si="12"/>
        <v>127.21055574555255</v>
      </c>
      <c r="CO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6.6</v>
      </c>
      <c r="CT66" s="12">
        <f>IF('Données projet'!$A$140&gt;35,CT65+CS66-DB65,IF(A66&lt;'Données projet'!$A$140,$CQ$205^A66,IF(A66='Données projet'!$A$140,'Données projet'!$B$140,CT65+CS66-DB65)))</f>
        <v>247.79999999999995</v>
      </c>
      <c r="CU66" s="17">
        <f>CT66*VLOOKUP('Données projet'!$B$13,Paramètres!$A$1:$I$89,3,0)*VLOOKUP('Données projet'!$B$13,Paramètres!$A$1:$I$89,5,0)</f>
        <v>235.80647999999994</v>
      </c>
      <c r="CV66" s="13">
        <f t="shared" si="41"/>
        <v>57.5363506739358</v>
      </c>
      <c r="CW66" s="20">
        <f t="shared" si="13"/>
        <v>510.90543009043807</v>
      </c>
      <c r="CX66" s="57">
        <f t="shared" si="14"/>
        <v>804.23876342377139</v>
      </c>
      <c r="CY66" s="57">
        <f ca="1">AVERAGE(OFFSET($CX$3,0,0,'Données projet'!$E$13+1,1))-AVERAGE(OFFSET($H$3,0,0,'Données projet'!$E$13+1,1))</f>
        <v>314.67680626853303</v>
      </c>
      <c r="CZ66" s="57">
        <f t="shared" si="42"/>
        <v>372.57247561536263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60.074341326588502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60.074341326588502</v>
      </c>
      <c r="DJ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5.2</v>
      </c>
      <c r="DO66" s="12">
        <f>IF('Données projet'!$A$166&gt;35,DO65+DN66-DW65,IF(A66&lt;'Données projet'!$A$166,$DL$205^A66,IF(A66='Données projet'!$A$166,'Données projet'!$B$166,DO65+DN66-DW65)))</f>
        <v>295.59999999999985</v>
      </c>
      <c r="DP66" s="17">
        <f>DO66*VLOOKUP('Données projet'!$B$14,Paramètres!$A$1:$I$89,3,0)*VLOOKUP('Données projet'!$B$14,Paramètres!$A$1:$I$89,5,0)</f>
        <v>193.67711999999989</v>
      </c>
      <c r="DQ66" s="13">
        <f t="shared" si="43"/>
        <v>48.352002718263378</v>
      </c>
      <c r="DR66" s="20">
        <f t="shared" si="16"/>
        <v>421.53405540097515</v>
      </c>
      <c r="DS66" s="57">
        <f t="shared" si="17"/>
        <v>714.86738873430841</v>
      </c>
      <c r="DT66" s="57">
        <f ca="1">AVERAGE(OFFSET($DS$3,0,0,'Données projet'!$E$14+1,1))-AVERAGE(OFFSET($H$3,0,0,'Données projet'!$E$14+1,1))</f>
        <v>188.80259324758066</v>
      </c>
      <c r="DU66" s="57">
        <f t="shared" si="44"/>
        <v>195.48048518255354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31.343057447846501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31.343057447846501</v>
      </c>
      <c r="EE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295.59999999999985</v>
      </c>
      <c r="EK66" s="17">
        <f>EJ66*VLOOKUP('Données projet'!$B$15,Paramètres!$A$1:$I$89,3,0)*VLOOKUP('Données projet'!$B$15,Paramètres!$A$1:$I$89,5,0)</f>
        <v>239.79071999999991</v>
      </c>
      <c r="EL66" s="13">
        <f t="shared" si="45"/>
        <v>58.394500584818381</v>
      </c>
      <c r="EM66" s="20">
        <f t="shared" si="19"/>
        <v>519.33925918522516</v>
      </c>
      <c r="EN66" s="57">
        <f t="shared" si="20"/>
        <v>812.67259251855853</v>
      </c>
      <c r="EO66" s="57">
        <f ca="1">AVERAGE(OFFSET($EN$3,0,0,'Données projet'!$E$15+1,1))-AVERAGE(OFFSET($H$3,0,0,'Données projet'!$E$15+1,1))</f>
        <v>250.90550982248311</v>
      </c>
      <c r="EP66" s="57">
        <f t="shared" si="46"/>
        <v>254.68874167908001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38.805690173524248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38.805690173524248</v>
      </c>
      <c r="EZ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7" t="e">
        <f t="shared" si="23"/>
        <v>#N/A</v>
      </c>
      <c r="FJ66" s="57" t="e">
        <f ca="1">AVERAGE(OFFSET($FI$3,0,0,'Données projet'!$E$16+1,1))-AVERAGE(OFFSET($H$3,0,0,'Données projet'!$E$16+1,1))</f>
        <v>#N/A</v>
      </c>
      <c r="FK66" s="57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7" t="e">
        <f t="shared" si="26"/>
        <v>#N/A</v>
      </c>
      <c r="GE66" s="57" t="e">
        <f ca="1">AVERAGE(OFFSET($GD$3,0,0,'Données projet'!$E$17+1,1))-AVERAGE(OFFSET($H$3,0,0,'Données projet'!$E$17+1,1))</f>
        <v>#N/A</v>
      </c>
      <c r="GF66" s="57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7" t="e">
        <f t="shared" si="29"/>
        <v>#N/A</v>
      </c>
      <c r="GZ66" s="57" t="e">
        <f ca="1">AVERAGE(OFFSET($GY$3,0,0,'Données projet'!$E$18+1,1))-AVERAGE(OFFSET($H$3,0,0,'Données projet'!$E$18+1,1))</f>
        <v>#N/A</v>
      </c>
      <c r="HA66" s="57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0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4">
        <f t="shared" si="1"/>
        <v>418.80383627785574</v>
      </c>
      <c r="I67" s="6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236.04048</v>
      </c>
      <c r="P67" s="13">
        <f t="shared" si="33"/>
        <v>57.586797409506879</v>
      </c>
      <c r="Q67" s="20">
        <f t="shared" ref="Q67:Q98" si="54">(O67+P67)*0.475*44/12</f>
        <v>511.40084148822439</v>
      </c>
      <c r="R67" s="57">
        <f t="shared" ref="R67:R130" si="55">Q67+(I67+J67)*44/12</f>
        <v>804.73417482155764</v>
      </c>
      <c r="S67" s="57">
        <f ca="1">AVERAGE(OFFSET($R$3,0,0,'Données projet'!$E$9+1,1))-AVERAGE(OFFSET($H$3,0,0,'Données projet'!$E$9+1,1))</f>
        <v>267.44861001389006</v>
      </c>
      <c r="T67" s="57">
        <f t="shared" si="34"/>
        <v>165.25921510802965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49.217602826140933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49.217602826140933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8.8000000000000007</v>
      </c>
      <c r="AI67" s="13">
        <f>IF('Données projet'!$A$62&gt;35,AI66+AH67-AQ66,IF(A67&lt;'Données projet'!$A$62,$AF$205^A67,IF(A67='Données projet'!$A$62,'Données projet'!$B$62,AI66+AH67-AQ66)))</f>
        <v>280.2</v>
      </c>
      <c r="AJ67" s="13">
        <f>AI67*VLOOKUP('Données projet'!$B$10,Paramètres!$A$1:$I$89,3,0)*VLOOKUP('Données projet'!$B$10,Paramètres!$A$1:$I$89,5,0)</f>
        <v>253.52495999999999</v>
      </c>
      <c r="AK67" s="13">
        <f t="shared" si="35"/>
        <v>61.340141798422209</v>
      </c>
      <c r="AL67" s="20">
        <f t="shared" si="4"/>
        <v>548.39005229891859</v>
      </c>
      <c r="AM67" s="57">
        <f t="shared" si="5"/>
        <v>841.72338563225185</v>
      </c>
      <c r="AN67" s="57">
        <f ca="1">AVERAGE(OFFSET($AM$3,0,0,'Données projet'!$E$10+1,1))-AVERAGE(OFFSET($H$3,0,0,'Données projet'!$E$10+1,1))</f>
        <v>294.92430430387071</v>
      </c>
      <c r="AO67" s="57">
        <f t="shared" si="36"/>
        <v>181.52228471516497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52.863351183632837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52.863351183632837</v>
      </c>
      <c r="AY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244.00895999999986</v>
      </c>
      <c r="BF67" s="13">
        <f t="shared" si="37"/>
        <v>59.301244377330541</v>
      </c>
      <c r="BG67" s="20">
        <f t="shared" si="7"/>
        <v>528.26527262385048</v>
      </c>
      <c r="BH67" s="57">
        <f t="shared" si="8"/>
        <v>821.59860595718374</v>
      </c>
      <c r="BI67" s="57">
        <f ca="1">AVERAGE(OFFSET($BH$3,0,0,'Données projet'!$E$11+1,1))-AVERAGE(OFFSET($H$3,0,0,'Données projet'!$E$11+1,1))</f>
        <v>250.90550982248311</v>
      </c>
      <c r="BJ67" s="57">
        <f t="shared" si="38"/>
        <v>254.68874167908001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38.044734258355312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38.044734258355312</v>
      </c>
      <c r="BT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</v>
      </c>
      <c r="BY67" s="12">
        <f>IF('Données projet'!$A$114&gt;35,BY66+BX67-CG66,IF(A67&lt;'Données projet'!$A$114,$BV$205^A67,IF(A67='Données projet'!$A$114,'Données projet'!$B$114,BY66+BX67-CG66)))</f>
        <v>758.99999999999966</v>
      </c>
      <c r="BZ67" s="13">
        <f>BY67*VLOOKUP('Données projet'!$B$12,Paramètres!$A$1:$I$89,3,0)*VLOOKUP('Données projet'!$B$12,Paramètres!$A$1:$I$89,5,0)</f>
        <v>424.28099999999978</v>
      </c>
      <c r="CA67" s="13">
        <f t="shared" si="39"/>
        <v>96.682255052757768</v>
      </c>
      <c r="CB67" s="20">
        <f t="shared" si="10"/>
        <v>907.34433588355262</v>
      </c>
      <c r="CC67" s="57">
        <f t="shared" si="11"/>
        <v>1200.677669216886</v>
      </c>
      <c r="CD67" s="57">
        <f ca="1">AVERAGE(OFFSET($CC$3,0,0,'Données projet'!$E$12+1,1))-AVERAGE(OFFSET($H$3,0,0,'Données projet'!$E$12+1,1))</f>
        <v>462.54745364638171</v>
      </c>
      <c r="CE67" s="57">
        <f t="shared" si="40"/>
        <v>571.50914830067313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102.02628541742159</v>
      </c>
      <c r="CL67" s="21">
        <f>EXP(-LN(2)/25)*CL66+(1-EXP(-LN(2)/25))/(LN(2)/25)*Calculateur!CG67*Calculateur!CI67*VLOOKUP('Données projet'!$B$12,Paramètres!$A$1:$I$89,3,0)*0.475*44/12</f>
        <v>22.510709067517023</v>
      </c>
      <c r="CM67" s="21">
        <f>EXP(-LN(2)/2)*CM66+(1-EXP(-LN(2)/2))/(LN(2)/2)*CG67*CJ67*VLOOKUP('Données projet'!$B$12,Paramètres!$A$1:$I$89,3,0)*0.475*44/12</f>
        <v>6.488673147116586E-6</v>
      </c>
      <c r="CN67" s="22">
        <f t="shared" si="12"/>
        <v>124.53700097361177</v>
      </c>
      <c r="CO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6.6</v>
      </c>
      <c r="CT67" s="12">
        <f>IF('Données projet'!$A$140&gt;35,CT66+CS67-DB66,IF(A67&lt;'Données projet'!$A$140,$CQ$205^A67,IF(A67='Données projet'!$A$140,'Données projet'!$B$140,CT66+CS67-DB66)))</f>
        <v>254.39999999999995</v>
      </c>
      <c r="CU67" s="17">
        <f>CT67*VLOOKUP('Données projet'!$B$13,Paramètres!$A$1:$I$89,3,0)*VLOOKUP('Données projet'!$B$13,Paramètres!$A$1:$I$89,5,0)</f>
        <v>242.08703999999997</v>
      </c>
      <c r="CV67" s="13">
        <f t="shared" si="41"/>
        <v>58.888340776302016</v>
      </c>
      <c r="CW67" s="20">
        <f t="shared" si="13"/>
        <v>524.19878818539257</v>
      </c>
      <c r="CX67" s="57">
        <f t="shared" si="14"/>
        <v>817.53212151872594</v>
      </c>
      <c r="CY67" s="57">
        <f ca="1">AVERAGE(OFFSET($CX$3,0,0,'Données projet'!$E$13+1,1))-AVERAGE(OFFSET($H$3,0,0,'Données projet'!$E$13+1,1))</f>
        <v>314.67680626853303</v>
      </c>
      <c r="CZ67" s="57">
        <f t="shared" si="42"/>
        <v>372.57247561536263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58.896320134904244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58.896320134904244</v>
      </c>
      <c r="DJ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5.2</v>
      </c>
      <c r="DO67" s="12">
        <f>IF('Données projet'!$A$166&gt;35,DO66+DN67-DW66,IF(A67&lt;'Données projet'!$A$166,$DL$205^A67,IF(A67='Données projet'!$A$166,'Données projet'!$B$166,DO66+DN67-DW66)))</f>
        <v>300.79999999999984</v>
      </c>
      <c r="DP67" s="17">
        <f>DO67*VLOOKUP('Données projet'!$B$14,Paramètres!$A$1:$I$89,3,0)*VLOOKUP('Données projet'!$B$14,Paramètres!$A$1:$I$89,5,0)</f>
        <v>197.08415999999988</v>
      </c>
      <c r="DQ67" s="13">
        <f t="shared" si="43"/>
        <v>49.102807637925835</v>
      </c>
      <c r="DR67" s="20">
        <f t="shared" si="16"/>
        <v>428.77563530272056</v>
      </c>
      <c r="DS67" s="57">
        <f t="shared" si="17"/>
        <v>722.10896863605387</v>
      </c>
      <c r="DT67" s="57">
        <f ca="1">AVERAGE(OFFSET($DS$3,0,0,'Données projet'!$E$14+1,1))-AVERAGE(OFFSET($H$3,0,0,'Données projet'!$E$14+1,1))</f>
        <v>188.80259324758066</v>
      </c>
      <c r="DU67" s="57">
        <f t="shared" si="44"/>
        <v>195.48048518255354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30.728439208671592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30.728439208671592</v>
      </c>
      <c r="EE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300.79999999999984</v>
      </c>
      <c r="EK67" s="17">
        <f>EJ67*VLOOKUP('Données projet'!$B$15,Paramètres!$A$1:$I$89,3,0)*VLOOKUP('Données projet'!$B$15,Paramètres!$A$1:$I$89,5,0)</f>
        <v>244.00895999999986</v>
      </c>
      <c r="EL67" s="13">
        <f t="shared" si="45"/>
        <v>59.301244377330541</v>
      </c>
      <c r="EM67" s="20">
        <f t="shared" si="19"/>
        <v>528.26527262385048</v>
      </c>
      <c r="EN67" s="57">
        <f t="shared" si="20"/>
        <v>821.59860595718374</v>
      </c>
      <c r="EO67" s="57">
        <f ca="1">AVERAGE(OFFSET($EN$3,0,0,'Données projet'!$E$15+1,1))-AVERAGE(OFFSET($H$3,0,0,'Données projet'!$E$15+1,1))</f>
        <v>250.90550982248311</v>
      </c>
      <c r="EP67" s="57">
        <f t="shared" si="46"/>
        <v>254.68874167908001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38.044734258355312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38.044734258355312</v>
      </c>
      <c r="EZ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7" t="e">
        <f t="shared" si="23"/>
        <v>#N/A</v>
      </c>
      <c r="FJ67" s="57" t="e">
        <f ca="1">AVERAGE(OFFSET($FI$3,0,0,'Données projet'!$E$16+1,1))-AVERAGE(OFFSET($H$3,0,0,'Données projet'!$E$16+1,1))</f>
        <v>#N/A</v>
      </c>
      <c r="FK67" s="57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7" t="e">
        <f t="shared" si="26"/>
        <v>#N/A</v>
      </c>
      <c r="GE67" s="57" t="e">
        <f ca="1">AVERAGE(OFFSET($GD$3,0,0,'Données projet'!$E$17+1,1))-AVERAGE(OFFSET($H$3,0,0,'Données projet'!$E$17+1,1))</f>
        <v>#N/A</v>
      </c>
      <c r="GF67" s="57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7" t="e">
        <f t="shared" si="29"/>
        <v>#N/A</v>
      </c>
      <c r="GZ67" s="57" t="e">
        <f ca="1">AVERAGE(OFFSET($GY$3,0,0,'Données projet'!$E$18+1,1))-AVERAGE(OFFSET($H$3,0,0,'Données projet'!$E$18+1,1))</f>
        <v>#N/A</v>
      </c>
      <c r="HA67" s="57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0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4">
        <f t="shared" ref="H68:H131" si="56">(B68+E68+F68)*44/12+(C68+D68)*0.475*44/12</f>
        <v>420.71286765915545</v>
      </c>
      <c r="I68" s="6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243.45360000000002</v>
      </c>
      <c r="P68" s="13">
        <f t="shared" si="33"/>
        <v>59.181970343065316</v>
      </c>
      <c r="Q68" s="20">
        <f t="shared" si="54"/>
        <v>527.09028501417208</v>
      </c>
      <c r="R68" s="57">
        <f t="shared" si="55"/>
        <v>820.42361834750545</v>
      </c>
      <c r="S68" s="57">
        <f ca="1">AVERAGE(OFFSET($R$3,0,0,'Données projet'!$E$9+1,1))-AVERAGE(OFFSET($H$3,0,0,'Données projet'!$E$9+1,1))</f>
        <v>267.44861001389006</v>
      </c>
      <c r="T68" s="57">
        <f t="shared" si="34"/>
        <v>165.25921510802965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59.464704557025257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59.464704557025257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289</v>
      </c>
      <c r="AG68" s="12">
        <f>VLOOKUP(A68,'Données projet'!$A$61:$I$81,9,0)</f>
        <v>8.8000000000000007</v>
      </c>
      <c r="AH68" s="12">
        <f t="array" ref="AH68">INDEX(AG:AG,MIN(IF(ISNUMBER(AG68:AG264),ROW(AG68:AG264),"")))</f>
        <v>8.8000000000000007</v>
      </c>
      <c r="AI68" s="13">
        <f>IF('Données projet'!$A$62&gt;35,AI67+AH68-AQ67,IF(A68&lt;'Données projet'!$A$62,$AF$205^A68,IF(A68='Données projet'!$A$62,'Données projet'!$B$62,AI67+AH68-AQ67)))</f>
        <v>289</v>
      </c>
      <c r="AJ68" s="13">
        <f>AI68*VLOOKUP('Données projet'!$B$10,Paramètres!$A$1:$I$89,3,0)*VLOOKUP('Données projet'!$B$10,Paramètres!$A$1:$I$89,5,0)</f>
        <v>261.48719999999997</v>
      </c>
      <c r="AK68" s="13">
        <f t="shared" si="35"/>
        <v>63.039283586802391</v>
      </c>
      <c r="AL68" s="20">
        <f t="shared" ref="AL68:AL131" si="58">(AJ68+AK68)*0.475*44/12</f>
        <v>565.21695891368086</v>
      </c>
      <c r="AM68" s="57">
        <f t="shared" ref="AM68:AM131" si="59">AL68+(AD68+AE68)*44/12</f>
        <v>858.55029224701411</v>
      </c>
      <c r="AN68" s="57">
        <f ca="1">AVERAGE(OFFSET($AM$3,0,0,'Données projet'!$E$10+1,1))-AVERAGE(OFFSET($H$3,0,0,'Données projet'!$E$10+1,1))</f>
        <v>294.92430430387071</v>
      </c>
      <c r="AO68" s="57">
        <f t="shared" si="36"/>
        <v>181.52228471516497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63.869497487175259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63.869497487175259</v>
      </c>
      <c r="AY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248.22719999999987</v>
      </c>
      <c r="BF68" s="13">
        <f t="shared" si="37"/>
        <v>60.20616532763993</v>
      </c>
      <c r="BG68" s="20">
        <f t="shared" ref="BG68:BG131" si="61">(BE68+BF68)*0.475*44/12</f>
        <v>537.18811127897254</v>
      </c>
      <c r="BH68" s="57">
        <f t="shared" ref="BH68:BH131" si="62">BG68+(AY68+AZ68)*44/12</f>
        <v>830.52144461230591</v>
      </c>
      <c r="BI68" s="57">
        <f ca="1">AVERAGE(OFFSET($BH$3,0,0,'Données projet'!$E$11+1,1))-AVERAGE(OFFSET($H$3,0,0,'Données projet'!$E$11+1,1))</f>
        <v>250.90550982248311</v>
      </c>
      <c r="BJ68" s="57">
        <f t="shared" si="38"/>
        <v>254.68874167908001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42.311575051338707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42.311575051338707</v>
      </c>
      <c r="BT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769</v>
      </c>
      <c r="BW68" s="12">
        <f>VLOOKUP(A68,'Données projet'!$A$113:$I$133,9,0)</f>
        <v>10</v>
      </c>
      <c r="BX68" s="12">
        <f t="array" ref="BX68">INDEX(BW:BW,MIN(IF(ISNUMBER(BW68:BW264),ROW(BW68:BW264),"")))</f>
        <v>10</v>
      </c>
      <c r="BY68" s="12">
        <f>IF('Données projet'!$A$114&gt;35,BY67+BX68-CG67,IF(A68&lt;'Données projet'!$A$114,$BV$205^A68,IF(A68='Données projet'!$A$114,'Données projet'!$B$114,BY67+BX68-CG67)))</f>
        <v>768.99999999999966</v>
      </c>
      <c r="BZ68" s="13">
        <f>BY68*VLOOKUP('Données projet'!$B$12,Paramètres!$A$1:$I$89,3,0)*VLOOKUP('Données projet'!$B$12,Paramètres!$A$1:$I$89,5,0)</f>
        <v>429.87099999999981</v>
      </c>
      <c r="CA68" s="13">
        <f t="shared" si="39"/>
        <v>97.806935594587088</v>
      </c>
      <c r="CB68" s="20">
        <f t="shared" ref="CB68:CB131" si="64">(BZ68+CA68)*0.475*44/12</f>
        <v>919.03907116057201</v>
      </c>
      <c r="CC68" s="57">
        <f t="shared" ref="CC68:CC131" si="65">CB68+(BT68+BU68)*44/12</f>
        <v>1212.3724044939054</v>
      </c>
      <c r="CD68" s="57">
        <f ca="1">AVERAGE(OFFSET($CC$3,0,0,'Données projet'!$E$12+1,1))-AVERAGE(OFFSET($H$3,0,0,'Données projet'!$E$12+1,1))</f>
        <v>462.54745364638171</v>
      </c>
      <c r="CE68" s="57">
        <f t="shared" si="40"/>
        <v>571.50914830067313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29</v>
      </c>
      <c r="CH68" s="16">
        <f>IF(ISNA(VLOOKUP(A68,'Données projet'!$A$113:$I$133,5,0)),0%,VLOOKUP(A68,'Données projet'!$A$113:$I$133,5,0)*VLOOKUP('Données projet'!$B$12,Paramètres!$A$1:$I$89,7,0))</f>
        <v>0.55000000000000004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111.85332720319708</v>
      </c>
      <c r="CL68" s="21">
        <f>EXP(-LN(2)/25)*CL67+(1-EXP(-LN(2)/25))/(LN(2)/25)*Calculateur!CG68*Calculateur!CI68*VLOOKUP('Données projet'!$B$12,Paramètres!$A$1:$I$89,3,0)*0.475*44/12</f>
        <v>21.895152544279028</v>
      </c>
      <c r="CM68" s="21">
        <f>EXP(-LN(2)/2)*CM67+(1-EXP(-LN(2)/2))/(LN(2)/2)*CG68*CJ68*VLOOKUP('Données projet'!$B$12,Paramètres!$A$1:$I$89,3,0)*0.475*44/12</f>
        <v>4.5881847832291943E-6</v>
      </c>
      <c r="CN68" s="22">
        <f t="shared" ref="CN68:CN131" si="66">SUM(CK68:CM68)</f>
        <v>133.74848433566089</v>
      </c>
      <c r="CO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261</v>
      </c>
      <c r="CR68" s="12">
        <f>VLOOKUP(A68,'Données projet'!$A$139:$I$159,9,0)</f>
        <v>6.6</v>
      </c>
      <c r="CS68" s="12">
        <f t="array" ref="CS68">INDEX(CR:CR,MIN(IF(ISNUMBER(CR68:CR264),ROW(CR68:CR264),"")))</f>
        <v>6.6</v>
      </c>
      <c r="CT68" s="12">
        <f>IF('Données projet'!$A$140&gt;35,CT67+CS68-DB67,IF(A68&lt;'Données projet'!$A$140,$CQ$205^A68,IF(A68='Données projet'!$A$140,'Données projet'!$B$140,CT67+CS68-DB67)))</f>
        <v>260.99999999999994</v>
      </c>
      <c r="CU68" s="17">
        <f>CT68*VLOOKUP('Données projet'!$B$13,Paramètres!$A$1:$I$89,3,0)*VLOOKUP('Données projet'!$B$13,Paramètres!$A$1:$I$89,5,0)</f>
        <v>248.36759999999992</v>
      </c>
      <c r="CV68" s="13">
        <f t="shared" si="41"/>
        <v>60.236253798706286</v>
      </c>
      <c r="CW68" s="20">
        <f t="shared" ref="CW68:CW131" si="67">(CU68+CV68)*0.475*44/12</f>
        <v>537.48504536607993</v>
      </c>
      <c r="CX68" s="57">
        <f t="shared" ref="CX68:CX131" si="68">CW68+(CO68+CP68)*44/12</f>
        <v>830.81837869941319</v>
      </c>
      <c r="CY68" s="57">
        <f ca="1">AVERAGE(OFFSET($CX$3,0,0,'Données projet'!$E$13+1,1))-AVERAGE(OFFSET($H$3,0,0,'Données projet'!$E$13+1,1))</f>
        <v>314.67680626853303</v>
      </c>
      <c r="CZ68" s="57">
        <f t="shared" si="42"/>
        <v>372.57247561536263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29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70.859410416416466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70.859410416416466</v>
      </c>
      <c r="DJ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306</v>
      </c>
      <c r="DM68" s="12">
        <f>VLOOKUP(A68,'Données projet'!$A$165:$I$185,9,0)</f>
        <v>5.2</v>
      </c>
      <c r="DN68" s="12">
        <f t="array" ref="DN68">INDEX(DM:DM,MIN(IF(ISNUMBER(DM68:DM264),ROW(DM68:DM264),"")))</f>
        <v>5.2</v>
      </c>
      <c r="DO68" s="12">
        <f>IF('Données projet'!$A$166&gt;35,DO67+DN68-DW67,IF(A68&lt;'Données projet'!$A$166,$DL$205^A68,IF(A68='Données projet'!$A$166,'Données projet'!$B$166,DO67+DN68-DW67)))</f>
        <v>305.99999999999983</v>
      </c>
      <c r="DP68" s="17">
        <f>DO68*VLOOKUP('Données projet'!$B$14,Paramètres!$A$1:$I$89,3,0)*VLOOKUP('Données projet'!$B$14,Paramètres!$A$1:$I$89,5,0)</f>
        <v>200.49119999999988</v>
      </c>
      <c r="DQ68" s="13">
        <f t="shared" si="43"/>
        <v>49.85210320190825</v>
      </c>
      <c r="DR68" s="20">
        <f t="shared" ref="DR68:DR131" si="70">(DP68+DQ68)*0.475*44/12</f>
        <v>436.01458640998993</v>
      </c>
      <c r="DS68" s="57">
        <f t="shared" ref="DS68:DS131" si="71">DR68+(DJ68+DK68)*44/12</f>
        <v>729.34791974332325</v>
      </c>
      <c r="DT68" s="57">
        <f ca="1">AVERAGE(OFFSET($DS$3,0,0,'Données projet'!$E$14+1,1))-AVERAGE(OFFSET($H$3,0,0,'Données projet'!$E$14+1,1))</f>
        <v>188.80259324758066</v>
      </c>
      <c r="DU68" s="57">
        <f t="shared" si="44"/>
        <v>195.48048518255354</v>
      </c>
      <c r="DV68" s="15">
        <f>IF(ISNA(VLOOKUP(A68,'Données projet'!$A$165:$I$185,3,0)),0,VLOOKUP(A68,'Données projet'!$A$165:$I$185,3,0))</f>
        <v>11</v>
      </c>
      <c r="DW68" s="15">
        <f>IF(ISNA(VLOOKUP(A68,'Données projet'!$A$165:$I$185,4,0)),0,VLOOKUP(A68,'Données projet'!$A$165:$I$185,4,0))</f>
        <v>13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34.174733695312028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34.174733695312028</v>
      </c>
      <c r="EE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306</v>
      </c>
      <c r="EH68" s="12">
        <f>VLOOKUP(A68,'Données projet'!$A$191:$I$211,9,0)</f>
        <v>5.2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305.99999999999983</v>
      </c>
      <c r="EK68" s="17">
        <f>EJ68*VLOOKUP('Données projet'!$B$15,Paramètres!$A$1:$I$89,3,0)*VLOOKUP('Données projet'!$B$15,Paramètres!$A$1:$I$89,5,0)</f>
        <v>248.22719999999987</v>
      </c>
      <c r="EL68" s="13">
        <f t="shared" si="45"/>
        <v>60.20616532763993</v>
      </c>
      <c r="EM68" s="20">
        <f t="shared" ref="EM68:EM131" si="73">(EK68+EL68)*0.475*44/12</f>
        <v>537.18811127897254</v>
      </c>
      <c r="EN68" s="57">
        <f t="shared" ref="EN68:EN131" si="74">EM68+(EE68+EF68)*44/12</f>
        <v>830.52144461230591</v>
      </c>
      <c r="EO68" s="57">
        <f ca="1">AVERAGE(OFFSET($EN$3,0,0,'Données projet'!$E$15+1,1))-AVERAGE(OFFSET($H$3,0,0,'Données projet'!$E$15+1,1))</f>
        <v>250.90550982248311</v>
      </c>
      <c r="EP68" s="57">
        <f t="shared" si="46"/>
        <v>254.68874167908001</v>
      </c>
      <c r="EQ68" s="15">
        <f>IF(ISNA(VLOOKUP(A68,'Données projet'!$A$191:$I$211,3,0)),0,VLOOKUP(A68,'Données projet'!$A$191:$I$211,3,0))</f>
        <v>11</v>
      </c>
      <c r="ER68" s="15">
        <f>IF(ISNA(VLOOKUP(A68,'Données projet'!$A$191:$I$211,4,0)),0,VLOOKUP(A68,'Données projet'!$A$191:$I$211,4,0))</f>
        <v>13</v>
      </c>
      <c r="ES68" s="16">
        <f>IF(ISNA(VLOOKUP(A68,'Données projet'!$A$191:$I$211,5,0)),0%,VLOOKUP(A68,'Données projet'!$A$191:$I$211,5,0)*VLOOKUP('Données projet'!$B$15,Paramètres!$A$1:$I$89,7,0))</f>
        <v>0.43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42.311575051338707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42.311575051338707</v>
      </c>
      <c r="EZ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7" t="e">
        <f t="shared" ref="FI68:FI131" si="77">FH68+(EZ68+FA68)*44/12</f>
        <v>#N/A</v>
      </c>
      <c r="FJ68" s="57" t="e">
        <f ca="1">AVERAGE(OFFSET($FI$3,0,0,'Données projet'!$E$16+1,1))-AVERAGE(OFFSET($H$3,0,0,'Données projet'!$E$16+1,1))</f>
        <v>#N/A</v>
      </c>
      <c r="FK68" s="57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7" t="e">
        <f t="shared" ref="GD68:GD131" si="80">GC68+(FU68+FV68)*44/12</f>
        <v>#N/A</v>
      </c>
      <c r="GE68" s="57" t="e">
        <f ca="1">AVERAGE(OFFSET($GD$3,0,0,'Données projet'!$E$17+1,1))-AVERAGE(OFFSET($H$3,0,0,'Données projet'!$E$17+1,1))</f>
        <v>#N/A</v>
      </c>
      <c r="GF68" s="57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7" t="e">
        <f t="shared" ref="GY68:GY131" si="83">GX68+(GP68+GQ68)*44/12</f>
        <v>#N/A</v>
      </c>
      <c r="GZ68" s="57" t="e">
        <f ca="1">AVERAGE(OFFSET($GY$3,0,0,'Données projet'!$E$18+1,1))-AVERAGE(OFFSET($H$3,0,0,'Données projet'!$E$18+1,1))</f>
        <v>#N/A</v>
      </c>
      <c r="HA68" s="57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0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4">
        <f t="shared" si="56"/>
        <v>422.6212056890538</v>
      </c>
      <c r="I69" s="6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226.77408</v>
      </c>
      <c r="P69" s="13">
        <f t="shared" ref="P69:P132" si="87">EXP(-1.0587+0.8836*LN(O69)+0.284)</f>
        <v>55.584589827360034</v>
      </c>
      <c r="Q69" s="20">
        <f t="shared" si="54"/>
        <v>491.77468328265195</v>
      </c>
      <c r="R69" s="57">
        <f t="shared" si="55"/>
        <v>785.10801661598521</v>
      </c>
      <c r="S69" s="57">
        <f ca="1">AVERAGE(OFFSET($R$3,0,0,'Données projet'!$E$9+1,1))-AVERAGE(OFFSET($H$3,0,0,'Données projet'!$E$9+1,1))</f>
        <v>267.44861001389006</v>
      </c>
      <c r="T69" s="57">
        <f t="shared" ref="T69:T132" si="88">$T$3</f>
        <v>165.25921510802965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58.298637970550416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58.298637970550416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8.1999999999999993</v>
      </c>
      <c r="AI69" s="13">
        <f>IF('Données projet'!$A$62&gt;35,AI68+AH69-AQ68,IF(A69&lt;'Données projet'!$A$62,$AF$205^A69,IF(A69='Données projet'!$A$62,'Données projet'!$B$62,AI68+AH69-AQ68)))</f>
        <v>269.2</v>
      </c>
      <c r="AJ69" s="13">
        <f>AI69*VLOOKUP('Données projet'!$B$10,Paramètres!$A$1:$I$89,3,0)*VLOOKUP('Données projet'!$B$10,Paramètres!$A$1:$I$89,5,0)</f>
        <v>243.57216</v>
      </c>
      <c r="AK69" s="13">
        <f t="shared" ref="AK69:AK132" si="89">EXP(-1.0587+0.8836*LN(AJ69)+0.284)</f>
        <v>59.207435995642292</v>
      </c>
      <c r="AL69" s="20">
        <f t="shared" si="58"/>
        <v>527.34112969241028</v>
      </c>
      <c r="AM69" s="57">
        <f t="shared" si="59"/>
        <v>820.67446302574353</v>
      </c>
      <c r="AN69" s="57">
        <f ca="1">AVERAGE(OFFSET($AM$3,0,0,'Données projet'!$E$10+1,1))-AVERAGE(OFFSET($H$3,0,0,'Données projet'!$E$10+1,1))</f>
        <v>294.92430430387071</v>
      </c>
      <c r="AO69" s="57">
        <f t="shared" ref="AO69:AO132" si="90">$AO$3</f>
        <v>181.52228471516497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62.617055597998579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62.617055597998579</v>
      </c>
      <c r="AY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241.41311999999988</v>
      </c>
      <c r="BF69" s="13">
        <f t="shared" ref="BF69:BF132" si="91">EXP(-1.0587+0.8836*LN(BE69)+0.284)</f>
        <v>58.743466172863258</v>
      </c>
      <c r="BG69" s="20">
        <f t="shared" si="61"/>
        <v>522.77272091773659</v>
      </c>
      <c r="BH69" s="57">
        <f t="shared" si="62"/>
        <v>816.10605425106996</v>
      </c>
      <c r="BI69" s="57">
        <f ca="1">AVERAGE(OFFSET($BH$3,0,0,'Données projet'!$E$11+1,1))-AVERAGE(OFFSET($H$3,0,0,'Données projet'!$E$11+1,1))</f>
        <v>250.90550982248311</v>
      </c>
      <c r="BJ69" s="57">
        <f t="shared" ref="BJ69:BJ132" si="92">$BJ$3</f>
        <v>254.68874167908001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41.481870872094454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41.481870872094454</v>
      </c>
      <c r="BT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739.99999999999966</v>
      </c>
      <c r="BZ69" s="13">
        <f>BY69*VLOOKUP('Données projet'!$B$12,Paramètres!$A$1:$I$89,3,0)*VLOOKUP('Données projet'!$B$12,Paramètres!$A$1:$I$89,5,0)</f>
        <v>413.65999999999985</v>
      </c>
      <c r="CA69" s="13">
        <f t="shared" ref="CA69:CA132" si="93">EXP(-1.0587+0.8836*LN(BZ69)+0.284)</f>
        <v>94.540585122244352</v>
      </c>
      <c r="CB69" s="20">
        <f t="shared" si="64"/>
        <v>885.11601908790863</v>
      </c>
      <c r="CC69" s="57">
        <f t="shared" si="65"/>
        <v>1178.4493524212419</v>
      </c>
      <c r="CD69" s="57">
        <f ca="1">AVERAGE(OFFSET($CC$3,0,0,'Données projet'!$E$12+1,1))-AVERAGE(OFFSET($H$3,0,0,'Données projet'!$E$12+1,1))</f>
        <v>462.54745364638171</v>
      </c>
      <c r="CE69" s="57">
        <f t="shared" ref="CE69:CE132" si="94">$CE$3</f>
        <v>571.50914830067313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109.65995168053544</v>
      </c>
      <c r="CL69" s="21">
        <f>EXP(-LN(2)/25)*CL68+(1-EXP(-LN(2)/25))/(LN(2)/25)*Calculateur!CG69*Calculateur!CI69*VLOOKUP('Données projet'!$B$12,Paramètres!$A$1:$I$89,3,0)*0.475*44/12</f>
        <v>21.296428446539689</v>
      </c>
      <c r="CM69" s="21">
        <f>EXP(-LN(2)/2)*CM68+(1-EXP(-LN(2)/2))/(LN(2)/2)*CG69*CJ69*VLOOKUP('Données projet'!$B$12,Paramètres!$A$1:$I$89,3,0)*0.475*44/12</f>
        <v>3.244336573558293E-6</v>
      </c>
      <c r="CN69" s="22">
        <f t="shared" si="66"/>
        <v>130.9563833714117</v>
      </c>
      <c r="CO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6.2</v>
      </c>
      <c r="CT69" s="12">
        <f>IF('Données projet'!$A$140&gt;35,CT68+CS69-DB68,IF(A69&lt;'Données projet'!$A$140,$CQ$205^A69,IF(A69='Données projet'!$A$140,'Données projet'!$B$140,CT68+CS69-DB68)))</f>
        <v>238.19999999999993</v>
      </c>
      <c r="CU69" s="17">
        <f>CT69*VLOOKUP('Données projet'!$B$13,Paramètres!$A$1:$I$89,3,0)*VLOOKUP('Données projet'!$B$13,Paramètres!$A$1:$I$89,5,0)</f>
        <v>226.67111999999995</v>
      </c>
      <c r="CV69" s="13">
        <f t="shared" ref="CV69:CV132" si="95">EXP(-1.0587+0.8836*LN(CU69)+0.284)</f>
        <v>55.562290245986702</v>
      </c>
      <c r="CW69" s="20">
        <f t="shared" si="67"/>
        <v>491.55652284509341</v>
      </c>
      <c r="CX69" s="57">
        <f t="shared" si="68"/>
        <v>784.88985617842673</v>
      </c>
      <c r="CY69" s="57">
        <f ca="1">AVERAGE(OFFSET($CX$3,0,0,'Données projet'!$E$13+1,1))-AVERAGE(OFFSET($H$3,0,0,'Données projet'!$E$13+1,1))</f>
        <v>314.67680626853303</v>
      </c>
      <c r="CZ69" s="57">
        <f t="shared" ref="CZ69:CZ132" si="96">$CZ$3</f>
        <v>372.57247561536263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69.469900598123274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69.469900598123274</v>
      </c>
      <c r="DJ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297.59999999999985</v>
      </c>
      <c r="DP69" s="17">
        <f>DO69*VLOOKUP('Données projet'!$B$14,Paramètres!$A$1:$I$89,3,0)*VLOOKUP('Données projet'!$B$14,Paramètres!$A$1:$I$89,5,0)</f>
        <v>194.9875199999999</v>
      </c>
      <c r="DQ69" s="13">
        <f t="shared" ref="DQ69:DQ132" si="97">EXP(-1.0587+0.8836*LN(DP69)+0.284)</f>
        <v>48.640954330020342</v>
      </c>
      <c r="DR69" s="20">
        <f t="shared" si="70"/>
        <v>424.3195927914519</v>
      </c>
      <c r="DS69" s="57">
        <f t="shared" si="71"/>
        <v>717.65292612478515</v>
      </c>
      <c r="DT69" s="57">
        <f ca="1">AVERAGE(OFFSET($DS$3,0,0,'Données projet'!$E$14+1,1))-AVERAGE(OFFSET($H$3,0,0,'Données projet'!$E$14+1,1))</f>
        <v>188.80259324758066</v>
      </c>
      <c r="DU69" s="57">
        <f t="shared" ref="DU69:DU132" si="98">$DU$3</f>
        <v>195.48048518255354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33.50458801207629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33.50458801207629</v>
      </c>
      <c r="EE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4.5999999999999996</v>
      </c>
      <c r="EJ69" s="12">
        <f>IF('Données projet'!$A$192&gt;35,EJ68+EI69-ER68,IF(A69&lt;'Données projet'!$A$192,$EG$205^A69,IF(A69='Données projet'!$A$192,'Données projet'!$B$192,EJ68+EI69-ER68)))</f>
        <v>297.59999999999985</v>
      </c>
      <c r="EK69" s="17">
        <f>EJ69*VLOOKUP('Données projet'!$B$15,Paramètres!$A$1:$I$89,3,0)*VLOOKUP('Données projet'!$B$15,Paramètres!$A$1:$I$89,5,0)</f>
        <v>241.41311999999988</v>
      </c>
      <c r="EL69" s="13">
        <f t="shared" ref="EL69:EL132" si="99">EXP(-1.0587+0.8836*LN(EK69)+0.284)</f>
        <v>58.743466172863258</v>
      </c>
      <c r="EM69" s="20">
        <f t="shared" si="73"/>
        <v>522.77272091773659</v>
      </c>
      <c r="EN69" s="57">
        <f t="shared" si="74"/>
        <v>816.10605425106996</v>
      </c>
      <c r="EO69" s="57">
        <f ca="1">AVERAGE(OFFSET($EN$3,0,0,'Données projet'!$E$15+1,1))-AVERAGE(OFFSET($H$3,0,0,'Données projet'!$E$15+1,1))</f>
        <v>250.90550982248311</v>
      </c>
      <c r="EP69" s="57">
        <f t="shared" ref="EP69:EP132" si="100">$EP$3</f>
        <v>254.68874167908001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41.481870872094454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41.481870872094454</v>
      </c>
      <c r="EZ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7" t="e">
        <f t="shared" si="77"/>
        <v>#N/A</v>
      </c>
      <c r="FJ69" s="57" t="e">
        <f ca="1">AVERAGE(OFFSET($FI$3,0,0,'Données projet'!$E$16+1,1))-AVERAGE(OFFSET($H$3,0,0,'Données projet'!$E$16+1,1))</f>
        <v>#N/A</v>
      </c>
      <c r="FK69" s="57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7" t="e">
        <f t="shared" si="80"/>
        <v>#N/A</v>
      </c>
      <c r="GE69" s="57" t="e">
        <f ca="1">AVERAGE(OFFSET($GD$3,0,0,'Données projet'!$E$17+1,1))-AVERAGE(OFFSET($H$3,0,0,'Données projet'!$E$17+1,1))</f>
        <v>#N/A</v>
      </c>
      <c r="GF69" s="57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7" t="e">
        <f t="shared" si="83"/>
        <v>#N/A</v>
      </c>
      <c r="GZ69" s="57" t="e">
        <f ca="1">AVERAGE(OFFSET($GY$3,0,0,'Données projet'!$E$18+1,1))-AVERAGE(OFFSET($H$3,0,0,'Données projet'!$E$18+1,1))</f>
        <v>#N/A</v>
      </c>
      <c r="HA69" s="57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0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4">
        <f t="shared" si="56"/>
        <v>424.52886208626171</v>
      </c>
      <c r="I70" s="6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233.68176</v>
      </c>
      <c r="P70" s="13">
        <f t="shared" si="87"/>
        <v>57.078026837098335</v>
      </c>
      <c r="Q70" s="20">
        <f t="shared" si="54"/>
        <v>506.40662874127952</v>
      </c>
      <c r="R70" s="57">
        <f t="shared" si="55"/>
        <v>799.73996207461278</v>
      </c>
      <c r="S70" s="57">
        <f ca="1">AVERAGE(OFFSET($R$3,0,0,'Données projet'!$E$9+1,1))-AVERAGE(OFFSET($H$3,0,0,'Données projet'!$E$9+1,1))</f>
        <v>267.44861001389006</v>
      </c>
      <c r="T70" s="57">
        <f t="shared" si="88"/>
        <v>165.25921510802965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57.155437238605955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57.155437238605955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8.1999999999999993</v>
      </c>
      <c r="AI70" s="13">
        <f>IF('Données projet'!$A$62&gt;35,AI69+AH70-AQ69,IF(A70&lt;'Données projet'!$A$62,$AF$205^A70,IF(A70='Données projet'!$A$62,'Données projet'!$B$62,AI69+AH70-AQ69)))</f>
        <v>277.39999999999998</v>
      </c>
      <c r="AJ70" s="13">
        <f>AI70*VLOOKUP('Données projet'!$B$10,Paramètres!$A$1:$I$89,3,0)*VLOOKUP('Données projet'!$B$10,Paramètres!$A$1:$I$89,5,0)</f>
        <v>250.99151999999995</v>
      </c>
      <c r="AK70" s="13">
        <f t="shared" si="89"/>
        <v>60.798211000769406</v>
      </c>
      <c r="AL70" s="20">
        <f t="shared" si="58"/>
        <v>543.03378149300659</v>
      </c>
      <c r="AM70" s="57">
        <f t="shared" si="59"/>
        <v>836.36711482633996</v>
      </c>
      <c r="AN70" s="57">
        <f ca="1">AVERAGE(OFFSET($AM$3,0,0,'Données projet'!$E$10+1,1))-AVERAGE(OFFSET($H$3,0,0,'Données projet'!$E$10+1,1))</f>
        <v>294.92430430387071</v>
      </c>
      <c r="AO70" s="57">
        <f t="shared" si="90"/>
        <v>181.52228471516497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61.389173330354531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61.389173330354531</v>
      </c>
      <c r="AY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245.14463999999992</v>
      </c>
      <c r="BF70" s="13">
        <f t="shared" si="91"/>
        <v>59.545054798309039</v>
      </c>
      <c r="BG70" s="20">
        <f t="shared" si="61"/>
        <v>530.66788510705476</v>
      </c>
      <c r="BH70" s="57">
        <f t="shared" si="62"/>
        <v>824.00121844038813</v>
      </c>
      <c r="BI70" s="57">
        <f ca="1">AVERAGE(OFFSET($BH$3,0,0,'Données projet'!$E$11+1,1))-AVERAGE(OFFSET($H$3,0,0,'Données projet'!$E$11+1,1))</f>
        <v>250.90550982248311</v>
      </c>
      <c r="BJ70" s="57">
        <f t="shared" si="92"/>
        <v>254.68874167908001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40.668436685735607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40.668436685735607</v>
      </c>
      <c r="BT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739.99999999999966</v>
      </c>
      <c r="BZ70" s="13">
        <f>BY70*VLOOKUP('Données projet'!$B$12,Paramètres!$A$1:$I$89,3,0)*VLOOKUP('Données projet'!$B$12,Paramètres!$A$1:$I$89,5,0)</f>
        <v>413.65999999999985</v>
      </c>
      <c r="CA70" s="13">
        <f t="shared" si="93"/>
        <v>94.540585122244352</v>
      </c>
      <c r="CB70" s="20">
        <f t="shared" si="64"/>
        <v>885.11601908790863</v>
      </c>
      <c r="CC70" s="57">
        <f t="shared" si="65"/>
        <v>1178.4493524212419</v>
      </c>
      <c r="CD70" s="57">
        <f ca="1">AVERAGE(OFFSET($CC$3,0,0,'Données projet'!$E$12+1,1))-AVERAGE(OFFSET($H$3,0,0,'Données projet'!$E$12+1,1))</f>
        <v>462.54745364638171</v>
      </c>
      <c r="CE70" s="57">
        <f t="shared" si="94"/>
        <v>571.50914830067313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107.50958691404622</v>
      </c>
      <c r="CL70" s="21">
        <f>EXP(-LN(2)/25)*CL69+(1-EXP(-LN(2)/25))/(LN(2)/25)*Calculateur!CG70*Calculateur!CI70*VLOOKUP('Données projet'!$B$12,Paramètres!$A$1:$I$89,3,0)*0.475*44/12</f>
        <v>20.714076490738563</v>
      </c>
      <c r="CM70" s="21">
        <f>EXP(-LN(2)/2)*CM69+(1-EXP(-LN(2)/2))/(LN(2)/2)*CG70*CJ70*VLOOKUP('Données projet'!$B$12,Paramètres!$A$1:$I$89,3,0)*0.475*44/12</f>
        <v>2.2940923916145972E-6</v>
      </c>
      <c r="CN70" s="22">
        <f t="shared" si="66"/>
        <v>128.22366569887717</v>
      </c>
      <c r="CO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6.2</v>
      </c>
      <c r="CT70" s="12">
        <f>IF('Données projet'!$A$140&gt;35,CT69+CS70-DB69,IF(A70&lt;'Données projet'!$A$140,$CQ$205^A70,IF(A70='Données projet'!$A$140,'Données projet'!$B$140,CT69+CS70-DB69)))</f>
        <v>244.39999999999992</v>
      </c>
      <c r="CU70" s="17">
        <f>CT70*VLOOKUP('Données projet'!$B$13,Paramètres!$A$1:$I$89,3,0)*VLOOKUP('Données projet'!$B$13,Paramètres!$A$1:$I$89,5,0)</f>
        <v>232.57103999999993</v>
      </c>
      <c r="CV70" s="13">
        <f t="shared" si="95"/>
        <v>56.838240313256655</v>
      </c>
      <c r="CW70" s="20">
        <f t="shared" si="67"/>
        <v>504.05449654558856</v>
      </c>
      <c r="CX70" s="57">
        <f t="shared" si="68"/>
        <v>797.38782987892182</v>
      </c>
      <c r="CY70" s="57">
        <f ca="1">AVERAGE(OFFSET($CX$3,0,0,'Données projet'!$E$13+1,1))-AVERAGE(OFFSET($H$3,0,0,'Données projet'!$E$13+1,1))</f>
        <v>314.67680626853303</v>
      </c>
      <c r="CZ70" s="57">
        <f t="shared" si="96"/>
        <v>372.57247561536263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68.107638219849505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68.107638219849505</v>
      </c>
      <c r="DJ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302.19999999999987</v>
      </c>
      <c r="DP70" s="17">
        <f>DO70*VLOOKUP('Données projet'!$B$14,Paramètres!$A$1:$I$89,3,0)*VLOOKUP('Données projet'!$B$14,Paramètres!$A$1:$I$89,5,0)</f>
        <v>198.00143999999992</v>
      </c>
      <c r="DQ70" s="13">
        <f t="shared" si="97"/>
        <v>49.304688329083952</v>
      </c>
      <c r="DR70" s="20">
        <f t="shared" si="70"/>
        <v>430.72484017315429</v>
      </c>
      <c r="DS70" s="57">
        <f t="shared" si="71"/>
        <v>724.05817350648761</v>
      </c>
      <c r="DT70" s="57">
        <f ca="1">AVERAGE(OFFSET($DS$3,0,0,'Données projet'!$E$14+1,1))-AVERAGE(OFFSET($H$3,0,0,'Données projet'!$E$14+1,1))</f>
        <v>188.80259324758066</v>
      </c>
      <c r="DU70" s="57">
        <f t="shared" si="98"/>
        <v>195.48048518255354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32.847583476940294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32.847583476940294</v>
      </c>
      <c r="EE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4.5999999999999996</v>
      </c>
      <c r="EJ70" s="12">
        <f>IF('Données projet'!$A$192&gt;35,EJ69+EI70-ER69,IF(A70&lt;'Données projet'!$A$192,$EG$205^A70,IF(A70='Données projet'!$A$192,'Données projet'!$B$192,EJ69+EI70-ER69)))</f>
        <v>302.19999999999987</v>
      </c>
      <c r="EK70" s="17">
        <f>EJ70*VLOOKUP('Données projet'!$B$15,Paramètres!$A$1:$I$89,3,0)*VLOOKUP('Données projet'!$B$15,Paramètres!$A$1:$I$89,5,0)</f>
        <v>245.14463999999992</v>
      </c>
      <c r="EL70" s="13">
        <f t="shared" si="99"/>
        <v>59.545054798309039</v>
      </c>
      <c r="EM70" s="20">
        <f t="shared" si="73"/>
        <v>530.66788510705476</v>
      </c>
      <c r="EN70" s="57">
        <f t="shared" si="74"/>
        <v>824.00121844038813</v>
      </c>
      <c r="EO70" s="57">
        <f ca="1">AVERAGE(OFFSET($EN$3,0,0,'Données projet'!$E$15+1,1))-AVERAGE(OFFSET($H$3,0,0,'Données projet'!$E$15+1,1))</f>
        <v>250.90550982248311</v>
      </c>
      <c r="EP70" s="57">
        <f t="shared" si="100"/>
        <v>254.68874167908001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40.668436685735607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40.668436685735607</v>
      </c>
      <c r="EZ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7" t="e">
        <f t="shared" si="77"/>
        <v>#N/A</v>
      </c>
      <c r="FJ70" s="57" t="e">
        <f ca="1">AVERAGE(OFFSET($FI$3,0,0,'Données projet'!$E$16+1,1))-AVERAGE(OFFSET($H$3,0,0,'Données projet'!$E$16+1,1))</f>
        <v>#N/A</v>
      </c>
      <c r="FK70" s="57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7" t="e">
        <f t="shared" si="80"/>
        <v>#N/A</v>
      </c>
      <c r="GE70" s="57" t="e">
        <f ca="1">AVERAGE(OFFSET($GD$3,0,0,'Données projet'!$E$17+1,1))-AVERAGE(OFFSET($H$3,0,0,'Données projet'!$E$17+1,1))</f>
        <v>#N/A</v>
      </c>
      <c r="GF70" s="57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7" t="e">
        <f t="shared" si="83"/>
        <v>#N/A</v>
      </c>
      <c r="GZ70" s="57" t="e">
        <f ca="1">AVERAGE(OFFSET($GY$3,0,0,'Données projet'!$E$18+1,1))-AVERAGE(OFFSET($H$3,0,0,'Données projet'!$E$18+1,1))</f>
        <v>#N/A</v>
      </c>
      <c r="HA70" s="57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0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4">
        <f t="shared" si="56"/>
        <v>426.43584819959909</v>
      </c>
      <c r="I71" s="6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240.58944</v>
      </c>
      <c r="P71" s="13">
        <f t="shared" si="87"/>
        <v>58.56633325847811</v>
      </c>
      <c r="Q71" s="20">
        <f t="shared" si="54"/>
        <v>521.02963842518272</v>
      </c>
      <c r="R71" s="57">
        <f t="shared" si="55"/>
        <v>814.3629717585161</v>
      </c>
      <c r="S71" s="57">
        <f ca="1">AVERAGE(OFFSET($R$3,0,0,'Données projet'!$E$9+1,1))-AVERAGE(OFFSET($H$3,0,0,'Données projet'!$E$9+1,1))</f>
        <v>267.44861001389006</v>
      </c>
      <c r="T71" s="57">
        <f t="shared" si="88"/>
        <v>165.25921510802965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56.034653975731331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56.034653975731331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8.1999999999999993</v>
      </c>
      <c r="AI71" s="13">
        <f>IF('Données projet'!$A$62&gt;35,AI70+AH71-AQ70,IF(A71&lt;'Données projet'!$A$62,$AF$205^A71,IF(A71='Données projet'!$A$62,'Données projet'!$B$62,AI70+AH71-AQ70)))</f>
        <v>285.59999999999997</v>
      </c>
      <c r="AJ71" s="13">
        <f>AI71*VLOOKUP('Données projet'!$B$10,Paramètres!$A$1:$I$89,3,0)*VLOOKUP('Données projet'!$B$10,Paramètres!$A$1:$I$89,5,0)</f>
        <v>258.41087999999996</v>
      </c>
      <c r="AK71" s="13">
        <f t="shared" si="89"/>
        <v>62.383521020316756</v>
      </c>
      <c r="AL71" s="20">
        <f t="shared" si="58"/>
        <v>558.71691511038489</v>
      </c>
      <c r="AM71" s="57">
        <f t="shared" si="59"/>
        <v>852.05024844371815</v>
      </c>
      <c r="AN71" s="57">
        <f ca="1">AVERAGE(OFFSET($AM$3,0,0,'Données projet'!$E$10+1,1))-AVERAGE(OFFSET($H$3,0,0,'Données projet'!$E$10+1,1))</f>
        <v>294.92430430387071</v>
      </c>
      <c r="AO71" s="57">
        <f t="shared" si="90"/>
        <v>181.52228471516497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60.185369085044755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60.185369085044755</v>
      </c>
      <c r="AY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248.87615999999991</v>
      </c>
      <c r="BF71" s="13">
        <f t="shared" si="91"/>
        <v>60.345224363146883</v>
      </c>
      <c r="BG71" s="20">
        <f t="shared" si="61"/>
        <v>538.56057776581395</v>
      </c>
      <c r="BH71" s="57">
        <f t="shared" si="62"/>
        <v>831.89391109914732</v>
      </c>
      <c r="BI71" s="57">
        <f ca="1">AVERAGE(OFFSET($BH$3,0,0,'Données projet'!$E$11+1,1))-AVERAGE(OFFSET($H$3,0,0,'Données projet'!$E$11+1,1))</f>
        <v>250.90550982248311</v>
      </c>
      <c r="BJ71" s="57">
        <f t="shared" si="92"/>
        <v>254.68874167908001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39.870953447625389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39.870953447625389</v>
      </c>
      <c r="BT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739.99999999999966</v>
      </c>
      <c r="BZ71" s="13">
        <f>BY71*VLOOKUP('Données projet'!$B$12,Paramètres!$A$1:$I$89,3,0)*VLOOKUP('Données projet'!$B$12,Paramètres!$A$1:$I$89,5,0)</f>
        <v>413.65999999999985</v>
      </c>
      <c r="CA71" s="13">
        <f t="shared" si="93"/>
        <v>94.540585122244352</v>
      </c>
      <c r="CB71" s="20">
        <f t="shared" si="64"/>
        <v>885.11601908790863</v>
      </c>
      <c r="CC71" s="57">
        <f t="shared" si="65"/>
        <v>1178.4493524212419</v>
      </c>
      <c r="CD71" s="57">
        <f ca="1">AVERAGE(OFFSET($CC$3,0,0,'Données projet'!$E$12+1,1))-AVERAGE(OFFSET($H$3,0,0,'Données projet'!$E$12+1,1))</f>
        <v>462.54745364638171</v>
      </c>
      <c r="CE71" s="57">
        <f t="shared" si="94"/>
        <v>571.50914830067313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105.40138948903487</v>
      </c>
      <c r="CL71" s="21">
        <f>EXP(-LN(2)/25)*CL70+(1-EXP(-LN(2)/25))/(LN(2)/25)*Calculateur!CG71*Calculateur!CI71*VLOOKUP('Données projet'!$B$12,Paramètres!$A$1:$I$89,3,0)*0.475*44/12</f>
        <v>20.147648979793377</v>
      </c>
      <c r="CM71" s="21">
        <f>EXP(-LN(2)/2)*CM70+(1-EXP(-LN(2)/2))/(LN(2)/2)*CG71*CJ71*VLOOKUP('Données projet'!$B$12,Paramètres!$A$1:$I$89,3,0)*0.475*44/12</f>
        <v>1.6221682867791465E-6</v>
      </c>
      <c r="CN71" s="22">
        <f t="shared" si="66"/>
        <v>125.54904009099653</v>
      </c>
      <c r="CO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6.2</v>
      </c>
      <c r="CT71" s="12">
        <f>IF('Données projet'!$A$140&gt;35,CT70+CS71-DB70,IF(A71&lt;'Données projet'!$A$140,$CQ$205^A71,IF(A71='Données projet'!$A$140,'Données projet'!$B$140,CT70+CS71-DB70)))</f>
        <v>250.59999999999991</v>
      </c>
      <c r="CU71" s="17">
        <f>CT71*VLOOKUP('Données projet'!$B$13,Paramètres!$A$1:$I$89,3,0)*VLOOKUP('Données projet'!$B$13,Paramètres!$A$1:$I$89,5,0)</f>
        <v>238.47095999999991</v>
      </c>
      <c r="CV71" s="13">
        <f t="shared" si="95"/>
        <v>58.110427804108816</v>
      </c>
      <c r="CW71" s="20">
        <f t="shared" si="67"/>
        <v>516.54591709215595</v>
      </c>
      <c r="CX71" s="57">
        <f t="shared" si="68"/>
        <v>809.87925042548932</v>
      </c>
      <c r="CY71" s="57">
        <f ca="1">AVERAGE(OFFSET($CX$3,0,0,'Données projet'!$E$13+1,1))-AVERAGE(OFFSET($H$3,0,0,'Données projet'!$E$13+1,1))</f>
        <v>314.67680626853303</v>
      </c>
      <c r="CZ71" s="57">
        <f t="shared" si="96"/>
        <v>372.57247561536263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66.772088975915679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66.772088975915679</v>
      </c>
      <c r="DJ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306.7999999999999</v>
      </c>
      <c r="DP71" s="17">
        <f>DO71*VLOOKUP('Données projet'!$B$14,Paramètres!$A$1:$I$89,3,0)*VLOOKUP('Données projet'!$B$14,Paramètres!$A$1:$I$89,5,0)</f>
        <v>201.01535999999996</v>
      </c>
      <c r="DQ71" s="13">
        <f t="shared" si="97"/>
        <v>49.96724731300592</v>
      </c>
      <c r="DR71" s="20">
        <f t="shared" si="70"/>
        <v>437.12804107015182</v>
      </c>
      <c r="DS71" s="57">
        <f t="shared" si="71"/>
        <v>730.46137440348514</v>
      </c>
      <c r="DT71" s="57">
        <f ca="1">AVERAGE(OFFSET($DS$3,0,0,'Données projet'!$E$14+1,1))-AVERAGE(OFFSET($H$3,0,0,'Données projet'!$E$14+1,1))</f>
        <v>188.80259324758066</v>
      </c>
      <c r="DU71" s="57">
        <f t="shared" si="98"/>
        <v>195.48048518255354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32.203462400005115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32.203462400005115</v>
      </c>
      <c r="EE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4.5999999999999996</v>
      </c>
      <c r="EJ71" s="12">
        <f>IF('Données projet'!$A$192&gt;35,EJ70+EI71-ER70,IF(A71&lt;'Données projet'!$A$192,$EG$205^A71,IF(A71='Données projet'!$A$192,'Données projet'!$B$192,EJ70+EI71-ER70)))</f>
        <v>306.7999999999999</v>
      </c>
      <c r="EK71" s="17">
        <f>EJ71*VLOOKUP('Données projet'!$B$15,Paramètres!$A$1:$I$89,3,0)*VLOOKUP('Données projet'!$B$15,Paramètres!$A$1:$I$89,5,0)</f>
        <v>248.87615999999991</v>
      </c>
      <c r="EL71" s="13">
        <f t="shared" si="99"/>
        <v>60.345224363146883</v>
      </c>
      <c r="EM71" s="20">
        <f t="shared" si="73"/>
        <v>538.56057776581395</v>
      </c>
      <c r="EN71" s="57">
        <f t="shared" si="74"/>
        <v>831.89391109914732</v>
      </c>
      <c r="EO71" s="57">
        <f ca="1">AVERAGE(OFFSET($EN$3,0,0,'Données projet'!$E$15+1,1))-AVERAGE(OFFSET($H$3,0,0,'Données projet'!$E$15+1,1))</f>
        <v>250.90550982248311</v>
      </c>
      <c r="EP71" s="57">
        <f t="shared" si="100"/>
        <v>254.68874167908001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39.870953447625389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39.870953447625389</v>
      </c>
      <c r="EZ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7" t="e">
        <f t="shared" si="77"/>
        <v>#N/A</v>
      </c>
      <c r="FJ71" s="57" t="e">
        <f ca="1">AVERAGE(OFFSET($FI$3,0,0,'Données projet'!$E$16+1,1))-AVERAGE(OFFSET($H$3,0,0,'Données projet'!$E$16+1,1))</f>
        <v>#N/A</v>
      </c>
      <c r="FK71" s="57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7" t="e">
        <f t="shared" si="80"/>
        <v>#N/A</v>
      </c>
      <c r="GE71" s="57" t="e">
        <f ca="1">AVERAGE(OFFSET($GD$3,0,0,'Données projet'!$E$17+1,1))-AVERAGE(OFFSET($H$3,0,0,'Données projet'!$E$17+1,1))</f>
        <v>#N/A</v>
      </c>
      <c r="GF71" s="57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7" t="e">
        <f t="shared" si="83"/>
        <v>#N/A</v>
      </c>
      <c r="GZ71" s="57" t="e">
        <f ca="1">AVERAGE(OFFSET($GY$3,0,0,'Données projet'!$E$18+1,1))-AVERAGE(OFFSET($H$3,0,0,'Données projet'!$E$18+1,1))</f>
        <v>#N/A</v>
      </c>
      <c r="HA71" s="57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0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4">
        <f t="shared" si="56"/>
        <v>428.34217502493465</v>
      </c>
      <c r="I72" s="6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247.49712</v>
      </c>
      <c r="P72" s="13">
        <f t="shared" si="87"/>
        <v>60.049673316050104</v>
      </c>
      <c r="Q72" s="20">
        <f t="shared" si="54"/>
        <v>535.64399835878714</v>
      </c>
      <c r="R72" s="57">
        <f t="shared" si="55"/>
        <v>828.97733169212052</v>
      </c>
      <c r="S72" s="57">
        <f ca="1">AVERAGE(OFFSET($R$3,0,0,'Données projet'!$E$9+1,1))-AVERAGE(OFFSET($H$3,0,0,'Données projet'!$E$9+1,1))</f>
        <v>267.44861001389006</v>
      </c>
      <c r="T72" s="57">
        <f t="shared" si="88"/>
        <v>165.25921510802965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54.935848589031387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54.935848589031387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8.1999999999999993</v>
      </c>
      <c r="AI72" s="13">
        <f>IF('Données projet'!$A$62&gt;35,AI71+AH72-AQ71,IF(A72&lt;'Données projet'!$A$62,$AF$205^A72,IF(A72='Données projet'!$A$62,'Données projet'!$B$62,AI71+AH72-AQ71)))</f>
        <v>293.79999999999995</v>
      </c>
      <c r="AJ72" s="13">
        <f>AI72*VLOOKUP('Données projet'!$B$10,Paramètres!$A$1:$I$89,3,0)*VLOOKUP('Données projet'!$B$10,Paramètres!$A$1:$I$89,5,0)</f>
        <v>265.83023999999995</v>
      </c>
      <c r="AK72" s="13">
        <f t="shared" si="89"/>
        <v>63.963540982526439</v>
      </c>
      <c r="AL72" s="20">
        <f t="shared" si="58"/>
        <v>574.39083521123348</v>
      </c>
      <c r="AM72" s="57">
        <f t="shared" si="59"/>
        <v>867.72416854456674</v>
      </c>
      <c r="AN72" s="57">
        <f ca="1">AVERAGE(OFFSET($AM$3,0,0,'Données projet'!$E$10+1,1))-AVERAGE(OFFSET($H$3,0,0,'Données projet'!$E$10+1,1))</f>
        <v>294.92430430387071</v>
      </c>
      <c r="AO72" s="57">
        <f t="shared" si="90"/>
        <v>181.52228471516497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59.00517070673741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59.00517070673741</v>
      </c>
      <c r="AY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252.60767999999996</v>
      </c>
      <c r="BF72" s="13">
        <f t="shared" si="91"/>
        <v>61.143998601713257</v>
      </c>
      <c r="BG72" s="20">
        <f t="shared" si="61"/>
        <v>546.4508402313171</v>
      </c>
      <c r="BH72" s="57">
        <f t="shared" si="62"/>
        <v>839.78417356465047</v>
      </c>
      <c r="BI72" s="57">
        <f ca="1">AVERAGE(OFFSET($BH$3,0,0,'Données projet'!$E$11+1,1))-AVERAGE(OFFSET($H$3,0,0,'Données projet'!$E$11+1,1))</f>
        <v>250.90550982248311</v>
      </c>
      <c r="BJ72" s="57">
        <f t="shared" si="92"/>
        <v>254.68874167908001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39.089108369397771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39.089108369397771</v>
      </c>
      <c r="BT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739.99999999999966</v>
      </c>
      <c r="BZ72" s="13">
        <f>BY72*VLOOKUP('Données projet'!$B$12,Paramètres!$A$1:$I$89,3,0)*VLOOKUP('Données projet'!$B$12,Paramètres!$A$1:$I$89,5,0)</f>
        <v>413.65999999999985</v>
      </c>
      <c r="CA72" s="13">
        <f t="shared" si="93"/>
        <v>94.540585122244352</v>
      </c>
      <c r="CB72" s="20">
        <f t="shared" si="64"/>
        <v>885.11601908790863</v>
      </c>
      <c r="CC72" s="57">
        <f t="shared" si="65"/>
        <v>1178.4493524212419</v>
      </c>
      <c r="CD72" s="57">
        <f ca="1">AVERAGE(OFFSET($CC$3,0,0,'Données projet'!$E$12+1,1))-AVERAGE(OFFSET($H$3,0,0,'Données projet'!$E$12+1,1))</f>
        <v>462.54745364638171</v>
      </c>
      <c r="CE72" s="57">
        <f t="shared" si="94"/>
        <v>571.50914830067313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103.33453252965452</v>
      </c>
      <c r="CL72" s="21">
        <f>EXP(-LN(2)/25)*CL71+(1-EXP(-LN(2)/25))/(LN(2)/25)*Calculateur!CG72*Calculateur!CI72*VLOOKUP('Données projet'!$B$12,Paramètres!$A$1:$I$89,3,0)*0.475*44/12</f>
        <v>19.596710458922114</v>
      </c>
      <c r="CM72" s="21">
        <f>EXP(-LN(2)/2)*CM71+(1-EXP(-LN(2)/2))/(LN(2)/2)*CG72*CJ72*VLOOKUP('Données projet'!$B$12,Paramètres!$A$1:$I$89,3,0)*0.475*44/12</f>
        <v>1.1470461958072986E-6</v>
      </c>
      <c r="CN72" s="22">
        <f t="shared" si="66"/>
        <v>122.93124413562283</v>
      </c>
      <c r="CO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6.2</v>
      </c>
      <c r="CT72" s="12">
        <f>IF('Données projet'!$A$140&gt;35,CT71+CS72-DB71,IF(A72&lt;'Données projet'!$A$140,$CQ$205^A72,IF(A72='Données projet'!$A$140,'Données projet'!$B$140,CT71+CS72-DB71)))</f>
        <v>256.7999999999999</v>
      </c>
      <c r="CU72" s="17">
        <f>CT72*VLOOKUP('Données projet'!$B$13,Paramètres!$A$1:$I$89,3,0)*VLOOKUP('Données projet'!$B$13,Paramètres!$A$1:$I$89,5,0)</f>
        <v>244.37087999999991</v>
      </c>
      <c r="CV72" s="13">
        <f t="shared" si="95"/>
        <v>59.378956514447275</v>
      </c>
      <c r="CW72" s="20">
        <f t="shared" si="67"/>
        <v>529.03096526266211</v>
      </c>
      <c r="CX72" s="57">
        <f t="shared" si="68"/>
        <v>822.36429859599548</v>
      </c>
      <c r="CY72" s="57">
        <f ca="1">AVERAGE(OFFSET($CX$3,0,0,'Données projet'!$E$13+1,1))-AVERAGE(OFFSET($H$3,0,0,'Données projet'!$E$13+1,1))</f>
        <v>314.67680626853303</v>
      </c>
      <c r="CZ72" s="57">
        <f t="shared" si="96"/>
        <v>372.57247561536263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65.462729038050796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65.462729038050796</v>
      </c>
      <c r="DJ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311.39999999999992</v>
      </c>
      <c r="DP72" s="17">
        <f>DO72*VLOOKUP('Données projet'!$B$14,Paramètres!$A$1:$I$89,3,0)*VLOOKUP('Données projet'!$B$14,Paramètres!$A$1:$I$89,5,0)</f>
        <v>204.02927999999994</v>
      </c>
      <c r="DQ72" s="13">
        <f t="shared" si="97"/>
        <v>50.628650934368238</v>
      </c>
      <c r="DR72" s="20">
        <f t="shared" si="70"/>
        <v>443.5292297106912</v>
      </c>
      <c r="DS72" s="57">
        <f t="shared" si="71"/>
        <v>736.86256304402445</v>
      </c>
      <c r="DT72" s="57">
        <f ca="1">AVERAGE(OFFSET($DS$3,0,0,'Données projet'!$E$14+1,1))-AVERAGE(OFFSET($H$3,0,0,'Données projet'!$E$14+1,1))</f>
        <v>188.80259324758066</v>
      </c>
      <c r="DU72" s="57">
        <f t="shared" si="98"/>
        <v>195.48048518255354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31.571972144513577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31.571972144513577</v>
      </c>
      <c r="EE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4.5999999999999996</v>
      </c>
      <c r="EJ72" s="12">
        <f>IF('Données projet'!$A$192&gt;35,EJ71+EI72-ER71,IF(A72&lt;'Données projet'!$A$192,$EG$205^A72,IF(A72='Données projet'!$A$192,'Données projet'!$B$192,EJ71+EI72-ER71)))</f>
        <v>311.39999999999992</v>
      </c>
      <c r="EK72" s="17">
        <f>EJ72*VLOOKUP('Données projet'!$B$15,Paramètres!$A$1:$I$89,3,0)*VLOOKUP('Données projet'!$B$15,Paramètres!$A$1:$I$89,5,0)</f>
        <v>252.60767999999996</v>
      </c>
      <c r="EL72" s="13">
        <f t="shared" si="99"/>
        <v>61.143998601713257</v>
      </c>
      <c r="EM72" s="20">
        <f t="shared" si="73"/>
        <v>546.4508402313171</v>
      </c>
      <c r="EN72" s="57">
        <f t="shared" si="74"/>
        <v>839.78417356465047</v>
      </c>
      <c r="EO72" s="57">
        <f ca="1">AVERAGE(OFFSET($EN$3,0,0,'Données projet'!$E$15+1,1))-AVERAGE(OFFSET($H$3,0,0,'Données projet'!$E$15+1,1))</f>
        <v>250.90550982248311</v>
      </c>
      <c r="EP72" s="57">
        <f t="shared" si="100"/>
        <v>254.68874167908001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39.089108369397771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39.089108369397771</v>
      </c>
      <c r="EZ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7" t="e">
        <f t="shared" si="77"/>
        <v>#N/A</v>
      </c>
      <c r="FJ72" s="57" t="e">
        <f ca="1">AVERAGE(OFFSET($FI$3,0,0,'Données projet'!$E$16+1,1))-AVERAGE(OFFSET($H$3,0,0,'Données projet'!$E$16+1,1))</f>
        <v>#N/A</v>
      </c>
      <c r="FK72" s="57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7" t="e">
        <f t="shared" si="80"/>
        <v>#N/A</v>
      </c>
      <c r="GE72" s="57" t="e">
        <f ca="1">AVERAGE(OFFSET($GD$3,0,0,'Données projet'!$E$17+1,1))-AVERAGE(OFFSET($H$3,0,0,'Données projet'!$E$17+1,1))</f>
        <v>#N/A</v>
      </c>
      <c r="GF72" s="57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7" t="e">
        <f t="shared" si="83"/>
        <v>#N/A</v>
      </c>
      <c r="GZ72" s="57" t="e">
        <f ca="1">AVERAGE(OFFSET($GY$3,0,0,'Données projet'!$E$18+1,1))-AVERAGE(OFFSET($H$3,0,0,'Données projet'!$E$18+1,1))</f>
        <v>#N/A</v>
      </c>
      <c r="HA72" s="57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0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4">
        <f t="shared" si="56"/>
        <v>430.24785322111597</v>
      </c>
      <c r="I73" s="6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254.40479999999999</v>
      </c>
      <c r="P73" s="13">
        <f t="shared" si="87"/>
        <v>61.52820154571765</v>
      </c>
      <c r="Q73" s="20">
        <f t="shared" si="54"/>
        <v>550.24997769212484</v>
      </c>
      <c r="R73" s="57">
        <f t="shared" si="55"/>
        <v>843.58331102545822</v>
      </c>
      <c r="S73" s="57">
        <f ca="1">AVERAGE(OFFSET($R$3,0,0,'Données projet'!$E$9+1,1))-AVERAGE(OFFSET($H$3,0,0,'Données projet'!$E$9+1,1))</f>
        <v>267.44861001389006</v>
      </c>
      <c r="T73" s="57">
        <f t="shared" si="88"/>
        <v>165.25921510802965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65.070819008290954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65.070819008290954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302</v>
      </c>
      <c r="AG73" s="12">
        <f>VLOOKUP(A73,'Données projet'!$A$61:$I$81,9,0)</f>
        <v>8.1999999999999993</v>
      </c>
      <c r="AH73" s="12">
        <f t="array" ref="AH73">INDEX(AG:AG,MIN(IF(ISNUMBER(AG73:AG269),ROW(AG73:AG269),"")))</f>
        <v>8.1999999999999993</v>
      </c>
      <c r="AI73" s="13">
        <f>IF('Données projet'!$A$62&gt;35,AI72+AH73-AQ72,IF(A73&lt;'Données projet'!$A$62,$AF$205^A73,IF(A73='Données projet'!$A$62,'Données projet'!$B$62,AI72+AH73-AQ72)))</f>
        <v>301.99999999999994</v>
      </c>
      <c r="AJ73" s="13">
        <f>AI73*VLOOKUP('Données projet'!$B$10,Paramètres!$A$1:$I$89,3,0)*VLOOKUP('Données projet'!$B$10,Paramètres!$A$1:$I$89,5,0)</f>
        <v>273.24959999999999</v>
      </c>
      <c r="AK73" s="13">
        <f t="shared" si="89"/>
        <v>65.538435495514321</v>
      </c>
      <c r="AL73" s="20">
        <f t="shared" si="58"/>
        <v>590.05582848802067</v>
      </c>
      <c r="AM73" s="57">
        <f t="shared" si="59"/>
        <v>883.38916182135404</v>
      </c>
      <c r="AN73" s="57">
        <f ca="1">AVERAGE(OFFSET($AM$3,0,0,'Données projet'!$E$10+1,1))-AVERAGE(OFFSET($H$3,0,0,'Données projet'!$E$10+1,1))</f>
        <v>294.92430430387071</v>
      </c>
      <c r="AO73" s="57">
        <f t="shared" si="90"/>
        <v>181.52228471516497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69.890879675571753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69.890879675571753</v>
      </c>
      <c r="AY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256.33919999999995</v>
      </c>
      <c r="BF73" s="13">
        <f t="shared" si="91"/>
        <v>61.941400506884484</v>
      </c>
      <c r="BG73" s="20">
        <f t="shared" si="61"/>
        <v>554.33871254949031</v>
      </c>
      <c r="BH73" s="57">
        <f t="shared" si="62"/>
        <v>847.67204588282357</v>
      </c>
      <c r="BI73" s="57">
        <f ca="1">AVERAGE(OFFSET($BH$3,0,0,'Données projet'!$E$11+1,1))-AVERAGE(OFFSET($H$3,0,0,'Données projet'!$E$11+1,1))</f>
        <v>250.90550982248311</v>
      </c>
      <c r="BJ73" s="57">
        <f t="shared" si="92"/>
        <v>254.68874167908001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43.335469623068931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43.335469623068931</v>
      </c>
      <c r="BT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739.99999999999966</v>
      </c>
      <c r="BZ73" s="13">
        <f>BY73*VLOOKUP('Données projet'!$B$12,Paramètres!$A$1:$I$89,3,0)*VLOOKUP('Données projet'!$B$12,Paramètres!$A$1:$I$89,5,0)</f>
        <v>413.65999999999985</v>
      </c>
      <c r="CA73" s="13">
        <f t="shared" si="93"/>
        <v>94.540585122244352</v>
      </c>
      <c r="CB73" s="20">
        <f t="shared" si="64"/>
        <v>885.11601908790863</v>
      </c>
      <c r="CC73" s="57">
        <f t="shared" si="65"/>
        <v>1178.4493524212419</v>
      </c>
      <c r="CD73" s="57">
        <f ca="1">AVERAGE(OFFSET($CC$3,0,0,'Données projet'!$E$12+1,1))-AVERAGE(OFFSET($H$3,0,0,'Données projet'!$E$12+1,1))</f>
        <v>462.54745364638171</v>
      </c>
      <c r="CE73" s="57">
        <f t="shared" si="94"/>
        <v>571.50914830067313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101.30820537458936</v>
      </c>
      <c r="CL73" s="21">
        <f>EXP(-LN(2)/25)*CL72+(1-EXP(-LN(2)/25))/(LN(2)/25)*Calculateur!CG73*Calculateur!CI73*VLOOKUP('Données projet'!$B$12,Paramètres!$A$1:$I$89,3,0)*0.475*44/12</f>
        <v>19.060837380876674</v>
      </c>
      <c r="CM73" s="21">
        <f>EXP(-LN(2)/2)*CM72+(1-EXP(-LN(2)/2))/(LN(2)/2)*CG73*CJ73*VLOOKUP('Données projet'!$B$12,Paramètres!$A$1:$I$89,3,0)*0.475*44/12</f>
        <v>8.1108414338957324E-7</v>
      </c>
      <c r="CN73" s="22">
        <f t="shared" si="66"/>
        <v>120.36904356655019</v>
      </c>
      <c r="CO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263</v>
      </c>
      <c r="CR73" s="12">
        <f>VLOOKUP(A73,'Données projet'!$A$139:$I$159,9,0)</f>
        <v>6.2</v>
      </c>
      <c r="CS73" s="12">
        <f t="array" ref="CS73">INDEX(CR:CR,MIN(IF(ISNUMBER(CR73:CR269),ROW(CR73:CR269),"")))</f>
        <v>6.2</v>
      </c>
      <c r="CT73" s="12">
        <f>IF('Données projet'!$A$140&gt;35,CT72+CS73-DB72,IF(A73&lt;'Données projet'!$A$140,$CQ$205^A73,IF(A73='Données projet'!$A$140,'Données projet'!$B$140,CT72+CS73-DB72)))</f>
        <v>262.99999999999989</v>
      </c>
      <c r="CU73" s="17">
        <f>CT73*VLOOKUP('Données projet'!$B$13,Paramètres!$A$1:$I$89,3,0)*VLOOKUP('Données projet'!$B$13,Paramètres!$A$1:$I$89,5,0)</f>
        <v>250.27079999999989</v>
      </c>
      <c r="CV73" s="13">
        <f t="shared" si="95"/>
        <v>60.643924942423787</v>
      </c>
      <c r="CW73" s="20">
        <f t="shared" si="67"/>
        <v>541.50981260805463</v>
      </c>
      <c r="CX73" s="57">
        <f t="shared" si="68"/>
        <v>834.843145941388</v>
      </c>
      <c r="CY73" s="57">
        <f ca="1">AVERAGE(OFFSET($CX$3,0,0,'Données projet'!$E$13+1,1))-AVERAGE(OFFSET($H$3,0,0,'Données projet'!$E$13+1,1))</f>
        <v>314.67680626853303</v>
      </c>
      <c r="CZ73" s="57">
        <f t="shared" si="96"/>
        <v>372.57247561536263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76.844710832425946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76.844710832425946</v>
      </c>
      <c r="DJ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316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315.99999999999994</v>
      </c>
      <c r="DP73" s="17">
        <f>DO73*VLOOKUP('Données projet'!$B$14,Paramètres!$A$1:$I$89,3,0)*VLOOKUP('Données projet'!$B$14,Paramètres!$A$1:$I$89,5,0)</f>
        <v>207.04319999999996</v>
      </c>
      <c r="DQ73" s="13">
        <f t="shared" si="97"/>
        <v>51.288918231806321</v>
      </c>
      <c r="DR73" s="20">
        <f t="shared" si="70"/>
        <v>449.92843925372921</v>
      </c>
      <c r="DS73" s="57">
        <f t="shared" si="71"/>
        <v>743.26177258706252</v>
      </c>
      <c r="DT73" s="57">
        <f ca="1">AVERAGE(OFFSET($DS$3,0,0,'Données projet'!$E$14+1,1))-AVERAGE(OFFSET($H$3,0,0,'Données projet'!$E$14+1,1))</f>
        <v>188.80259324758066</v>
      </c>
      <c r="DU73" s="57">
        <f t="shared" si="98"/>
        <v>195.48048518255354</v>
      </c>
      <c r="DV73" s="15">
        <f>IF(ISNA(VLOOKUP(A73,'Données projet'!$A$165:$I$185,3,0)),0,VLOOKUP(A73,'Données projet'!$A$165:$I$185,3,0))</f>
        <v>12</v>
      </c>
      <c r="DW73" s="15">
        <f>IF(ISNA(VLOOKUP(A73,'Données projet'!$A$165:$I$185,4,0)),0,VLOOKUP(A73,'Données projet'!$A$165:$I$185,4,0))</f>
        <v>13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35.001725464786439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35.001725464786439</v>
      </c>
      <c r="EE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4.5999999999999996</v>
      </c>
      <c r="EI73" s="12">
        <f t="array" ref="EI73">INDEX(EH:EH,MIN(IF(ISNUMBER(EH73:EH269),ROW(EH73:EH269),"")))</f>
        <v>4.5999999999999996</v>
      </c>
      <c r="EJ73" s="12">
        <f>IF('Données projet'!$A$192&gt;35,EJ72+EI73-ER72,IF(A73&lt;'Données projet'!$A$192,$EG$205^A73,IF(A73='Données projet'!$A$192,'Données projet'!$B$192,EJ72+EI73-ER72)))</f>
        <v>315.99999999999994</v>
      </c>
      <c r="EK73" s="17">
        <f>EJ73*VLOOKUP('Données projet'!$B$15,Paramètres!$A$1:$I$89,3,0)*VLOOKUP('Données projet'!$B$15,Paramètres!$A$1:$I$89,5,0)</f>
        <v>256.33919999999995</v>
      </c>
      <c r="EL73" s="13">
        <f t="shared" si="99"/>
        <v>61.941400506884484</v>
      </c>
      <c r="EM73" s="20">
        <f t="shared" si="73"/>
        <v>554.33871254949031</v>
      </c>
      <c r="EN73" s="57">
        <f t="shared" si="74"/>
        <v>847.67204588282357</v>
      </c>
      <c r="EO73" s="57">
        <f ca="1">AVERAGE(OFFSET($EN$3,0,0,'Données projet'!$E$15+1,1))-AVERAGE(OFFSET($H$3,0,0,'Données projet'!$E$15+1,1))</f>
        <v>250.90550982248311</v>
      </c>
      <c r="EP73" s="57">
        <f t="shared" si="100"/>
        <v>254.68874167908001</v>
      </c>
      <c r="EQ73" s="15">
        <f>IF(ISNA(VLOOKUP(A73,'Données projet'!$A$191:$I$211,3,0)),0,VLOOKUP(A73,'Données projet'!$A$191:$I$211,3,0))</f>
        <v>12</v>
      </c>
      <c r="ER73" s="15">
        <f>IF(ISNA(VLOOKUP(A73,'Données projet'!$A$191:$I$211,4,0)),0,VLOOKUP(A73,'Données projet'!$A$191:$I$211,4,0))</f>
        <v>13</v>
      </c>
      <c r="ES73" s="16">
        <f>IF(ISNA(VLOOKUP(A73,'Données projet'!$A$191:$I$211,5,0)),0%,VLOOKUP(A73,'Données projet'!$A$191:$I$211,5,0)*VLOOKUP('Données projet'!$B$15,Paramètres!$A$1:$I$89,7,0))</f>
        <v>0.43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43.335469623068931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43.335469623068931</v>
      </c>
      <c r="EZ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7" t="e">
        <f t="shared" si="77"/>
        <v>#N/A</v>
      </c>
      <c r="FJ73" s="57" t="e">
        <f ca="1">AVERAGE(OFFSET($FI$3,0,0,'Données projet'!$E$16+1,1))-AVERAGE(OFFSET($H$3,0,0,'Données projet'!$E$16+1,1))</f>
        <v>#N/A</v>
      </c>
      <c r="FK73" s="57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7" t="e">
        <f t="shared" si="80"/>
        <v>#N/A</v>
      </c>
      <c r="GE73" s="57" t="e">
        <f ca="1">AVERAGE(OFFSET($GD$3,0,0,'Données projet'!$E$17+1,1))-AVERAGE(OFFSET($H$3,0,0,'Données projet'!$E$17+1,1))</f>
        <v>#N/A</v>
      </c>
      <c r="GF73" s="57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7" t="e">
        <f t="shared" si="83"/>
        <v>#N/A</v>
      </c>
      <c r="GZ73" s="57" t="e">
        <f ca="1">AVERAGE(OFFSET($GY$3,0,0,'Données projet'!$E$18+1,1))-AVERAGE(OFFSET($H$3,0,0,'Données projet'!$E$18+1,1))</f>
        <v>#N/A</v>
      </c>
      <c r="HA73" s="57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0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4">
        <f t="shared" si="56"/>
        <v>432.15289312496304</v>
      </c>
      <c r="I74" s="6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237.21984</v>
      </c>
      <c r="P74" s="13">
        <f t="shared" si="87"/>
        <v>57.840960489671517</v>
      </c>
      <c r="Q74" s="20">
        <f t="shared" si="54"/>
        <v>513.89756085284455</v>
      </c>
      <c r="R74" s="57">
        <f t="shared" si="55"/>
        <v>807.23089418617792</v>
      </c>
      <c r="S74" s="57">
        <f ca="1">AVERAGE(OFFSET($R$3,0,0,'Données projet'!$E$9+1,1))-AVERAGE(OFFSET($H$3,0,0,'Données projet'!$E$9+1,1))</f>
        <v>267.44861001389006</v>
      </c>
      <c r="T74" s="57">
        <f t="shared" si="88"/>
        <v>165.25921510802965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63.794819936818975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63.794819936818975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7.6</v>
      </c>
      <c r="AI74" s="13">
        <f>IF('Données projet'!$A$62&gt;35,AI73+AH74-AQ73,IF(A74&lt;'Données projet'!$A$62,$AF$205^A74,IF(A74='Données projet'!$A$62,'Données projet'!$B$62,AI73+AH74-AQ73)))</f>
        <v>281.59999999999997</v>
      </c>
      <c r="AJ74" s="13">
        <f>AI74*VLOOKUP('Données projet'!$B$10,Paramètres!$A$1:$I$89,3,0)*VLOOKUP('Données projet'!$B$10,Paramètres!$A$1:$I$89,5,0)</f>
        <v>254.79167999999996</v>
      </c>
      <c r="AK74" s="13">
        <f t="shared" si="89"/>
        <v>61.610870508448471</v>
      </c>
      <c r="AL74" s="20">
        <f t="shared" si="58"/>
        <v>551.067775468881</v>
      </c>
      <c r="AM74" s="57">
        <f t="shared" si="59"/>
        <v>844.40110880221437</v>
      </c>
      <c r="AN74" s="57">
        <f ca="1">AVERAGE(OFFSET($AM$3,0,0,'Données projet'!$E$10+1,1))-AVERAGE(OFFSET($H$3,0,0,'Données projet'!$E$10+1,1))</f>
        <v>294.92430430387071</v>
      </c>
      <c r="AO74" s="57">
        <f t="shared" si="90"/>
        <v>181.52228471516497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68.520362154361109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68.520362154361109</v>
      </c>
      <c r="AY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249.20063999999996</v>
      </c>
      <c r="BF74" s="13">
        <f t="shared" si="91"/>
        <v>60.414738047899995</v>
      </c>
      <c r="BG74" s="20">
        <f t="shared" si="61"/>
        <v>539.24678343342578</v>
      </c>
      <c r="BH74" s="57">
        <f t="shared" si="62"/>
        <v>832.58011676675915</v>
      </c>
      <c r="BI74" s="57">
        <f ca="1">AVERAGE(OFFSET($BH$3,0,0,'Données projet'!$E$11+1,1))-AVERAGE(OFFSET($H$3,0,0,'Données projet'!$E$11+1,1))</f>
        <v>250.90550982248311</v>
      </c>
      <c r="BJ74" s="57">
        <f t="shared" si="92"/>
        <v>254.68874167908001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42.485687495787076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42.485687495787076</v>
      </c>
      <c r="BT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739.99999999999966</v>
      </c>
      <c r="BZ74" s="13">
        <f>BY74*VLOOKUP('Données projet'!$B$12,Paramètres!$A$1:$I$89,3,0)*VLOOKUP('Données projet'!$B$12,Paramètres!$A$1:$I$89,5,0)</f>
        <v>413.65999999999985</v>
      </c>
      <c r="CA74" s="13">
        <f t="shared" si="93"/>
        <v>94.540585122244352</v>
      </c>
      <c r="CB74" s="20">
        <f t="shared" si="64"/>
        <v>885.11601908790863</v>
      </c>
      <c r="CC74" s="57">
        <f t="shared" si="65"/>
        <v>1178.4493524212419</v>
      </c>
      <c r="CD74" s="57">
        <f ca="1">AVERAGE(OFFSET($CC$3,0,0,'Données projet'!$E$12+1,1))-AVERAGE(OFFSET($H$3,0,0,'Données projet'!$E$12+1,1))</f>
        <v>462.54745364638171</v>
      </c>
      <c r="CE74" s="57">
        <f t="shared" si="94"/>
        <v>571.50914830067313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99.321613259097504</v>
      </c>
      <c r="CL74" s="21">
        <f>EXP(-LN(2)/25)*CL73+(1-EXP(-LN(2)/25))/(LN(2)/25)*Calculateur!CG74*Calculateur!CI74*VLOOKUP('Données projet'!$B$12,Paramètres!$A$1:$I$89,3,0)*0.475*44/12</f>
        <v>18.539617780330726</v>
      </c>
      <c r="CM74" s="21">
        <f>EXP(-LN(2)/2)*CM73+(1-EXP(-LN(2)/2))/(LN(2)/2)*CG74*CJ74*VLOOKUP('Données projet'!$B$12,Paramètres!$A$1:$I$89,3,0)*0.475*44/12</f>
        <v>5.7352309790364929E-7</v>
      </c>
      <c r="CN74" s="22">
        <f t="shared" si="66"/>
        <v>117.86123161295133</v>
      </c>
      <c r="CO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5.8</v>
      </c>
      <c r="CT74" s="12">
        <f>IF('Données projet'!$A$140&gt;35,CT73+CS74-DB73,IF(A74&lt;'Données projet'!$A$140,$CQ$205^A74,IF(A74='Données projet'!$A$140,'Données projet'!$B$140,CT73+CS74-DB73)))</f>
        <v>240.7999999999999</v>
      </c>
      <c r="CU74" s="17">
        <f>CT74*VLOOKUP('Données projet'!$B$13,Paramètres!$A$1:$I$89,3,0)*VLOOKUP('Données projet'!$B$13,Paramètres!$A$1:$I$89,5,0)</f>
        <v>229.14527999999993</v>
      </c>
      <c r="CV74" s="13">
        <f t="shared" si="95"/>
        <v>56.097831057350788</v>
      </c>
      <c r="CW74" s="20">
        <f t="shared" si="67"/>
        <v>496.79841842488571</v>
      </c>
      <c r="CX74" s="57">
        <f t="shared" si="68"/>
        <v>790.13175175821902</v>
      </c>
      <c r="CY74" s="57">
        <f ca="1">AVERAGE(OFFSET($CX$3,0,0,'Données projet'!$E$13+1,1))-AVERAGE(OFFSET($H$3,0,0,'Données projet'!$E$13+1,1))</f>
        <v>314.67680626853303</v>
      </c>
      <c r="CZ74" s="57">
        <f t="shared" si="96"/>
        <v>372.57247561536263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75.337832923647582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75.337832923647582</v>
      </c>
      <c r="DJ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4.2</v>
      </c>
      <c r="DO74" s="12">
        <f>IF('Données projet'!$A$166&gt;35,DO73+DN74-DW73,IF(A74&lt;'Données projet'!$A$166,$DL$205^A74,IF(A74='Données projet'!$A$166,'Données projet'!$B$166,DO73+DN74-DW73)))</f>
        <v>307.19999999999993</v>
      </c>
      <c r="DP74" s="17">
        <f>DO74*VLOOKUP('Données projet'!$B$14,Paramètres!$A$1:$I$89,3,0)*VLOOKUP('Données projet'!$B$14,Paramètres!$A$1:$I$89,5,0)</f>
        <v>201.27743999999996</v>
      </c>
      <c r="DQ74" s="13">
        <f t="shared" si="97"/>
        <v>50.024806258462775</v>
      </c>
      <c r="DR74" s="20">
        <f t="shared" si="70"/>
        <v>437.68474556682258</v>
      </c>
      <c r="DS74" s="57">
        <f t="shared" si="71"/>
        <v>731.01807890015584</v>
      </c>
      <c r="DT74" s="57">
        <f ca="1">AVERAGE(OFFSET($DS$3,0,0,'Données projet'!$E$14+1,1))-AVERAGE(OFFSET($H$3,0,0,'Données projet'!$E$14+1,1))</f>
        <v>188.80259324758066</v>
      </c>
      <c r="DU74" s="57">
        <f t="shared" si="98"/>
        <v>195.48048518255354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34.315362977366476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34.315362977366476</v>
      </c>
      <c r="EE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4.2</v>
      </c>
      <c r="EJ74" s="12">
        <f>IF('Données projet'!$A$192&gt;35,EJ73+EI74-ER73,IF(A74&lt;'Données projet'!$A$192,$EG$205^A74,IF(A74='Données projet'!$A$192,'Données projet'!$B$192,EJ73+EI74-ER73)))</f>
        <v>307.19999999999993</v>
      </c>
      <c r="EK74" s="17">
        <f>EJ74*VLOOKUP('Données projet'!$B$15,Paramètres!$A$1:$I$89,3,0)*VLOOKUP('Données projet'!$B$15,Paramètres!$A$1:$I$89,5,0)</f>
        <v>249.20063999999996</v>
      </c>
      <c r="EL74" s="13">
        <f t="shared" si="99"/>
        <v>60.414738047899995</v>
      </c>
      <c r="EM74" s="20">
        <f t="shared" si="73"/>
        <v>539.24678343342578</v>
      </c>
      <c r="EN74" s="57">
        <f t="shared" si="74"/>
        <v>832.58011676675915</v>
      </c>
      <c r="EO74" s="57">
        <f ca="1">AVERAGE(OFFSET($EN$3,0,0,'Données projet'!$E$15+1,1))-AVERAGE(OFFSET($H$3,0,0,'Données projet'!$E$15+1,1))</f>
        <v>250.90550982248311</v>
      </c>
      <c r="EP74" s="57">
        <f t="shared" si="100"/>
        <v>254.68874167908001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42.485687495787076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42.485687495787076</v>
      </c>
      <c r="EZ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7" t="e">
        <f t="shared" si="77"/>
        <v>#N/A</v>
      </c>
      <c r="FJ74" s="57" t="e">
        <f ca="1">AVERAGE(OFFSET($FI$3,0,0,'Données projet'!$E$16+1,1))-AVERAGE(OFFSET($H$3,0,0,'Données projet'!$E$16+1,1))</f>
        <v>#N/A</v>
      </c>
      <c r="FK74" s="57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7" t="e">
        <f t="shared" si="80"/>
        <v>#N/A</v>
      </c>
      <c r="GE74" s="57" t="e">
        <f ca="1">AVERAGE(OFFSET($GD$3,0,0,'Données projet'!$E$17+1,1))-AVERAGE(OFFSET($H$3,0,0,'Données projet'!$E$17+1,1))</f>
        <v>#N/A</v>
      </c>
      <c r="GF74" s="57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7" t="e">
        <f t="shared" si="83"/>
        <v>#N/A</v>
      </c>
      <c r="GZ74" s="57" t="e">
        <f ca="1">AVERAGE(OFFSET($GY$3,0,0,'Données projet'!$E$18+1,1))-AVERAGE(OFFSET($H$3,0,0,'Données projet'!$E$18+1,1))</f>
        <v>#N/A</v>
      </c>
      <c r="HA74" s="57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0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4">
        <f t="shared" si="56"/>
        <v>434.05730476539327</v>
      </c>
      <c r="I75" s="6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243.62208000000001</v>
      </c>
      <c r="P75" s="13">
        <f t="shared" si="87"/>
        <v>59.218157943988587</v>
      </c>
      <c r="Q75" s="20">
        <f t="shared" si="54"/>
        <v>527.44674775244675</v>
      </c>
      <c r="R75" s="57">
        <f t="shared" si="55"/>
        <v>820.78008108578001</v>
      </c>
      <c r="S75" s="57">
        <f ca="1">AVERAGE(OFFSET($R$3,0,0,'Données projet'!$E$9+1,1))-AVERAGE(OFFSET($H$3,0,0,'Données projet'!$E$9+1,1))</f>
        <v>267.44861001389006</v>
      </c>
      <c r="T75" s="57">
        <f t="shared" si="88"/>
        <v>165.25921510802965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62.543842428855974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62.543842428855974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7.6</v>
      </c>
      <c r="AI75" s="13">
        <f>IF('Données projet'!$A$62&gt;35,AI74+AH75-AQ74,IF(A75&lt;'Données projet'!$A$62,$AF$205^A75,IF(A75='Données projet'!$A$62,'Données projet'!$B$62,AI74+AH75-AQ74)))</f>
        <v>289.2</v>
      </c>
      <c r="AJ75" s="13">
        <f>AI75*VLOOKUP('Données projet'!$B$10,Paramètres!$A$1:$I$89,3,0)*VLOOKUP('Données projet'!$B$10,Paramètres!$A$1:$I$89,5,0)</f>
        <v>261.66816</v>
      </c>
      <c r="AK75" s="13">
        <f t="shared" si="89"/>
        <v>63.077829793082856</v>
      </c>
      <c r="AL75" s="20">
        <f t="shared" si="58"/>
        <v>565.5992655562859</v>
      </c>
      <c r="AM75" s="57">
        <f t="shared" si="59"/>
        <v>858.93259888961916</v>
      </c>
      <c r="AN75" s="57">
        <f ca="1">AVERAGE(OFFSET($AM$3,0,0,'Données projet'!$E$10+1,1))-AVERAGE(OFFSET($H$3,0,0,'Données projet'!$E$10+1,1))</f>
        <v>294.92430430387071</v>
      </c>
      <c r="AO75" s="57">
        <f t="shared" si="90"/>
        <v>181.52228471516497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67.176719645808262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67.176719645808262</v>
      </c>
      <c r="AY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252.60767999999996</v>
      </c>
      <c r="BF75" s="13">
        <f t="shared" si="91"/>
        <v>61.143998601713257</v>
      </c>
      <c r="BG75" s="20">
        <f t="shared" si="61"/>
        <v>546.4508402313171</v>
      </c>
      <c r="BH75" s="57">
        <f t="shared" si="62"/>
        <v>839.78417356465047</v>
      </c>
      <c r="BI75" s="57">
        <f ca="1">AVERAGE(OFFSET($BH$3,0,0,'Données projet'!$E$11+1,1))-AVERAGE(OFFSET($H$3,0,0,'Données projet'!$E$11+1,1))</f>
        <v>250.90550982248311</v>
      </c>
      <c r="BJ75" s="57">
        <f t="shared" si="92"/>
        <v>254.68874167908001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41.652569077705294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41.652569077705294</v>
      </c>
      <c r="BT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739.99999999999966</v>
      </c>
      <c r="BZ75" s="13">
        <f>BY75*VLOOKUP('Données projet'!$B$12,Paramètres!$A$1:$I$89,3,0)*VLOOKUP('Données projet'!$B$12,Paramètres!$A$1:$I$89,5,0)</f>
        <v>413.65999999999985</v>
      </c>
      <c r="CA75" s="13">
        <f t="shared" si="93"/>
        <v>94.540585122244352</v>
      </c>
      <c r="CB75" s="20">
        <f t="shared" si="64"/>
        <v>885.11601908790863</v>
      </c>
      <c r="CC75" s="57">
        <f t="shared" si="65"/>
        <v>1178.4493524212419</v>
      </c>
      <c r="CD75" s="57">
        <f ca="1">AVERAGE(OFFSET($CC$3,0,0,'Données projet'!$E$12+1,1))-AVERAGE(OFFSET($H$3,0,0,'Données projet'!$E$12+1,1))</f>
        <v>462.54745364638171</v>
      </c>
      <c r="CE75" s="57">
        <f t="shared" si="94"/>
        <v>571.50914830067313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97.373977003288886</v>
      </c>
      <c r="CL75" s="21">
        <f>EXP(-LN(2)/25)*CL74+(1-EXP(-LN(2)/25))/(LN(2)/25)*Calculateur!CG75*Calculateur!CI75*VLOOKUP('Données projet'!$B$12,Paramètres!$A$1:$I$89,3,0)*0.475*44/12</f>
        <v>18.032650957171455</v>
      </c>
      <c r="CM75" s="21">
        <f>EXP(-LN(2)/2)*CM74+(1-EXP(-LN(2)/2))/(LN(2)/2)*CG75*CJ75*VLOOKUP('Données projet'!$B$12,Paramètres!$A$1:$I$89,3,0)*0.475*44/12</f>
        <v>4.0554207169478662E-7</v>
      </c>
      <c r="CN75" s="22">
        <f t="shared" si="66"/>
        <v>115.40662836600241</v>
      </c>
      <c r="CO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5.8</v>
      </c>
      <c r="CT75" s="12">
        <f>IF('Données projet'!$A$140&gt;35,CT74+CS75-DB74,IF(A75&lt;'Données projet'!$A$140,$CQ$205^A75,IF(A75='Données projet'!$A$140,'Données projet'!$B$140,CT74+CS75-DB74)))</f>
        <v>246.59999999999991</v>
      </c>
      <c r="CU75" s="17">
        <f>CT75*VLOOKUP('Données projet'!$B$13,Paramètres!$A$1:$I$89,3,0)*VLOOKUP('Données projet'!$B$13,Paramètres!$A$1:$I$89,5,0)</f>
        <v>234.66455999999991</v>
      </c>
      <c r="CV75" s="13">
        <f t="shared" si="95"/>
        <v>57.290086878049593</v>
      </c>
      <c r="CW75" s="20">
        <f t="shared" si="67"/>
        <v>508.48767664593629</v>
      </c>
      <c r="CX75" s="57">
        <f t="shared" si="68"/>
        <v>801.82100997926955</v>
      </c>
      <c r="CY75" s="57">
        <f ca="1">AVERAGE(OFFSET($CX$3,0,0,'Données projet'!$E$13+1,1))-AVERAGE(OFFSET($H$3,0,0,'Données projet'!$E$13+1,1))</f>
        <v>314.67680626853303</v>
      </c>
      <c r="CZ75" s="57">
        <f t="shared" si="96"/>
        <v>372.57247561536263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73.860503971555602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73.860503971555602</v>
      </c>
      <c r="DJ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4.2</v>
      </c>
      <c r="DO75" s="12">
        <f>IF('Données projet'!$A$166&gt;35,DO74+DN75-DW74,IF(A75&lt;'Données projet'!$A$166,$DL$205^A75,IF(A75='Données projet'!$A$166,'Données projet'!$B$166,DO74+DN75-DW74)))</f>
        <v>311.39999999999992</v>
      </c>
      <c r="DP75" s="17">
        <f>DO75*VLOOKUP('Données projet'!$B$14,Paramètres!$A$1:$I$89,3,0)*VLOOKUP('Données projet'!$B$14,Paramètres!$A$1:$I$89,5,0)</f>
        <v>204.02927999999994</v>
      </c>
      <c r="DQ75" s="13">
        <f t="shared" si="97"/>
        <v>50.628650934368238</v>
      </c>
      <c r="DR75" s="20">
        <f t="shared" si="70"/>
        <v>443.5292297106912</v>
      </c>
      <c r="DS75" s="57">
        <f t="shared" si="71"/>
        <v>736.86256304402445</v>
      </c>
      <c r="DT75" s="57">
        <f ca="1">AVERAGE(OFFSET($DS$3,0,0,'Données projet'!$E$14+1,1))-AVERAGE(OFFSET($H$3,0,0,'Données projet'!$E$14+1,1))</f>
        <v>188.80259324758066</v>
      </c>
      <c r="DU75" s="57">
        <f t="shared" si="98"/>
        <v>195.48048518255354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33.642459639685043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33.642459639685043</v>
      </c>
      <c r="EE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4.2</v>
      </c>
      <c r="EJ75" s="12">
        <f>IF('Données projet'!$A$192&gt;35,EJ74+EI75-ER74,IF(A75&lt;'Données projet'!$A$192,$EG$205^A75,IF(A75='Données projet'!$A$192,'Données projet'!$B$192,EJ74+EI75-ER74)))</f>
        <v>311.39999999999992</v>
      </c>
      <c r="EK75" s="17">
        <f>EJ75*VLOOKUP('Données projet'!$B$15,Paramètres!$A$1:$I$89,3,0)*VLOOKUP('Données projet'!$B$15,Paramètres!$A$1:$I$89,5,0)</f>
        <v>252.60767999999996</v>
      </c>
      <c r="EL75" s="13">
        <f t="shared" si="99"/>
        <v>61.143998601713257</v>
      </c>
      <c r="EM75" s="20">
        <f t="shared" si="73"/>
        <v>546.4508402313171</v>
      </c>
      <c r="EN75" s="57">
        <f t="shared" si="74"/>
        <v>839.78417356465047</v>
      </c>
      <c r="EO75" s="57">
        <f ca="1">AVERAGE(OFFSET($EN$3,0,0,'Données projet'!$E$15+1,1))-AVERAGE(OFFSET($H$3,0,0,'Données projet'!$E$15+1,1))</f>
        <v>250.90550982248311</v>
      </c>
      <c r="EP75" s="57">
        <f t="shared" si="100"/>
        <v>254.68874167908001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41.652569077705294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41.652569077705294</v>
      </c>
      <c r="EZ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7" t="e">
        <f t="shared" si="77"/>
        <v>#N/A</v>
      </c>
      <c r="FJ75" s="57" t="e">
        <f ca="1">AVERAGE(OFFSET($FI$3,0,0,'Données projet'!$E$16+1,1))-AVERAGE(OFFSET($H$3,0,0,'Données projet'!$E$16+1,1))</f>
        <v>#N/A</v>
      </c>
      <c r="FK75" s="57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7" t="e">
        <f t="shared" si="80"/>
        <v>#N/A</v>
      </c>
      <c r="GE75" s="57" t="e">
        <f ca="1">AVERAGE(OFFSET($GD$3,0,0,'Données projet'!$E$17+1,1))-AVERAGE(OFFSET($H$3,0,0,'Données projet'!$E$17+1,1))</f>
        <v>#N/A</v>
      </c>
      <c r="GF75" s="57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7" t="e">
        <f t="shared" si="83"/>
        <v>#N/A</v>
      </c>
      <c r="GZ75" s="57" t="e">
        <f ca="1">AVERAGE(OFFSET($GY$3,0,0,'Données projet'!$E$18+1,1))-AVERAGE(OFFSET($H$3,0,0,'Données projet'!$E$18+1,1))</f>
        <v>#N/A</v>
      </c>
      <c r="HA75" s="57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0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4">
        <f t="shared" si="56"/>
        <v>435.96109787673976</v>
      </c>
      <c r="I76" s="6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250.02432000000005</v>
      </c>
      <c r="P76" s="13">
        <f t="shared" si="87"/>
        <v>60.591148584829206</v>
      </c>
      <c r="Q76" s="20">
        <f t="shared" si="54"/>
        <v>540.9886077852442</v>
      </c>
      <c r="R76" s="57">
        <f t="shared" si="55"/>
        <v>834.32194111857757</v>
      </c>
      <c r="S76" s="57">
        <f ca="1">AVERAGE(OFFSET($R$3,0,0,'Données projet'!$E$9+1,1))-AVERAGE(OFFSET($H$3,0,0,'Données projet'!$E$9+1,1))</f>
        <v>267.44861001389006</v>
      </c>
      <c r="T76" s="57">
        <f t="shared" si="88"/>
        <v>165.25921510802965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61.317395826803192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61.317395826803192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7.6</v>
      </c>
      <c r="AI76" s="13">
        <f>IF('Données projet'!$A$62&gt;35,AI75+AH76-AQ75,IF(A76&lt;'Données projet'!$A$62,$AF$205^A76,IF(A76='Données projet'!$A$62,'Données projet'!$B$62,AI75+AH76-AQ75)))</f>
        <v>296.8</v>
      </c>
      <c r="AJ76" s="13">
        <f>AI76*VLOOKUP('Données projet'!$B$10,Paramètres!$A$1:$I$89,3,0)*VLOOKUP('Données projet'!$B$10,Paramètres!$A$1:$I$89,5,0)</f>
        <v>268.54464000000002</v>
      </c>
      <c r="AK76" s="13">
        <f t="shared" si="89"/>
        <v>64.54030807605065</v>
      </c>
      <c r="AL76" s="20">
        <f t="shared" si="58"/>
        <v>580.12295123245474</v>
      </c>
      <c r="AM76" s="57">
        <f t="shared" si="59"/>
        <v>873.45628456578811</v>
      </c>
      <c r="AN76" s="57">
        <f ca="1">AVERAGE(OFFSET($AM$3,0,0,'Données projet'!$E$10+1,1))-AVERAGE(OFFSET($H$3,0,0,'Données projet'!$E$10+1,1))</f>
        <v>294.92430430387071</v>
      </c>
      <c r="AO76" s="57">
        <f t="shared" si="90"/>
        <v>181.52228471516497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65.859425147307121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65.859425147307121</v>
      </c>
      <c r="AY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256.01471999999995</v>
      </c>
      <c r="BF76" s="13">
        <f t="shared" si="91"/>
        <v>61.872115120174627</v>
      </c>
      <c r="BG76" s="20">
        <f t="shared" si="61"/>
        <v>553.65290450097075</v>
      </c>
      <c r="BH76" s="57">
        <f t="shared" si="62"/>
        <v>846.98623783430412</v>
      </c>
      <c r="BI76" s="57">
        <f ca="1">AVERAGE(OFFSET($BH$3,0,0,'Données projet'!$E$11+1,1))-AVERAGE(OFFSET($H$3,0,0,'Données projet'!$E$11+1,1))</f>
        <v>250.90550982248311</v>
      </c>
      <c r="BJ76" s="57">
        <f t="shared" si="92"/>
        <v>254.68874167908001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40.83578760365004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40.83578760365004</v>
      </c>
      <c r="BT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739.99999999999966</v>
      </c>
      <c r="BZ76" s="13">
        <f>BY76*VLOOKUP('Données projet'!$B$12,Paramètres!$A$1:$I$89,3,0)*VLOOKUP('Données projet'!$B$12,Paramètres!$A$1:$I$89,5,0)</f>
        <v>413.65999999999985</v>
      </c>
      <c r="CA76" s="13">
        <f t="shared" si="93"/>
        <v>94.540585122244352</v>
      </c>
      <c r="CB76" s="20">
        <f t="shared" si="64"/>
        <v>885.11601908790863</v>
      </c>
      <c r="CC76" s="57">
        <f t="shared" si="65"/>
        <v>1178.4493524212419</v>
      </c>
      <c r="CD76" s="57">
        <f ca="1">AVERAGE(OFFSET($CC$3,0,0,'Données projet'!$E$12+1,1))-AVERAGE(OFFSET($H$3,0,0,'Données projet'!$E$12+1,1))</f>
        <v>462.54745364638171</v>
      </c>
      <c r="CE76" s="57">
        <f t="shared" si="94"/>
        <v>571.50914830067313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95.464532706515868</v>
      </c>
      <c r="CL76" s="21">
        <f>EXP(-LN(2)/25)*CL75+(1-EXP(-LN(2)/25))/(LN(2)/25)*Calculateur!CG76*Calculateur!CI76*VLOOKUP('Données projet'!$B$12,Paramètres!$A$1:$I$89,3,0)*0.475*44/12</f>
        <v>17.539547168451701</v>
      </c>
      <c r="CM76" s="21">
        <f>EXP(-LN(2)/2)*CM75+(1-EXP(-LN(2)/2))/(LN(2)/2)*CG76*CJ76*VLOOKUP('Données projet'!$B$12,Paramètres!$A$1:$I$89,3,0)*0.475*44/12</f>
        <v>2.8676154895182465E-7</v>
      </c>
      <c r="CN76" s="22">
        <f t="shared" si="66"/>
        <v>113.00408016172912</v>
      </c>
      <c r="CO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5.8</v>
      </c>
      <c r="CT76" s="12">
        <f>IF('Données projet'!$A$140&gt;35,CT75+CS76-DB75,IF(A76&lt;'Données projet'!$A$140,$CQ$205^A76,IF(A76='Données projet'!$A$140,'Données projet'!$B$140,CT75+CS76-DB75)))</f>
        <v>252.39999999999992</v>
      </c>
      <c r="CU76" s="17">
        <f>CT76*VLOOKUP('Données projet'!$B$13,Paramètres!$A$1:$I$89,3,0)*VLOOKUP('Données projet'!$B$13,Paramètres!$A$1:$I$89,5,0)</f>
        <v>240.18383999999992</v>
      </c>
      <c r="CV76" s="13">
        <f t="shared" si="95"/>
        <v>58.479082790905672</v>
      </c>
      <c r="CW76" s="20">
        <f t="shared" si="67"/>
        <v>520.1712571941606</v>
      </c>
      <c r="CX76" s="57">
        <f t="shared" si="68"/>
        <v>813.50459052749397</v>
      </c>
      <c r="CY76" s="57">
        <f ca="1">AVERAGE(OFFSET($CX$3,0,0,'Données projet'!$E$13+1,1))-AVERAGE(OFFSET($H$3,0,0,'Données projet'!$E$13+1,1))</f>
        <v>314.67680626853303</v>
      </c>
      <c r="CZ76" s="57">
        <f t="shared" si="96"/>
        <v>372.57247561536263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72.412144539132456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72.412144539132456</v>
      </c>
      <c r="DJ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4.2</v>
      </c>
      <c r="DO76" s="12">
        <f>IF('Données projet'!$A$166&gt;35,DO75+DN76-DW75,IF(A76&lt;'Données projet'!$A$166,$DL$205^A76,IF(A76='Données projet'!$A$166,'Données projet'!$B$166,DO75+DN76-DW75)))</f>
        <v>315.59999999999991</v>
      </c>
      <c r="DP76" s="17">
        <f>DO76*VLOOKUP('Données projet'!$B$14,Paramètres!$A$1:$I$89,3,0)*VLOOKUP('Données projet'!$B$14,Paramètres!$A$1:$I$89,5,0)</f>
        <v>206.78111999999996</v>
      </c>
      <c r="DQ76" s="13">
        <f t="shared" si="97"/>
        <v>51.231548322431642</v>
      </c>
      <c r="DR76" s="20">
        <f t="shared" si="70"/>
        <v>449.37206399490168</v>
      </c>
      <c r="DS76" s="57">
        <f t="shared" si="71"/>
        <v>742.70539732823499</v>
      </c>
      <c r="DT76" s="57">
        <f ca="1">AVERAGE(OFFSET($DS$3,0,0,'Données projet'!$E$14+1,1))-AVERAGE(OFFSET($H$3,0,0,'Données projet'!$E$14+1,1))</f>
        <v>188.80259324758066</v>
      </c>
      <c r="DU76" s="57">
        <f t="shared" si="98"/>
        <v>195.48048518255354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32.982751526025034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32.982751526025034</v>
      </c>
      <c r="EE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4.2</v>
      </c>
      <c r="EJ76" s="12">
        <f>IF('Données projet'!$A$192&gt;35,EJ75+EI76-ER75,IF(A76&lt;'Données projet'!$A$192,$EG$205^A76,IF(A76='Données projet'!$A$192,'Données projet'!$B$192,EJ75+EI76-ER75)))</f>
        <v>315.59999999999991</v>
      </c>
      <c r="EK76" s="17">
        <f>EJ76*VLOOKUP('Données projet'!$B$15,Paramètres!$A$1:$I$89,3,0)*VLOOKUP('Données projet'!$B$15,Paramètres!$A$1:$I$89,5,0)</f>
        <v>256.01471999999995</v>
      </c>
      <c r="EL76" s="13">
        <f t="shared" si="99"/>
        <v>61.872115120174627</v>
      </c>
      <c r="EM76" s="20">
        <f t="shared" si="73"/>
        <v>553.65290450097075</v>
      </c>
      <c r="EN76" s="57">
        <f t="shared" si="74"/>
        <v>846.98623783430412</v>
      </c>
      <c r="EO76" s="57">
        <f ca="1">AVERAGE(OFFSET($EN$3,0,0,'Données projet'!$E$15+1,1))-AVERAGE(OFFSET($H$3,0,0,'Données projet'!$E$15+1,1))</f>
        <v>250.90550982248311</v>
      </c>
      <c r="EP76" s="57">
        <f t="shared" si="100"/>
        <v>254.68874167908001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40.83578760365004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40.83578760365004</v>
      </c>
      <c r="EZ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7" t="e">
        <f t="shared" si="77"/>
        <v>#N/A</v>
      </c>
      <c r="FJ76" s="57" t="e">
        <f ca="1">AVERAGE(OFFSET($FI$3,0,0,'Données projet'!$E$16+1,1))-AVERAGE(OFFSET($H$3,0,0,'Données projet'!$E$16+1,1))</f>
        <v>#N/A</v>
      </c>
      <c r="FK76" s="57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7" t="e">
        <f t="shared" si="80"/>
        <v>#N/A</v>
      </c>
      <c r="GE76" s="57" t="e">
        <f ca="1">AVERAGE(OFFSET($GD$3,0,0,'Données projet'!$E$17+1,1))-AVERAGE(OFFSET($H$3,0,0,'Données projet'!$E$17+1,1))</f>
        <v>#N/A</v>
      </c>
      <c r="GF76" s="57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7" t="e">
        <f t="shared" si="83"/>
        <v>#N/A</v>
      </c>
      <c r="GZ76" s="57" t="e">
        <f ca="1">AVERAGE(OFFSET($GY$3,0,0,'Données projet'!$E$18+1,1))-AVERAGE(OFFSET($H$3,0,0,'Données projet'!$E$18+1,1))</f>
        <v>#N/A</v>
      </c>
      <c r="HA76" s="57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0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4">
        <f t="shared" si="56"/>
        <v>437.86428191131836</v>
      </c>
      <c r="I77" s="6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256.42656000000005</v>
      </c>
      <c r="P77" s="13">
        <f t="shared" si="87"/>
        <v>61.960052520146306</v>
      </c>
      <c r="Q77" s="20">
        <f t="shared" si="54"/>
        <v>554.52335013925483</v>
      </c>
      <c r="R77" s="57">
        <f t="shared" si="55"/>
        <v>847.8566834725882</v>
      </c>
      <c r="S77" s="57">
        <f ca="1">AVERAGE(OFFSET($R$3,0,0,'Données projet'!$E$9+1,1))-AVERAGE(OFFSET($H$3,0,0,'Données projet'!$E$9+1,1))</f>
        <v>267.44861001389006</v>
      </c>
      <c r="T77" s="57">
        <f t="shared" si="88"/>
        <v>165.25921510802965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60.114999094558101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60.114999094558101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7.6</v>
      </c>
      <c r="AI77" s="13">
        <f>IF('Données projet'!$A$62&gt;35,AI76+AH77-AQ76,IF(A77&lt;'Données projet'!$A$62,$AF$205^A77,IF(A77='Données projet'!$A$62,'Données projet'!$B$62,AI76+AH77-AQ76)))</f>
        <v>304.40000000000003</v>
      </c>
      <c r="AJ77" s="13">
        <f>AI77*VLOOKUP('Données projet'!$B$10,Paramètres!$A$1:$I$89,3,0)*VLOOKUP('Données projet'!$B$10,Paramètres!$A$1:$I$89,5,0)</f>
        <v>275.42112000000003</v>
      </c>
      <c r="AK77" s="13">
        <f t="shared" si="89"/>
        <v>65.998433293601067</v>
      </c>
      <c r="AL77" s="20">
        <f t="shared" si="58"/>
        <v>594.63905531968851</v>
      </c>
      <c r="AM77" s="57">
        <f t="shared" si="59"/>
        <v>887.97238865302188</v>
      </c>
      <c r="AN77" s="57">
        <f ca="1">AVERAGE(OFFSET($AM$3,0,0,'Données projet'!$E$10+1,1))-AVERAGE(OFFSET($H$3,0,0,'Données projet'!$E$10+1,1))</f>
        <v>294.92430430387071</v>
      </c>
      <c r="AO77" s="57">
        <f t="shared" si="90"/>
        <v>181.52228471516497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64.56796199045128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64.56796199045128</v>
      </c>
      <c r="AY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259.42175999999995</v>
      </c>
      <c r="BF77" s="13">
        <f t="shared" si="91"/>
        <v>62.599104588107195</v>
      </c>
      <c r="BG77" s="20">
        <f t="shared" si="61"/>
        <v>560.85300582428658</v>
      </c>
      <c r="BH77" s="57">
        <f t="shared" si="62"/>
        <v>854.18633915761984</v>
      </c>
      <c r="BI77" s="57">
        <f ca="1">AVERAGE(OFFSET($BH$3,0,0,'Données projet'!$E$11+1,1))-AVERAGE(OFFSET($H$3,0,0,'Données projet'!$E$11+1,1))</f>
        <v>250.90550982248311</v>
      </c>
      <c r="BJ77" s="57">
        <f t="shared" si="92"/>
        <v>254.68874167908001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40.035022716113502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40.035022716113502</v>
      </c>
      <c r="BT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739.99999999999966</v>
      </c>
      <c r="BZ77" s="13">
        <f>BY77*VLOOKUP('Données projet'!$B$12,Paramètres!$A$1:$I$89,3,0)*VLOOKUP('Données projet'!$B$12,Paramètres!$A$1:$I$89,5,0)</f>
        <v>413.65999999999985</v>
      </c>
      <c r="CA77" s="13">
        <f t="shared" si="93"/>
        <v>94.540585122244352</v>
      </c>
      <c r="CB77" s="20">
        <f t="shared" si="64"/>
        <v>885.11601908790863</v>
      </c>
      <c r="CC77" s="57">
        <f t="shared" si="65"/>
        <v>1178.4493524212419</v>
      </c>
      <c r="CD77" s="57">
        <f ca="1">AVERAGE(OFFSET($CC$3,0,0,'Données projet'!$E$12+1,1))-AVERAGE(OFFSET($H$3,0,0,'Données projet'!$E$12+1,1))</f>
        <v>462.54745364638171</v>
      </c>
      <c r="CE77" s="57">
        <f t="shared" si="94"/>
        <v>571.50914830067313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93.592531447756542</v>
      </c>
      <c r="CL77" s="21">
        <f>EXP(-LN(2)/25)*CL76+(1-EXP(-LN(2)/25))/(LN(2)/25)*Calculateur!CG77*Calculateur!CI77*VLOOKUP('Données projet'!$B$12,Paramètres!$A$1:$I$89,3,0)*0.475*44/12</f>
        <v>17.059927328765692</v>
      </c>
      <c r="CM77" s="21">
        <f>EXP(-LN(2)/2)*CM76+(1-EXP(-LN(2)/2))/(LN(2)/2)*CG77*CJ77*VLOOKUP('Données projet'!$B$12,Paramètres!$A$1:$I$89,3,0)*0.475*44/12</f>
        <v>2.0277103584739331E-7</v>
      </c>
      <c r="CN77" s="22">
        <f t="shared" si="66"/>
        <v>110.65245897929327</v>
      </c>
      <c r="CO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5.8</v>
      </c>
      <c r="CT77" s="12">
        <f>IF('Données projet'!$A$140&gt;35,CT76+CS77-DB76,IF(A77&lt;'Données projet'!$A$140,$CQ$205^A77,IF(A77='Données projet'!$A$140,'Données projet'!$B$140,CT76+CS77-DB76)))</f>
        <v>258.19999999999993</v>
      </c>
      <c r="CU77" s="17">
        <f>CT77*VLOOKUP('Données projet'!$B$13,Paramètres!$A$1:$I$89,3,0)*VLOOKUP('Données projet'!$B$13,Paramètres!$A$1:$I$89,5,0)</f>
        <v>245.70311999999993</v>
      </c>
      <c r="CV77" s="13">
        <f t="shared" si="95"/>
        <v>59.664902329356607</v>
      </c>
      <c r="CW77" s="20">
        <f t="shared" si="67"/>
        <v>531.84930555696269</v>
      </c>
      <c r="CX77" s="57">
        <f t="shared" si="68"/>
        <v>825.18263889029595</v>
      </c>
      <c r="CY77" s="57">
        <f ca="1">AVERAGE(OFFSET($CX$3,0,0,'Données projet'!$E$13+1,1))-AVERAGE(OFFSET($H$3,0,0,'Données projet'!$E$13+1,1))</f>
        <v>314.67680626853303</v>
      </c>
      <c r="CZ77" s="57">
        <f t="shared" si="96"/>
        <v>372.57247561536263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70.992186551767105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70.992186551767105</v>
      </c>
      <c r="DJ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4.2</v>
      </c>
      <c r="DO77" s="12">
        <f>IF('Données projet'!$A$166&gt;35,DO76+DN77-DW76,IF(A77&lt;'Données projet'!$A$166,$DL$205^A77,IF(A77='Données projet'!$A$166,'Données projet'!$B$166,DO76+DN77-DW76)))</f>
        <v>319.7999999999999</v>
      </c>
      <c r="DP77" s="17">
        <f>DO77*VLOOKUP('Données projet'!$B$14,Paramètres!$A$1:$I$89,3,0)*VLOOKUP('Données projet'!$B$14,Paramètres!$A$1:$I$89,5,0)</f>
        <v>209.53295999999992</v>
      </c>
      <c r="DQ77" s="13">
        <f t="shared" si="97"/>
        <v>51.833512486481077</v>
      </c>
      <c r="DR77" s="20">
        <f t="shared" si="70"/>
        <v>455.21327291395437</v>
      </c>
      <c r="DS77" s="57">
        <f t="shared" si="71"/>
        <v>748.54660624728763</v>
      </c>
      <c r="DT77" s="57">
        <f ca="1">AVERAGE(OFFSET($DS$3,0,0,'Données projet'!$E$14+1,1))-AVERAGE(OFFSET($H$3,0,0,'Données projet'!$E$14+1,1))</f>
        <v>188.80259324758066</v>
      </c>
      <c r="DU77" s="57">
        <f t="shared" si="98"/>
        <v>195.48048518255354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32.335979886091678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32.335979886091678</v>
      </c>
      <c r="EE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4.2</v>
      </c>
      <c r="EJ77" s="12">
        <f>IF('Données projet'!$A$192&gt;35,EJ76+EI77-ER76,IF(A77&lt;'Données projet'!$A$192,$EG$205^A77,IF(A77='Données projet'!$A$192,'Données projet'!$B$192,EJ76+EI77-ER76)))</f>
        <v>319.7999999999999</v>
      </c>
      <c r="EK77" s="17">
        <f>EJ77*VLOOKUP('Données projet'!$B$15,Paramètres!$A$1:$I$89,3,0)*VLOOKUP('Données projet'!$B$15,Paramètres!$A$1:$I$89,5,0)</f>
        <v>259.42175999999995</v>
      </c>
      <c r="EL77" s="13">
        <f t="shared" si="99"/>
        <v>62.599104588107195</v>
      </c>
      <c r="EM77" s="20">
        <f t="shared" si="73"/>
        <v>560.85300582428658</v>
      </c>
      <c r="EN77" s="57">
        <f t="shared" si="74"/>
        <v>854.18633915761984</v>
      </c>
      <c r="EO77" s="57">
        <f ca="1">AVERAGE(OFFSET($EN$3,0,0,'Données projet'!$E$15+1,1))-AVERAGE(OFFSET($H$3,0,0,'Données projet'!$E$15+1,1))</f>
        <v>250.90550982248311</v>
      </c>
      <c r="EP77" s="57">
        <f t="shared" si="100"/>
        <v>254.68874167908001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40.035022716113502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40.035022716113502</v>
      </c>
      <c r="EZ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7" t="e">
        <f t="shared" si="77"/>
        <v>#N/A</v>
      </c>
      <c r="FJ77" s="57" t="e">
        <f ca="1">AVERAGE(OFFSET($FI$3,0,0,'Données projet'!$E$16+1,1))-AVERAGE(OFFSET($H$3,0,0,'Données projet'!$E$16+1,1))</f>
        <v>#N/A</v>
      </c>
      <c r="FK77" s="57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7" t="e">
        <f t="shared" si="80"/>
        <v>#N/A</v>
      </c>
      <c r="GE77" s="57" t="e">
        <f ca="1">AVERAGE(OFFSET($GD$3,0,0,'Données projet'!$E$17+1,1))-AVERAGE(OFFSET($H$3,0,0,'Données projet'!$E$17+1,1))</f>
        <v>#N/A</v>
      </c>
      <c r="GF77" s="57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7" t="e">
        <f t="shared" si="83"/>
        <v>#N/A</v>
      </c>
      <c r="GZ77" s="57" t="e">
        <f ca="1">AVERAGE(OFFSET($GY$3,0,0,'Données projet'!$E$18+1,1))-AVERAGE(OFFSET($H$3,0,0,'Données projet'!$E$18+1,1))</f>
        <v>#N/A</v>
      </c>
      <c r="HA77" s="57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0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4">
        <f t="shared" si="56"/>
        <v>439.76686605129669</v>
      </c>
      <c r="I78" s="6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262.82880000000006</v>
      </c>
      <c r="P78" s="13">
        <f t="shared" si="87"/>
        <v>63.324983518559485</v>
      </c>
      <c r="Q78" s="20">
        <f t="shared" si="54"/>
        <v>568.05117296149115</v>
      </c>
      <c r="R78" s="57">
        <f t="shared" si="55"/>
        <v>861.3845062948244</v>
      </c>
      <c r="S78" s="57">
        <f ca="1">AVERAGE(OFFSET($R$3,0,0,'Données projet'!$E$9+1,1))-AVERAGE(OFFSET($H$3,0,0,'Données projet'!$E$9+1,1))</f>
        <v>267.44861001389006</v>
      </c>
      <c r="T78" s="57">
        <f t="shared" si="88"/>
        <v>165.25921510802965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70.14840953137417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70.14840953137417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312</v>
      </c>
      <c r="AG78" s="12">
        <f>VLOOKUP(A78,'Données projet'!$A$61:$I$81,9,0)</f>
        <v>7.6</v>
      </c>
      <c r="AH78" s="12">
        <f t="array" ref="AH78">INDEX(AG:AG,MIN(IF(ISNUMBER(AG78:AG274),ROW(AG78:AG274),"")))</f>
        <v>7.6</v>
      </c>
      <c r="AI78" s="13">
        <f>IF('Données projet'!$A$62&gt;35,AI77+AH78-AQ77,IF(A78&lt;'Données projet'!$A$62,$AF$205^A78,IF(A78='Données projet'!$A$62,'Données projet'!$B$62,AI77+AH78-AQ77)))</f>
        <v>312.00000000000006</v>
      </c>
      <c r="AJ78" s="13">
        <f>AI78*VLOOKUP('Données projet'!$B$10,Paramètres!$A$1:$I$89,3,0)*VLOOKUP('Données projet'!$B$10,Paramètres!$A$1:$I$89,5,0)</f>
        <v>282.29760000000005</v>
      </c>
      <c r="AK78" s="13">
        <f t="shared" si="89"/>
        <v>67.452326629470178</v>
      </c>
      <c r="AL78" s="20">
        <f t="shared" si="58"/>
        <v>609.14778887966054</v>
      </c>
      <c r="AM78" s="57">
        <f t="shared" si="59"/>
        <v>902.4811222129938</v>
      </c>
      <c r="AN78" s="57">
        <f ca="1">AVERAGE(OFFSET($AM$3,0,0,'Données projet'!$E$10+1,1))-AVERAGE(OFFSET($H$3,0,0,'Données projet'!$E$10+1,1))</f>
        <v>294.92430430387071</v>
      </c>
      <c r="AO78" s="57">
        <f t="shared" si="90"/>
        <v>181.52228471516497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75.344588015179653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75.344588015179653</v>
      </c>
      <c r="AY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262.82879999999989</v>
      </c>
      <c r="BF78" s="13">
        <f t="shared" si="91"/>
        <v>63.324983518559428</v>
      </c>
      <c r="BG78" s="20">
        <f t="shared" si="61"/>
        <v>568.05117296149081</v>
      </c>
      <c r="BH78" s="57">
        <f t="shared" si="62"/>
        <v>861.38450629482418</v>
      </c>
      <c r="BI78" s="57">
        <f ca="1">AVERAGE(OFFSET($BH$3,0,0,'Données projet'!$E$11+1,1))-AVERAGE(OFFSET($H$3,0,0,'Données projet'!$E$11+1,1))</f>
        <v>250.90550982248311</v>
      </c>
      <c r="BJ78" s="57">
        <f t="shared" si="92"/>
        <v>254.68874167908001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43.877229410489186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43.877229410489186</v>
      </c>
      <c r="BT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739.99999999999966</v>
      </c>
      <c r="BZ78" s="13">
        <f>BY78*VLOOKUP('Données projet'!$B$12,Paramètres!$A$1:$I$89,3,0)*VLOOKUP('Données projet'!$B$12,Paramètres!$A$1:$I$89,5,0)</f>
        <v>413.65999999999985</v>
      </c>
      <c r="CA78" s="13">
        <f t="shared" si="93"/>
        <v>94.540585122244352</v>
      </c>
      <c r="CB78" s="20">
        <f t="shared" si="64"/>
        <v>885.11601908790863</v>
      </c>
      <c r="CC78" s="57">
        <f t="shared" si="65"/>
        <v>1178.4493524212419</v>
      </c>
      <c r="CD78" s="57">
        <f ca="1">AVERAGE(OFFSET($CC$3,0,0,'Données projet'!$E$12+1,1))-AVERAGE(OFFSET($H$3,0,0,'Données projet'!$E$12+1,1))</f>
        <v>462.54745364638171</v>
      </c>
      <c r="CE78" s="57">
        <f t="shared" si="94"/>
        <v>571.50914830067313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91.757238991873464</v>
      </c>
      <c r="CL78" s="21">
        <f>EXP(-LN(2)/25)*CL77+(1-EXP(-LN(2)/25))/(LN(2)/25)*Calculateur!CG78*Calculateur!CI78*VLOOKUP('Données projet'!$B$12,Paramètres!$A$1:$I$89,3,0)*0.475*44/12</f>
        <v>16.593422718818008</v>
      </c>
      <c r="CM78" s="21">
        <f>EXP(-LN(2)/2)*CM77+(1-EXP(-LN(2)/2))/(LN(2)/2)*CG78*CJ78*VLOOKUP('Données projet'!$B$12,Paramètres!$A$1:$I$89,3,0)*0.475*44/12</f>
        <v>1.4338077447591232E-7</v>
      </c>
      <c r="CN78" s="22">
        <f t="shared" si="66"/>
        <v>108.35066185407224</v>
      </c>
      <c r="CO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264</v>
      </c>
      <c r="CR78" s="12">
        <f>VLOOKUP(A78,'Données projet'!$A$139:$I$159,9,0)</f>
        <v>5.8</v>
      </c>
      <c r="CS78" s="12">
        <f t="array" ref="CS78">INDEX(CR:CR,MIN(IF(ISNUMBER(CR78:CR274),ROW(CR78:CR274),"")))</f>
        <v>5.8</v>
      </c>
      <c r="CT78" s="12">
        <f>IF('Données projet'!$A$140&gt;35,CT77+CS78-DB77,IF(A78&lt;'Données projet'!$A$140,$CQ$205^A78,IF(A78='Données projet'!$A$140,'Données projet'!$B$140,CT77+CS78-DB77)))</f>
        <v>263.99999999999994</v>
      </c>
      <c r="CU78" s="17">
        <f>CT78*VLOOKUP('Données projet'!$B$13,Paramètres!$A$1:$I$89,3,0)*VLOOKUP('Données projet'!$B$13,Paramètres!$A$1:$I$89,5,0)</f>
        <v>251.22239999999996</v>
      </c>
      <c r="CV78" s="13">
        <f t="shared" si="95"/>
        <v>60.847625059749809</v>
      </c>
      <c r="CW78" s="20">
        <f t="shared" si="67"/>
        <v>543.52196031239748</v>
      </c>
      <c r="CX78" s="57">
        <f t="shared" si="68"/>
        <v>836.85529364573085</v>
      </c>
      <c r="CY78" s="57">
        <f ca="1">AVERAGE(OFFSET($CX$3,0,0,'Données projet'!$E$13+1,1))-AVERAGE(OFFSET($H$3,0,0,'Données projet'!$E$13+1,1))</f>
        <v>314.67680626853303</v>
      </c>
      <c r="CZ78" s="57">
        <f t="shared" si="96"/>
        <v>372.57247561536263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27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81.813393843274014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81.813393843274014</v>
      </c>
      <c r="DJ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324</v>
      </c>
      <c r="DM78" s="12">
        <f>VLOOKUP(A78,'Données projet'!$A$165:$I$185,9,0)</f>
        <v>4.2</v>
      </c>
      <c r="DN78" s="12">
        <f t="array" ref="DN78">INDEX(DM:DM,MIN(IF(ISNUMBER(DM78:DM274),ROW(DM78:DM274),"")))</f>
        <v>4.2</v>
      </c>
      <c r="DO78" s="12">
        <f>IF('Données projet'!$A$166&gt;35,DO77+DN78-DW77,IF(A78&lt;'Données projet'!$A$166,$DL$205^A78,IF(A78='Données projet'!$A$166,'Données projet'!$B$166,DO77+DN78-DW77)))</f>
        <v>323.99999999999989</v>
      </c>
      <c r="DP78" s="17">
        <f>DO78*VLOOKUP('Données projet'!$B$14,Paramètres!$A$1:$I$89,3,0)*VLOOKUP('Données projet'!$B$14,Paramètres!$A$1:$I$89,5,0)</f>
        <v>212.28479999999993</v>
      </c>
      <c r="DQ78" s="13">
        <f t="shared" si="97"/>
        <v>52.434557099704143</v>
      </c>
      <c r="DR78" s="20">
        <f t="shared" si="70"/>
        <v>461.05288028198464</v>
      </c>
      <c r="DS78" s="57">
        <f t="shared" si="71"/>
        <v>754.38621361531796</v>
      </c>
      <c r="DT78" s="57">
        <f ca="1">AVERAGE(OFFSET($DS$3,0,0,'Données projet'!$E$14+1,1))-AVERAGE(OFFSET($H$3,0,0,'Données projet'!$E$14+1,1))</f>
        <v>188.80259324758066</v>
      </c>
      <c r="DU78" s="57">
        <f t="shared" si="98"/>
        <v>195.48048518255354</v>
      </c>
      <c r="DV78" s="15">
        <f>IF(ISNA(VLOOKUP(A78,'Données projet'!$A$165:$I$185,3,0)),0,VLOOKUP(A78,'Données projet'!$A$165:$I$185,3,0))</f>
        <v>13</v>
      </c>
      <c r="DW78" s="15">
        <f>IF(ISNA(VLOOKUP(A78,'Données projet'!$A$165:$I$185,4,0)),0,VLOOKUP(A78,'Données projet'!$A$165:$I$185,4,0))</f>
        <v>12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35.439300677702811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35.439300677702811</v>
      </c>
      <c r="EE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324</v>
      </c>
      <c r="EH78" s="12">
        <f>VLOOKUP(A78,'Données projet'!$A$191:$I$211,9,0)</f>
        <v>4.2</v>
      </c>
      <c r="EI78" s="12">
        <f t="array" ref="EI78">INDEX(EH:EH,MIN(IF(ISNUMBER(EH78:EH274),ROW(EH78:EH274),"")))</f>
        <v>4.2</v>
      </c>
      <c r="EJ78" s="12">
        <f>IF('Données projet'!$A$192&gt;35,EJ77+EI78-ER77,IF(A78&lt;'Données projet'!$A$192,$EG$205^A78,IF(A78='Données projet'!$A$192,'Données projet'!$B$192,EJ77+EI78-ER77)))</f>
        <v>323.99999999999989</v>
      </c>
      <c r="EK78" s="17">
        <f>EJ78*VLOOKUP('Données projet'!$B$15,Paramètres!$A$1:$I$89,3,0)*VLOOKUP('Données projet'!$B$15,Paramètres!$A$1:$I$89,5,0)</f>
        <v>262.82879999999989</v>
      </c>
      <c r="EL78" s="13">
        <f t="shared" si="99"/>
        <v>63.324983518559428</v>
      </c>
      <c r="EM78" s="20">
        <f t="shared" si="73"/>
        <v>568.05117296149081</v>
      </c>
      <c r="EN78" s="57">
        <f t="shared" si="74"/>
        <v>861.38450629482418</v>
      </c>
      <c r="EO78" s="57">
        <f ca="1">AVERAGE(OFFSET($EN$3,0,0,'Données projet'!$E$15+1,1))-AVERAGE(OFFSET($H$3,0,0,'Données projet'!$E$15+1,1))</f>
        <v>250.90550982248311</v>
      </c>
      <c r="EP78" s="57">
        <f t="shared" si="100"/>
        <v>254.68874167908001</v>
      </c>
      <c r="EQ78" s="15">
        <f>IF(ISNA(VLOOKUP(A78,'Données projet'!$A$191:$I$211,3,0)),0,VLOOKUP(A78,'Données projet'!$A$191:$I$211,3,0))</f>
        <v>13</v>
      </c>
      <c r="ER78" s="15">
        <f>IF(ISNA(VLOOKUP(A78,'Données projet'!$A$191:$I$211,4,0)),0,VLOOKUP(A78,'Données projet'!$A$191:$I$211,4,0))</f>
        <v>12</v>
      </c>
      <c r="ES78" s="16">
        <f>IF(ISNA(VLOOKUP(A78,'Données projet'!$A$191:$I$211,5,0)),0%,VLOOKUP(A78,'Données projet'!$A$191:$I$211,5,0)*VLOOKUP('Données projet'!$B$15,Paramètres!$A$1:$I$89,7,0))</f>
        <v>0.43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43.877229410489186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43.877229410489186</v>
      </c>
      <c r="EZ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7" t="e">
        <f t="shared" si="77"/>
        <v>#N/A</v>
      </c>
      <c r="FJ78" s="57" t="e">
        <f ca="1">AVERAGE(OFFSET($FI$3,0,0,'Données projet'!$E$16+1,1))-AVERAGE(OFFSET($H$3,0,0,'Données projet'!$E$16+1,1))</f>
        <v>#N/A</v>
      </c>
      <c r="FK78" s="57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7" t="e">
        <f t="shared" si="80"/>
        <v>#N/A</v>
      </c>
      <c r="GE78" s="57" t="e">
        <f ca="1">AVERAGE(OFFSET($GD$3,0,0,'Données projet'!$E$17+1,1))-AVERAGE(OFFSET($H$3,0,0,'Données projet'!$E$17+1,1))</f>
        <v>#N/A</v>
      </c>
      <c r="GF78" s="57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7" t="e">
        <f t="shared" si="83"/>
        <v>#N/A</v>
      </c>
      <c r="GZ78" s="57" t="e">
        <f ca="1">AVERAGE(OFFSET($GY$3,0,0,'Données projet'!$E$18+1,1))-AVERAGE(OFFSET($H$3,0,0,'Données projet'!$E$18+1,1))</f>
        <v>#N/A</v>
      </c>
      <c r="HA78" s="57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0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4">
        <f t="shared" si="56"/>
        <v>441.66885921991195</v>
      </c>
      <c r="I79" s="6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245.30688000000009</v>
      </c>
      <c r="P79" s="13">
        <f t="shared" si="87"/>
        <v>59.579874112906374</v>
      </c>
      <c r="Q79" s="20">
        <f t="shared" si="54"/>
        <v>531.01109674664542</v>
      </c>
      <c r="R79" s="57">
        <f t="shared" si="55"/>
        <v>824.34443007997879</v>
      </c>
      <c r="S79" s="57">
        <f ca="1">AVERAGE(OFFSET($R$3,0,0,'Données projet'!$E$9+1,1))-AVERAGE(OFFSET($H$3,0,0,'Données projet'!$E$9+1,1))</f>
        <v>267.44861001389006</v>
      </c>
      <c r="T79" s="57">
        <f t="shared" si="88"/>
        <v>165.25921510802965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68.77284200676894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68.77284200676894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7.2</v>
      </c>
      <c r="AI79" s="13">
        <f>IF('Données projet'!$A$62&gt;35,AI78+AH79-AQ78,IF(A79&lt;'Données projet'!$A$62,$AF$205^A79,IF(A79='Données projet'!$A$62,'Données projet'!$B$62,AI78+AH79-AQ78)))</f>
        <v>291.20000000000005</v>
      </c>
      <c r="AJ79" s="13">
        <f>AI79*VLOOKUP('Données projet'!$B$10,Paramètres!$A$1:$I$89,3,0)*VLOOKUP('Données projet'!$B$10,Paramètres!$A$1:$I$89,5,0)</f>
        <v>263.47776000000005</v>
      </c>
      <c r="AK79" s="13">
        <f t="shared" si="89"/>
        <v>63.46312159763346</v>
      </c>
      <c r="AL79" s="20">
        <f t="shared" si="58"/>
        <v>569.42203544921165</v>
      </c>
      <c r="AM79" s="57">
        <f t="shared" si="59"/>
        <v>862.75536878254502</v>
      </c>
      <c r="AN79" s="57">
        <f ca="1">AVERAGE(OFFSET($AM$3,0,0,'Données projet'!$E$10+1,1))-AVERAGE(OFFSET($H$3,0,0,'Données projet'!$E$10+1,1))</f>
        <v>294.92430430387071</v>
      </c>
      <c r="AO79" s="57">
        <f t="shared" si="90"/>
        <v>181.52228471516497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73.867126599862928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73.867126599862928</v>
      </c>
      <c r="AY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256.01471999999995</v>
      </c>
      <c r="BF79" s="13">
        <f t="shared" si="91"/>
        <v>61.872115120174627</v>
      </c>
      <c r="BG79" s="20">
        <f t="shared" si="61"/>
        <v>553.65290450097075</v>
      </c>
      <c r="BH79" s="57">
        <f t="shared" si="62"/>
        <v>846.98623783430412</v>
      </c>
      <c r="BI79" s="57">
        <f ca="1">AVERAGE(OFFSET($BH$3,0,0,'Données projet'!$E$11+1,1))-AVERAGE(OFFSET($H$3,0,0,'Données projet'!$E$11+1,1))</f>
        <v>250.90550982248311</v>
      </c>
      <c r="BJ79" s="57">
        <f t="shared" si="92"/>
        <v>254.68874167908001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43.016823704216861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43.016823704216861</v>
      </c>
      <c r="BT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739.99999999999966</v>
      </c>
      <c r="BZ79" s="13">
        <f>BY79*VLOOKUP('Données projet'!$B$12,Paramètres!$A$1:$I$89,3,0)*VLOOKUP('Données projet'!$B$12,Paramètres!$A$1:$I$89,5,0)</f>
        <v>413.65999999999985</v>
      </c>
      <c r="CA79" s="13">
        <f t="shared" si="93"/>
        <v>94.540585122244352</v>
      </c>
      <c r="CB79" s="20">
        <f t="shared" si="64"/>
        <v>885.11601908790863</v>
      </c>
      <c r="CC79" s="57">
        <f t="shared" si="65"/>
        <v>1178.4493524212419</v>
      </c>
      <c r="CD79" s="57">
        <f ca="1">AVERAGE(OFFSET($CC$3,0,0,'Données projet'!$E$12+1,1))-AVERAGE(OFFSET($H$3,0,0,'Données projet'!$E$12+1,1))</f>
        <v>462.54745364638171</v>
      </c>
      <c r="CE79" s="57">
        <f t="shared" si="94"/>
        <v>571.50914830067313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89.957935501632392</v>
      </c>
      <c r="CL79" s="21">
        <f>EXP(-LN(2)/25)*CL78+(1-EXP(-LN(2)/25))/(LN(2)/25)*Calculateur!CG79*Calculateur!CI79*VLOOKUP('Données projet'!$B$12,Paramètres!$A$1:$I$89,3,0)*0.475*44/12</f>
        <v>16.139674701961752</v>
      </c>
      <c r="CM79" s="21">
        <f>EXP(-LN(2)/2)*CM78+(1-EXP(-LN(2)/2))/(LN(2)/2)*CG79*CJ79*VLOOKUP('Données projet'!$B$12,Paramètres!$A$1:$I$89,3,0)*0.475*44/12</f>
        <v>1.0138551792369666E-7</v>
      </c>
      <c r="CN79" s="22">
        <f t="shared" si="66"/>
        <v>106.09761030497967</v>
      </c>
      <c r="CO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5.6</v>
      </c>
      <c r="CT79" s="12">
        <f>IF('Données projet'!$A$140&gt;35,CT78+CS79-DB78,IF(A79&lt;'Données projet'!$A$140,$CQ$205^A79,IF(A79='Données projet'!$A$140,'Données projet'!$B$140,CT78+CS79-DB78)))</f>
        <v>242.59999999999997</v>
      </c>
      <c r="CU79" s="17">
        <f>CT79*VLOOKUP('Données projet'!$B$13,Paramètres!$A$1:$I$89,3,0)*VLOOKUP('Données projet'!$B$13,Paramètres!$A$1:$I$89,5,0)</f>
        <v>230.85816</v>
      </c>
      <c r="CV79" s="13">
        <f t="shared" si="95"/>
        <v>56.468195549322559</v>
      </c>
      <c r="CW79" s="20">
        <f t="shared" si="67"/>
        <v>500.42673591507014</v>
      </c>
      <c r="CX79" s="57">
        <f t="shared" si="68"/>
        <v>793.7600692484034</v>
      </c>
      <c r="CY79" s="57">
        <f ca="1">AVERAGE(OFFSET($CX$3,0,0,'Données projet'!$E$13+1,1))-AVERAGE(OFFSET($H$3,0,0,'Données projet'!$E$13+1,1))</f>
        <v>314.67680626853303</v>
      </c>
      <c r="CZ79" s="57">
        <f t="shared" si="96"/>
        <v>372.57247561536263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80.209083091250321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80.209083091250321</v>
      </c>
      <c r="DJ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315.59999999999991</v>
      </c>
      <c r="DP79" s="17">
        <f>DO79*VLOOKUP('Données projet'!$B$14,Paramètres!$A$1:$I$89,3,0)*VLOOKUP('Données projet'!$B$14,Paramètres!$A$1:$I$89,5,0)</f>
        <v>206.78111999999996</v>
      </c>
      <c r="DQ79" s="13">
        <f t="shared" si="97"/>
        <v>51.231548322431642</v>
      </c>
      <c r="DR79" s="20">
        <f t="shared" si="70"/>
        <v>449.37206399490168</v>
      </c>
      <c r="DS79" s="57">
        <f t="shared" si="71"/>
        <v>742.70539732823499</v>
      </c>
      <c r="DT79" s="57">
        <f ca="1">AVERAGE(OFFSET($DS$3,0,0,'Données projet'!$E$14+1,1))-AVERAGE(OFFSET($H$3,0,0,'Données projet'!$E$14+1,1))</f>
        <v>188.80259324758066</v>
      </c>
      <c r="DU79" s="57">
        <f t="shared" si="98"/>
        <v>195.48048518255354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34.744357607252084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34.744357607252084</v>
      </c>
      <c r="EE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3.6</v>
      </c>
      <c r="EJ79" s="12">
        <f>IF('Données projet'!$A$192&gt;35,EJ78+EI79-ER78,IF(A79&lt;'Données projet'!$A$192,$EG$205^A79,IF(A79='Données projet'!$A$192,'Données projet'!$B$192,EJ78+EI79-ER78)))</f>
        <v>315.59999999999991</v>
      </c>
      <c r="EK79" s="17">
        <f>EJ79*VLOOKUP('Données projet'!$B$15,Paramètres!$A$1:$I$89,3,0)*VLOOKUP('Données projet'!$B$15,Paramètres!$A$1:$I$89,5,0)</f>
        <v>256.01471999999995</v>
      </c>
      <c r="EL79" s="13">
        <f t="shared" si="99"/>
        <v>61.872115120174627</v>
      </c>
      <c r="EM79" s="20">
        <f t="shared" si="73"/>
        <v>553.65290450097075</v>
      </c>
      <c r="EN79" s="57">
        <f t="shared" si="74"/>
        <v>846.98623783430412</v>
      </c>
      <c r="EO79" s="57">
        <f ca="1">AVERAGE(OFFSET($EN$3,0,0,'Données projet'!$E$15+1,1))-AVERAGE(OFFSET($H$3,0,0,'Données projet'!$E$15+1,1))</f>
        <v>250.90550982248311</v>
      </c>
      <c r="EP79" s="57">
        <f t="shared" si="100"/>
        <v>254.68874167908001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43.016823704216861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43.016823704216861</v>
      </c>
      <c r="EZ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7" t="e">
        <f t="shared" si="77"/>
        <v>#N/A</v>
      </c>
      <c r="FJ79" s="57" t="e">
        <f ca="1">AVERAGE(OFFSET($FI$3,0,0,'Données projet'!$E$16+1,1))-AVERAGE(OFFSET($H$3,0,0,'Données projet'!$E$16+1,1))</f>
        <v>#N/A</v>
      </c>
      <c r="FK79" s="57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7" t="e">
        <f t="shared" si="80"/>
        <v>#N/A</v>
      </c>
      <c r="GE79" s="57" t="e">
        <f ca="1">AVERAGE(OFFSET($GD$3,0,0,'Données projet'!$E$17+1,1))-AVERAGE(OFFSET($H$3,0,0,'Données projet'!$E$17+1,1))</f>
        <v>#N/A</v>
      </c>
      <c r="GF79" s="57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7" t="e">
        <f t="shared" si="83"/>
        <v>#N/A</v>
      </c>
      <c r="GZ79" s="57" t="e">
        <f ca="1">AVERAGE(OFFSET($GY$3,0,0,'Données projet'!$E$18+1,1))-AVERAGE(OFFSET($H$3,0,0,'Données projet'!$E$18+1,1))</f>
        <v>#N/A</v>
      </c>
      <c r="HA79" s="57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0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4">
        <f t="shared" si="56"/>
        <v>443.57027009208173</v>
      </c>
      <c r="I80" s="6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251.37216000000004</v>
      </c>
      <c r="P80" s="13">
        <f t="shared" si="87"/>
        <v>60.879674595707343</v>
      </c>
      <c r="Q80" s="20">
        <f t="shared" si="54"/>
        <v>543.83861192085692</v>
      </c>
      <c r="R80" s="57">
        <f t="shared" si="55"/>
        <v>837.17194525419018</v>
      </c>
      <c r="S80" s="57">
        <f ca="1">AVERAGE(OFFSET($R$3,0,0,'Données projet'!$E$9+1,1))-AVERAGE(OFFSET($H$3,0,0,'Données projet'!$E$9+1,1))</f>
        <v>267.44861001389006</v>
      </c>
      <c r="T80" s="57">
        <f t="shared" si="88"/>
        <v>165.25921510802965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67.424248522307877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67.424248522307877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7.2</v>
      </c>
      <c r="AI80" s="13">
        <f>IF('Données projet'!$A$62&gt;35,AI79+AH80-AQ79,IF(A80&lt;'Données projet'!$A$62,$AF$205^A80,IF(A80='Données projet'!$A$62,'Données projet'!$B$62,AI79+AH80-AQ79)))</f>
        <v>298.40000000000003</v>
      </c>
      <c r="AJ80" s="13">
        <f>AI80*VLOOKUP('Données projet'!$B$10,Paramètres!$A$1:$I$89,3,0)*VLOOKUP('Données projet'!$B$10,Paramètres!$A$1:$I$89,5,0)</f>
        <v>269.99232000000001</v>
      </c>
      <c r="AK80" s="13">
        <f t="shared" si="89"/>
        <v>64.847639395310296</v>
      </c>
      <c r="AL80" s="20">
        <f t="shared" si="58"/>
        <v>583.17959594683214</v>
      </c>
      <c r="AM80" s="57">
        <f t="shared" si="59"/>
        <v>876.51292928016551</v>
      </c>
      <c r="AN80" s="57">
        <f ca="1">AVERAGE(OFFSET($AM$3,0,0,'Données projet'!$E$10+1,1))-AVERAGE(OFFSET($H$3,0,0,'Données projet'!$E$10+1,1))</f>
        <v>294.92430430387071</v>
      </c>
      <c r="AO80" s="57">
        <f t="shared" si="90"/>
        <v>181.52228471516497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72.418637301738073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72.418637301738073</v>
      </c>
      <c r="AY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258.93503999999996</v>
      </c>
      <c r="BF80" s="13">
        <f t="shared" si="91"/>
        <v>62.495317322077135</v>
      </c>
      <c r="BG80" s="20">
        <f t="shared" si="61"/>
        <v>559.8245390026176</v>
      </c>
      <c r="BH80" s="57">
        <f t="shared" si="62"/>
        <v>853.15787233595097</v>
      </c>
      <c r="BI80" s="57">
        <f ca="1">AVERAGE(OFFSET($BH$3,0,0,'Données projet'!$E$11+1,1))-AVERAGE(OFFSET($H$3,0,0,'Données projet'!$E$11+1,1))</f>
        <v>250.90550982248311</v>
      </c>
      <c r="BJ80" s="57">
        <f t="shared" si="92"/>
        <v>254.68874167908001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42.173290029048871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42.173290029048871</v>
      </c>
      <c r="BT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739.99999999999966</v>
      </c>
      <c r="BZ80" s="13">
        <f>BY80*VLOOKUP('Données projet'!$B$12,Paramètres!$A$1:$I$89,3,0)*VLOOKUP('Données projet'!$B$12,Paramètres!$A$1:$I$89,5,0)</f>
        <v>413.65999999999985</v>
      </c>
      <c r="CA80" s="13">
        <f t="shared" si="93"/>
        <v>94.540585122244352</v>
      </c>
      <c r="CB80" s="20">
        <f t="shared" si="64"/>
        <v>885.11601908790863</v>
      </c>
      <c r="CC80" s="57">
        <f t="shared" si="65"/>
        <v>1178.4493524212419</v>
      </c>
      <c r="CD80" s="57">
        <f ca="1">AVERAGE(OFFSET($CC$3,0,0,'Données projet'!$E$12+1,1))-AVERAGE(OFFSET($H$3,0,0,'Données projet'!$E$12+1,1))</f>
        <v>462.54745364638171</v>
      </c>
      <c r="CE80" s="57">
        <f t="shared" si="94"/>
        <v>571.50914830067313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88.193915255368182</v>
      </c>
      <c r="CL80" s="21">
        <f>EXP(-LN(2)/25)*CL79+(1-EXP(-LN(2)/25))/(LN(2)/25)*Calculateur!CG80*Calculateur!CI80*VLOOKUP('Données projet'!$B$12,Paramètres!$A$1:$I$89,3,0)*0.475*44/12</f>
        <v>15.698334448488003</v>
      </c>
      <c r="CM80" s="21">
        <f>EXP(-LN(2)/2)*CM79+(1-EXP(-LN(2)/2))/(LN(2)/2)*CG80*CJ80*VLOOKUP('Données projet'!$B$12,Paramètres!$A$1:$I$89,3,0)*0.475*44/12</f>
        <v>7.1690387237956162E-8</v>
      </c>
      <c r="CN80" s="22">
        <f t="shared" si="66"/>
        <v>103.89224977554657</v>
      </c>
      <c r="CO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5.6</v>
      </c>
      <c r="CT80" s="12">
        <f>IF('Données projet'!$A$140&gt;35,CT79+CS80-DB79,IF(A80&lt;'Données projet'!$A$140,$CQ$205^A80,IF(A80='Données projet'!$A$140,'Données projet'!$B$140,CT79+CS80-DB79)))</f>
        <v>248.19999999999996</v>
      </c>
      <c r="CU80" s="17">
        <f>CT80*VLOOKUP('Données projet'!$B$13,Paramètres!$A$1:$I$89,3,0)*VLOOKUP('Données projet'!$B$13,Paramètres!$A$1:$I$89,5,0)</f>
        <v>236.18711999999994</v>
      </c>
      <c r="CV80" s="13">
        <f t="shared" si="95"/>
        <v>57.61840772987285</v>
      </c>
      <c r="CW80" s="20">
        <f t="shared" si="67"/>
        <v>511.71129412952837</v>
      </c>
      <c r="CX80" s="57">
        <f t="shared" si="68"/>
        <v>805.04462746286163</v>
      </c>
      <c r="CY80" s="57">
        <f ca="1">AVERAGE(OFFSET($CX$3,0,0,'Données projet'!$E$13+1,1))-AVERAGE(OFFSET($H$3,0,0,'Données projet'!$E$13+1,1))</f>
        <v>314.67680626853303</v>
      </c>
      <c r="CZ80" s="57">
        <f t="shared" si="96"/>
        <v>372.57247561536263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78.63623189454087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78.63623189454087</v>
      </c>
      <c r="DJ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319.19999999999993</v>
      </c>
      <c r="DP80" s="17">
        <f>DO80*VLOOKUP('Données projet'!$B$14,Paramètres!$A$1:$I$89,3,0)*VLOOKUP('Données projet'!$B$14,Paramètres!$A$1:$I$89,5,0)</f>
        <v>209.13983999999996</v>
      </c>
      <c r="DQ80" s="13">
        <f t="shared" si="97"/>
        <v>51.747574219710266</v>
      </c>
      <c r="DR80" s="20">
        <f t="shared" si="70"/>
        <v>454.37891309932866</v>
      </c>
      <c r="DS80" s="57">
        <f t="shared" si="71"/>
        <v>747.71224643266191</v>
      </c>
      <c r="DT80" s="57">
        <f ca="1">AVERAGE(OFFSET($DS$3,0,0,'Données projet'!$E$14+1,1))-AVERAGE(OFFSET($H$3,0,0,'Données projet'!$E$14+1,1))</f>
        <v>188.80259324758066</v>
      </c>
      <c r="DU80" s="57">
        <f t="shared" si="98"/>
        <v>195.48048518255354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34.063041946539478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34.063041946539478</v>
      </c>
      <c r="EE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3.6</v>
      </c>
      <c r="EJ80" s="12">
        <f>IF('Données projet'!$A$192&gt;35,EJ79+EI80-ER79,IF(A80&lt;'Données projet'!$A$192,$EG$205^A80,IF(A80='Données projet'!$A$192,'Données projet'!$B$192,EJ79+EI80-ER79)))</f>
        <v>319.19999999999993</v>
      </c>
      <c r="EK80" s="17">
        <f>EJ80*VLOOKUP('Données projet'!$B$15,Paramètres!$A$1:$I$89,3,0)*VLOOKUP('Données projet'!$B$15,Paramètres!$A$1:$I$89,5,0)</f>
        <v>258.93503999999996</v>
      </c>
      <c r="EL80" s="13">
        <f t="shared" si="99"/>
        <v>62.495317322077135</v>
      </c>
      <c r="EM80" s="20">
        <f t="shared" si="73"/>
        <v>559.8245390026176</v>
      </c>
      <c r="EN80" s="57">
        <f t="shared" si="74"/>
        <v>853.15787233595097</v>
      </c>
      <c r="EO80" s="57">
        <f ca="1">AVERAGE(OFFSET($EN$3,0,0,'Données projet'!$E$15+1,1))-AVERAGE(OFFSET($H$3,0,0,'Données projet'!$E$15+1,1))</f>
        <v>250.90550982248311</v>
      </c>
      <c r="EP80" s="57">
        <f t="shared" si="100"/>
        <v>254.68874167908001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42.173290029048871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42.173290029048871</v>
      </c>
      <c r="EZ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7" t="e">
        <f t="shared" si="77"/>
        <v>#N/A</v>
      </c>
      <c r="FJ80" s="57" t="e">
        <f ca="1">AVERAGE(OFFSET($FI$3,0,0,'Données projet'!$E$16+1,1))-AVERAGE(OFFSET($H$3,0,0,'Données projet'!$E$16+1,1))</f>
        <v>#N/A</v>
      </c>
      <c r="FK80" s="57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7" t="e">
        <f t="shared" si="80"/>
        <v>#N/A</v>
      </c>
      <c r="GE80" s="57" t="e">
        <f ca="1">AVERAGE(OFFSET($GD$3,0,0,'Données projet'!$E$17+1,1))-AVERAGE(OFFSET($H$3,0,0,'Données projet'!$E$17+1,1))</f>
        <v>#N/A</v>
      </c>
      <c r="GF80" s="57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7" t="e">
        <f t="shared" si="83"/>
        <v>#N/A</v>
      </c>
      <c r="GZ80" s="57" t="e">
        <f ca="1">AVERAGE(OFFSET($GY$3,0,0,'Données projet'!$E$18+1,1))-AVERAGE(OFFSET($H$3,0,0,'Données projet'!$E$18+1,1))</f>
        <v>#N/A</v>
      </c>
      <c r="HA80" s="57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0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4">
        <f t="shared" si="56"/>
        <v>445.47110710444713</v>
      </c>
      <c r="I81" s="6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257.43744000000004</v>
      </c>
      <c r="P81" s="13">
        <f t="shared" si="87"/>
        <v>62.175829233865038</v>
      </c>
      <c r="Q81" s="20">
        <f t="shared" si="54"/>
        <v>556.65977724898164</v>
      </c>
      <c r="R81" s="57">
        <f t="shared" si="55"/>
        <v>849.99311058231501</v>
      </c>
      <c r="S81" s="57">
        <f ca="1">AVERAGE(OFFSET($R$3,0,0,'Données projet'!$E$9+1,1))-AVERAGE(OFFSET($H$3,0,0,'Données projet'!$E$9+1,1))</f>
        <v>267.44861001389006</v>
      </c>
      <c r="T81" s="57">
        <f t="shared" si="88"/>
        <v>165.25921510802965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66.102100133516288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66.102100133516288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7.2</v>
      </c>
      <c r="AI81" s="13">
        <f>IF('Données projet'!$A$62&gt;35,AI80+AH81-AQ80,IF(A81&lt;'Données projet'!$A$62,$AF$205^A81,IF(A81='Données projet'!$A$62,'Données projet'!$B$62,AI80+AH81-AQ80)))</f>
        <v>305.60000000000002</v>
      </c>
      <c r="AJ81" s="13">
        <f>AI81*VLOOKUP('Données projet'!$B$10,Paramètres!$A$1:$I$89,3,0)*VLOOKUP('Données projet'!$B$10,Paramètres!$A$1:$I$89,5,0)</f>
        <v>276.50687999999997</v>
      </c>
      <c r="AK81" s="13">
        <f t="shared" si="89"/>
        <v>66.228273722513677</v>
      </c>
      <c r="AL81" s="20">
        <f t="shared" si="58"/>
        <v>596.93039273337797</v>
      </c>
      <c r="AM81" s="57">
        <f t="shared" si="59"/>
        <v>890.26372606671134</v>
      </c>
      <c r="AN81" s="57">
        <f ca="1">AVERAGE(OFFSET($AM$3,0,0,'Données projet'!$E$10+1,1))-AVERAGE(OFFSET($H$3,0,0,'Données projet'!$E$10+1,1))</f>
        <v>294.92430430387071</v>
      </c>
      <c r="AO81" s="57">
        <f t="shared" si="90"/>
        <v>181.52228471516497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70.998551995258225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70.998551995258225</v>
      </c>
      <c r="AY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261.85536000000002</v>
      </c>
      <c r="BF81" s="13">
        <f t="shared" si="91"/>
        <v>63.117701913821712</v>
      </c>
      <c r="BG81" s="20">
        <f t="shared" si="61"/>
        <v>565.99474949990611</v>
      </c>
      <c r="BH81" s="57">
        <f t="shared" si="62"/>
        <v>859.32808283323948</v>
      </c>
      <c r="BI81" s="57">
        <f ca="1">AVERAGE(OFFSET($BH$3,0,0,'Données projet'!$E$11+1,1))-AVERAGE(OFFSET($H$3,0,0,'Données projet'!$E$11+1,1))</f>
        <v>250.90550982248311</v>
      </c>
      <c r="BJ81" s="57">
        <f t="shared" si="92"/>
        <v>254.68874167908001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41.346297534746192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41.346297534746192</v>
      </c>
      <c r="BT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739.99999999999966</v>
      </c>
      <c r="BZ81" s="13">
        <f>BY81*VLOOKUP('Données projet'!$B$12,Paramètres!$A$1:$I$89,3,0)*VLOOKUP('Données projet'!$B$12,Paramètres!$A$1:$I$89,5,0)</f>
        <v>413.65999999999985</v>
      </c>
      <c r="CA81" s="13">
        <f t="shared" si="93"/>
        <v>94.540585122244352</v>
      </c>
      <c r="CB81" s="20">
        <f t="shared" si="64"/>
        <v>885.11601908790863</v>
      </c>
      <c r="CC81" s="57">
        <f t="shared" si="65"/>
        <v>1178.4493524212419</v>
      </c>
      <c r="CD81" s="57">
        <f ca="1">AVERAGE(OFFSET($CC$3,0,0,'Données projet'!$E$12+1,1))-AVERAGE(OFFSET($H$3,0,0,'Données projet'!$E$12+1,1))</f>
        <v>462.54745364638171</v>
      </c>
      <c r="CE81" s="57">
        <f t="shared" si="94"/>
        <v>571.50914830067313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86.464486370187103</v>
      </c>
      <c r="CL81" s="21">
        <f>EXP(-LN(2)/25)*CL80+(1-EXP(-LN(2)/25))/(LN(2)/25)*Calculateur!CG81*Calculateur!CI81*VLOOKUP('Données projet'!$B$12,Paramètres!$A$1:$I$89,3,0)*0.475*44/12</f>
        <v>15.26906266745457</v>
      </c>
      <c r="CM81" s="21">
        <f>EXP(-LN(2)/2)*CM80+(1-EXP(-LN(2)/2))/(LN(2)/2)*CG81*CJ81*VLOOKUP('Données projet'!$B$12,Paramètres!$A$1:$I$89,3,0)*0.475*44/12</f>
        <v>5.0692758961848328E-8</v>
      </c>
      <c r="CN81" s="22">
        <f t="shared" si="66"/>
        <v>101.73354908833443</v>
      </c>
      <c r="CO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5.6</v>
      </c>
      <c r="CT81" s="12">
        <f>IF('Données projet'!$A$140&gt;35,CT80+CS81-DB80,IF(A81&lt;'Données projet'!$A$140,$CQ$205^A81,IF(A81='Données projet'!$A$140,'Données projet'!$B$140,CT80+CS81-DB80)))</f>
        <v>253.79999999999995</v>
      </c>
      <c r="CU81" s="17">
        <f>CT81*VLOOKUP('Données projet'!$B$13,Paramètres!$A$1:$I$89,3,0)*VLOOKUP('Données projet'!$B$13,Paramètres!$A$1:$I$89,5,0)</f>
        <v>241.51607999999993</v>
      </c>
      <c r="CV81" s="13">
        <f t="shared" si="95"/>
        <v>58.765602836317846</v>
      </c>
      <c r="CW81" s="20">
        <f t="shared" si="67"/>
        <v>522.99059760658679</v>
      </c>
      <c r="CX81" s="57">
        <f t="shared" si="68"/>
        <v>816.32393093992005</v>
      </c>
      <c r="CY81" s="57">
        <f ca="1">AVERAGE(OFFSET($CX$3,0,0,'Données projet'!$E$13+1,1))-AVERAGE(OFFSET($H$3,0,0,'Données projet'!$E$13+1,1))</f>
        <v>314.67680626853303</v>
      </c>
      <c r="CZ81" s="57">
        <f t="shared" si="96"/>
        <v>372.57247561536263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77.094223350454385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77.094223350454385</v>
      </c>
      <c r="DJ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322.79999999999995</v>
      </c>
      <c r="DP81" s="17">
        <f>DO81*VLOOKUP('Données projet'!$B$14,Paramètres!$A$1:$I$89,3,0)*VLOOKUP('Données projet'!$B$14,Paramètres!$A$1:$I$89,5,0)</f>
        <v>211.49855999999994</v>
      </c>
      <c r="DQ81" s="13">
        <f t="shared" si="97"/>
        <v>52.262923116788812</v>
      </c>
      <c r="DR81" s="20">
        <f t="shared" si="70"/>
        <v>459.38458309507376</v>
      </c>
      <c r="DS81" s="57">
        <f t="shared" si="71"/>
        <v>752.71791642840708</v>
      </c>
      <c r="DT81" s="57">
        <f ca="1">AVERAGE(OFFSET($DS$3,0,0,'Données projet'!$E$14+1,1))-AVERAGE(OFFSET($H$3,0,0,'Données projet'!$E$14+1,1))</f>
        <v>188.80259324758066</v>
      </c>
      <c r="DU81" s="57">
        <f t="shared" si="98"/>
        <v>195.48048518255354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33.395086470371929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33.395086470371929</v>
      </c>
      <c r="EE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3.6</v>
      </c>
      <c r="EJ81" s="12">
        <f>IF('Données projet'!$A$192&gt;35,EJ80+EI81-ER80,IF(A81&lt;'Données projet'!$A$192,$EG$205^A81,IF(A81='Données projet'!$A$192,'Données projet'!$B$192,EJ80+EI81-ER80)))</f>
        <v>322.79999999999995</v>
      </c>
      <c r="EK81" s="17">
        <f>EJ81*VLOOKUP('Données projet'!$B$15,Paramètres!$A$1:$I$89,3,0)*VLOOKUP('Données projet'!$B$15,Paramètres!$A$1:$I$89,5,0)</f>
        <v>261.85536000000002</v>
      </c>
      <c r="EL81" s="13">
        <f t="shared" si="99"/>
        <v>63.117701913821712</v>
      </c>
      <c r="EM81" s="20">
        <f t="shared" si="73"/>
        <v>565.99474949990611</v>
      </c>
      <c r="EN81" s="57">
        <f t="shared" si="74"/>
        <v>859.32808283323948</v>
      </c>
      <c r="EO81" s="57">
        <f ca="1">AVERAGE(OFFSET($EN$3,0,0,'Données projet'!$E$15+1,1))-AVERAGE(OFFSET($H$3,0,0,'Données projet'!$E$15+1,1))</f>
        <v>250.90550982248311</v>
      </c>
      <c r="EP81" s="57">
        <f t="shared" si="100"/>
        <v>254.68874167908001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41.346297534746192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41.346297534746192</v>
      </c>
      <c r="EZ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7" t="e">
        <f t="shared" si="77"/>
        <v>#N/A</v>
      </c>
      <c r="FJ81" s="57" t="e">
        <f ca="1">AVERAGE(OFFSET($FI$3,0,0,'Données projet'!$E$16+1,1))-AVERAGE(OFFSET($H$3,0,0,'Données projet'!$E$16+1,1))</f>
        <v>#N/A</v>
      </c>
      <c r="FK81" s="57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7" t="e">
        <f t="shared" si="80"/>
        <v>#N/A</v>
      </c>
      <c r="GE81" s="57" t="e">
        <f ca="1">AVERAGE(OFFSET($GD$3,0,0,'Données projet'!$E$17+1,1))-AVERAGE(OFFSET($H$3,0,0,'Données projet'!$E$17+1,1))</f>
        <v>#N/A</v>
      </c>
      <c r="GF81" s="57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7" t="e">
        <f t="shared" si="83"/>
        <v>#N/A</v>
      </c>
      <c r="GZ81" s="57" t="e">
        <f ca="1">AVERAGE(OFFSET($GY$3,0,0,'Données projet'!$E$18+1,1))-AVERAGE(OFFSET($H$3,0,0,'Données projet'!$E$18+1,1))</f>
        <v>#N/A</v>
      </c>
      <c r="HA81" s="57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0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4">
        <f t="shared" si="56"/>
        <v>447.37137846488741</v>
      </c>
      <c r="I82" s="6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263.50272000000001</v>
      </c>
      <c r="P82" s="13">
        <f t="shared" si="87"/>
        <v>63.468433809179743</v>
      </c>
      <c r="Q82" s="20">
        <f t="shared" si="54"/>
        <v>569.4747595509881</v>
      </c>
      <c r="R82" s="57">
        <f t="shared" si="55"/>
        <v>862.80809288432147</v>
      </c>
      <c r="S82" s="57">
        <f ca="1">AVERAGE(OFFSET($R$3,0,0,'Données projet'!$E$9+1,1))-AVERAGE(OFFSET($H$3,0,0,'Données projet'!$E$9+1,1))</f>
        <v>267.44861001389006</v>
      </c>
      <c r="T82" s="57">
        <f t="shared" si="88"/>
        <v>165.25921510802965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64.805878268198015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64.805878268198015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7.2</v>
      </c>
      <c r="AI82" s="13">
        <f>IF('Données projet'!$A$62&gt;35,AI81+AH82-AQ81,IF(A82&lt;'Données projet'!$A$62,$AF$205^A82,IF(A82='Données projet'!$A$62,'Données projet'!$B$62,AI81+AH82-AQ81)))</f>
        <v>312.8</v>
      </c>
      <c r="AJ82" s="13">
        <f>AI82*VLOOKUP('Données projet'!$B$10,Paramètres!$A$1:$I$89,3,0)*VLOOKUP('Données projet'!$B$10,Paramètres!$A$1:$I$89,5,0)</f>
        <v>283.02144000000004</v>
      </c>
      <c r="AK82" s="13">
        <f t="shared" si="89"/>
        <v>67.605126603830598</v>
      </c>
      <c r="AL82" s="20">
        <f t="shared" si="58"/>
        <v>610.67460350167164</v>
      </c>
      <c r="AM82" s="57">
        <f t="shared" si="59"/>
        <v>904.00793683500501</v>
      </c>
      <c r="AN82" s="57">
        <f ca="1">AVERAGE(OFFSET($AM$3,0,0,'Données projet'!$E$10+1,1))-AVERAGE(OFFSET($H$3,0,0,'Données projet'!$E$10+1,1))</f>
        <v>294.92430430387071</v>
      </c>
      <c r="AO82" s="57">
        <f t="shared" si="90"/>
        <v>181.52228471516497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69.606313695471925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69.606313695471925</v>
      </c>
      <c r="AY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264.77567999999997</v>
      </c>
      <c r="BF82" s="13">
        <f t="shared" si="91"/>
        <v>63.739279068930159</v>
      </c>
      <c r="BG82" s="20">
        <f t="shared" si="61"/>
        <v>572.16355371171983</v>
      </c>
      <c r="BH82" s="57">
        <f t="shared" si="62"/>
        <v>865.4968870450532</v>
      </c>
      <c r="BI82" s="57">
        <f ca="1">AVERAGE(OFFSET($BH$3,0,0,'Données projet'!$E$11+1,1))-AVERAGE(OFFSET($H$3,0,0,'Données projet'!$E$11+1,1))</f>
        <v>250.90550982248311</v>
      </c>
      <c r="BJ82" s="57">
        <f t="shared" si="92"/>
        <v>254.68874167908001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40.535521858841172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40.535521858841172</v>
      </c>
      <c r="BT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739.99999999999966</v>
      </c>
      <c r="BZ82" s="13">
        <f>BY82*VLOOKUP('Données projet'!$B$12,Paramètres!$A$1:$I$89,3,0)*VLOOKUP('Données projet'!$B$12,Paramètres!$A$1:$I$89,5,0)</f>
        <v>413.65999999999985</v>
      </c>
      <c r="CA82" s="13">
        <f t="shared" si="93"/>
        <v>94.540585122244352</v>
      </c>
      <c r="CB82" s="20">
        <f t="shared" si="64"/>
        <v>885.11601908790863</v>
      </c>
      <c r="CC82" s="57">
        <f t="shared" si="65"/>
        <v>1178.4493524212419</v>
      </c>
      <c r="CD82" s="57">
        <f ca="1">AVERAGE(OFFSET($CC$3,0,0,'Données projet'!$E$12+1,1))-AVERAGE(OFFSET($H$3,0,0,'Données projet'!$E$12+1,1))</f>
        <v>462.54745364638171</v>
      </c>
      <c r="CE82" s="57">
        <f t="shared" si="94"/>
        <v>571.50914830067313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84.76897053059696</v>
      </c>
      <c r="CL82" s="21">
        <f>EXP(-LN(2)/25)*CL81+(1-EXP(-LN(2)/25))/(LN(2)/25)*Calculateur!CG82*Calculateur!CI82*VLOOKUP('Données projet'!$B$12,Paramètres!$A$1:$I$89,3,0)*0.475*44/12</f>
        <v>14.851529345847917</v>
      </c>
      <c r="CM82" s="21">
        <f>EXP(-LN(2)/2)*CM81+(1-EXP(-LN(2)/2))/(LN(2)/2)*CG82*CJ82*VLOOKUP('Données projet'!$B$12,Paramètres!$A$1:$I$89,3,0)*0.475*44/12</f>
        <v>3.5845193618978081E-8</v>
      </c>
      <c r="CN82" s="22">
        <f t="shared" si="66"/>
        <v>99.620499912290072</v>
      </c>
      <c r="CO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5.6</v>
      </c>
      <c r="CT82" s="12">
        <f>IF('Données projet'!$A$140&gt;35,CT81+CS82-DB81,IF(A82&lt;'Données projet'!$A$140,$CQ$205^A82,IF(A82='Données projet'!$A$140,'Données projet'!$B$140,CT81+CS82-DB81)))</f>
        <v>259.39999999999998</v>
      </c>
      <c r="CU82" s="17">
        <f>CT82*VLOOKUP('Données projet'!$B$13,Paramètres!$A$1:$I$89,3,0)*VLOOKUP('Données projet'!$B$13,Paramètres!$A$1:$I$89,5,0)</f>
        <v>246.84503999999998</v>
      </c>
      <c r="CV82" s="13">
        <f t="shared" si="95"/>
        <v>59.909855104873429</v>
      </c>
      <c r="CW82" s="20">
        <f t="shared" si="67"/>
        <v>534.26477564098775</v>
      </c>
      <c r="CX82" s="57">
        <f t="shared" si="68"/>
        <v>827.59810897432112</v>
      </c>
      <c r="CY82" s="57">
        <f ca="1">AVERAGE(OFFSET($CX$3,0,0,'Données projet'!$E$13+1,1))-AVERAGE(OFFSET($H$3,0,0,'Données projet'!$E$13+1,1))</f>
        <v>314.67680626853303</v>
      </c>
      <c r="CZ82" s="57">
        <f t="shared" si="96"/>
        <v>372.57247561536263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75.582452653385104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75.582452653385104</v>
      </c>
      <c r="DJ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326.39999999999998</v>
      </c>
      <c r="DP82" s="17">
        <f>DO82*VLOOKUP('Données projet'!$B$14,Paramètres!$A$1:$I$89,3,0)*VLOOKUP('Données projet'!$B$14,Paramètres!$A$1:$I$89,5,0)</f>
        <v>213.85728</v>
      </c>
      <c r="DQ82" s="13">
        <f t="shared" si="97"/>
        <v>52.777603437579678</v>
      </c>
      <c r="DR82" s="20">
        <f t="shared" si="70"/>
        <v>464.38908865378454</v>
      </c>
      <c r="DS82" s="57">
        <f t="shared" si="71"/>
        <v>757.72242198711785</v>
      </c>
      <c r="DT82" s="57">
        <f ca="1">AVERAGE(OFFSET($DS$3,0,0,'Données projet'!$E$14+1,1))-AVERAGE(OFFSET($H$3,0,0,'Données projet'!$E$14+1,1))</f>
        <v>188.80259324758066</v>
      </c>
      <c r="DU82" s="57">
        <f t="shared" si="98"/>
        <v>195.48048518255354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32.740229193679411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32.740229193679411</v>
      </c>
      <c r="EE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3.6</v>
      </c>
      <c r="EJ82" s="12">
        <f>IF('Données projet'!$A$192&gt;35,EJ81+EI82-ER81,IF(A82&lt;'Données projet'!$A$192,$EG$205^A82,IF(A82='Données projet'!$A$192,'Données projet'!$B$192,EJ81+EI82-ER81)))</f>
        <v>326.39999999999998</v>
      </c>
      <c r="EK82" s="17">
        <f>EJ82*VLOOKUP('Données projet'!$B$15,Paramètres!$A$1:$I$89,3,0)*VLOOKUP('Données projet'!$B$15,Paramètres!$A$1:$I$89,5,0)</f>
        <v>264.77567999999997</v>
      </c>
      <c r="EL82" s="13">
        <f t="shared" si="99"/>
        <v>63.739279068930159</v>
      </c>
      <c r="EM82" s="20">
        <f t="shared" si="73"/>
        <v>572.16355371171983</v>
      </c>
      <c r="EN82" s="57">
        <f t="shared" si="74"/>
        <v>865.4968870450532</v>
      </c>
      <c r="EO82" s="57">
        <f ca="1">AVERAGE(OFFSET($EN$3,0,0,'Données projet'!$E$15+1,1))-AVERAGE(OFFSET($H$3,0,0,'Données projet'!$E$15+1,1))</f>
        <v>250.90550982248311</v>
      </c>
      <c r="EP82" s="57">
        <f t="shared" si="100"/>
        <v>254.68874167908001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40.535521858841172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40.535521858841172</v>
      </c>
      <c r="EZ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7" t="e">
        <f t="shared" si="77"/>
        <v>#N/A</v>
      </c>
      <c r="FJ82" s="57" t="e">
        <f ca="1">AVERAGE(OFFSET($FI$3,0,0,'Données projet'!$E$16+1,1))-AVERAGE(OFFSET($H$3,0,0,'Données projet'!$E$16+1,1))</f>
        <v>#N/A</v>
      </c>
      <c r="FK82" s="57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7" t="e">
        <f t="shared" si="80"/>
        <v>#N/A</v>
      </c>
      <c r="GE82" s="57" t="e">
        <f ca="1">AVERAGE(OFFSET($GD$3,0,0,'Données projet'!$E$17+1,1))-AVERAGE(OFFSET($H$3,0,0,'Données projet'!$E$17+1,1))</f>
        <v>#N/A</v>
      </c>
      <c r="GF82" s="57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7" t="e">
        <f t="shared" si="83"/>
        <v>#N/A</v>
      </c>
      <c r="GZ82" s="57" t="e">
        <f ca="1">AVERAGE(OFFSET($GY$3,0,0,'Données projet'!$E$18+1,1))-AVERAGE(OFFSET($H$3,0,0,'Données projet'!$E$18+1,1))</f>
        <v>#N/A</v>
      </c>
      <c r="HA82" s="57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0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4">
        <f t="shared" si="56"/>
        <v>449.27109216153804</v>
      </c>
      <c r="I83" s="6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269.56800000000004</v>
      </c>
      <c r="P83" s="13">
        <f t="shared" si="87"/>
        <v>64.757579442439862</v>
      </c>
      <c r="Q83" s="20">
        <f t="shared" si="54"/>
        <v>582.28371752891621</v>
      </c>
      <c r="R83" s="57">
        <f t="shared" si="55"/>
        <v>875.61705086224947</v>
      </c>
      <c r="S83" s="57">
        <f ca="1">AVERAGE(OFFSET($R$3,0,0,'Données projet'!$E$9+1,1))-AVERAGE(OFFSET($H$3,0,0,'Données projet'!$E$9+1,1))</f>
        <v>267.44861001389006</v>
      </c>
      <c r="T83" s="57">
        <f t="shared" si="88"/>
        <v>165.25921510802965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74.747303425572795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74.747303425572795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320</v>
      </c>
      <c r="AG83" s="12">
        <f>VLOOKUP(A83,'Données projet'!$A$61:$I$81,9,0)</f>
        <v>7.2</v>
      </c>
      <c r="AH83" s="12">
        <f t="array" ref="AH83">INDEX(AG:AG,MIN(IF(ISNUMBER(AG83:AG279),ROW(AG83:AG279),"")))</f>
        <v>7.2</v>
      </c>
      <c r="AI83" s="13">
        <f>IF('Données projet'!$A$62&gt;35,AI82+AH83-AQ82,IF(A83&lt;'Données projet'!$A$62,$AF$205^A83,IF(A83='Données projet'!$A$62,'Données projet'!$B$62,AI82+AH83-AQ82)))</f>
        <v>320</v>
      </c>
      <c r="AJ83" s="13">
        <f>AI83*VLOOKUP('Données projet'!$B$10,Paramètres!$A$1:$I$89,3,0)*VLOOKUP('Données projet'!$B$10,Paramètres!$A$1:$I$89,5,0)</f>
        <v>289.536</v>
      </c>
      <c r="AK83" s="13">
        <f t="shared" si="89"/>
        <v>68.97829509904436</v>
      </c>
      <c r="AL83" s="20">
        <f t="shared" si="58"/>
        <v>624.41239729750225</v>
      </c>
      <c r="AM83" s="57">
        <f t="shared" si="59"/>
        <v>917.74573063083562</v>
      </c>
      <c r="AN83" s="57">
        <f ca="1">AVERAGE(OFFSET($AM$3,0,0,'Données projet'!$E$10+1,1))-AVERAGE(OFFSET($H$3,0,0,'Données projet'!$E$10+1,1))</f>
        <v>294.92430430387071</v>
      </c>
      <c r="AO83" s="57">
        <f t="shared" si="90"/>
        <v>181.52228471516497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28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80.28414071635595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80.28414071635595</v>
      </c>
      <c r="AY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267.69600000000003</v>
      </c>
      <c r="BF83" s="13">
        <f t="shared" si="91"/>
        <v>64.360058723585496</v>
      </c>
      <c r="BG83" s="20">
        <f t="shared" si="61"/>
        <v>578.33096894357811</v>
      </c>
      <c r="BH83" s="57">
        <f t="shared" si="62"/>
        <v>871.66430227691149</v>
      </c>
      <c r="BI83" s="57">
        <f ca="1">AVERAGE(OFFSET($BH$3,0,0,'Données projet'!$E$11+1,1))-AVERAGE(OFFSET($H$3,0,0,'Données projet'!$E$11+1,1))</f>
        <v>250.90550982248311</v>
      </c>
      <c r="BJ83" s="57">
        <f t="shared" si="92"/>
        <v>254.68874167908001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11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43.982308314395141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43.982308314395141</v>
      </c>
      <c r="BT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739.99999999999966</v>
      </c>
      <c r="BZ83" s="13">
        <f>BY83*VLOOKUP('Données projet'!$B$12,Paramètres!$A$1:$I$89,3,0)*VLOOKUP('Données projet'!$B$12,Paramètres!$A$1:$I$89,5,0)</f>
        <v>413.65999999999985</v>
      </c>
      <c r="CA83" s="13">
        <f t="shared" si="93"/>
        <v>94.540585122244352</v>
      </c>
      <c r="CB83" s="20">
        <f t="shared" si="64"/>
        <v>885.11601908790863</v>
      </c>
      <c r="CC83" s="57">
        <f t="shared" si="65"/>
        <v>1178.4493524212419</v>
      </c>
      <c r="CD83" s="57">
        <f ca="1">AVERAGE(OFFSET($CC$3,0,0,'Données projet'!$E$12+1,1))-AVERAGE(OFFSET($H$3,0,0,'Données projet'!$E$12+1,1))</f>
        <v>462.54745364638171</v>
      </c>
      <c r="CE83" s="57">
        <f t="shared" si="94"/>
        <v>571.50914830067313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83.106702722458635</v>
      </c>
      <c r="CL83" s="21">
        <f>EXP(-LN(2)/25)*CL82+(1-EXP(-LN(2)/25))/(LN(2)/25)*Calculateur!CG83*Calculateur!CI83*VLOOKUP('Données projet'!$B$12,Paramètres!$A$1:$I$89,3,0)*0.475*44/12</f>
        <v>14.445413494877721</v>
      </c>
      <c r="CM83" s="21">
        <f>EXP(-LN(2)/2)*CM82+(1-EXP(-LN(2)/2))/(LN(2)/2)*CG83*CJ83*VLOOKUP('Données projet'!$B$12,Paramètres!$A$1:$I$89,3,0)*0.475*44/12</f>
        <v>2.5346379480924164E-8</v>
      </c>
      <c r="CN83" s="22">
        <f t="shared" si="66"/>
        <v>97.552116242682743</v>
      </c>
      <c r="CO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265</v>
      </c>
      <c r="CR83" s="12">
        <f>VLOOKUP(A83,'Données projet'!$A$139:$I$159,9,0)</f>
        <v>5.6</v>
      </c>
      <c r="CS83" s="12">
        <f t="array" ref="CS83">INDEX(CR:CR,MIN(IF(ISNUMBER(CR83:CR279),ROW(CR83:CR279),"")))</f>
        <v>5.6</v>
      </c>
      <c r="CT83" s="12">
        <f>IF('Données projet'!$A$140&gt;35,CT82+CS83-DB82,IF(A83&lt;'Données projet'!$A$140,$CQ$205^A83,IF(A83='Données projet'!$A$140,'Données projet'!$B$140,CT82+CS83-DB82)))</f>
        <v>265</v>
      </c>
      <c r="CU83" s="17">
        <f>CT83*VLOOKUP('Données projet'!$B$13,Paramètres!$A$1:$I$89,3,0)*VLOOKUP('Données projet'!$B$13,Paramètres!$A$1:$I$89,5,0)</f>
        <v>252.17400000000001</v>
      </c>
      <c r="CV83" s="13">
        <f t="shared" si="95"/>
        <v>61.051235383411935</v>
      </c>
      <c r="CW83" s="20">
        <f t="shared" si="67"/>
        <v>545.53395162610911</v>
      </c>
      <c r="CX83" s="57">
        <f t="shared" si="68"/>
        <v>838.86728495944249</v>
      </c>
      <c r="CY83" s="57">
        <f ca="1">AVERAGE(OFFSET($CX$3,0,0,'Données projet'!$E$13+1,1))-AVERAGE(OFFSET($H$3,0,0,'Données projet'!$E$13+1,1))</f>
        <v>314.67680626853303</v>
      </c>
      <c r="CZ83" s="57">
        <f t="shared" si="96"/>
        <v>372.57247561536263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26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85.861302412764815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85.861302412764815</v>
      </c>
      <c r="DJ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330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330</v>
      </c>
      <c r="DP83" s="17">
        <f>DO83*VLOOKUP('Données projet'!$B$14,Paramètres!$A$1:$I$89,3,0)*VLOOKUP('Données projet'!$B$14,Paramètres!$A$1:$I$89,5,0)</f>
        <v>216.21600000000001</v>
      </c>
      <c r="DQ83" s="13">
        <f t="shared" si="97"/>
        <v>53.291623409473033</v>
      </c>
      <c r="DR83" s="20">
        <f t="shared" si="70"/>
        <v>469.39244410483212</v>
      </c>
      <c r="DS83" s="57">
        <f t="shared" si="71"/>
        <v>762.72577743816544</v>
      </c>
      <c r="DT83" s="57">
        <f ca="1">AVERAGE(OFFSET($DS$3,0,0,'Données projet'!$E$14+1,1))-AVERAGE(OFFSET($H$3,0,0,'Données projet'!$E$14+1,1))</f>
        <v>188.80259324758066</v>
      </c>
      <c r="DU83" s="57">
        <f t="shared" si="98"/>
        <v>195.48048518255354</v>
      </c>
      <c r="DV83" s="15">
        <f>IF(ISNA(VLOOKUP(A83,'Données projet'!$A$165:$I$185,3,0)),0,VLOOKUP(A83,'Données projet'!$A$165:$I$185,3,0))</f>
        <v>14</v>
      </c>
      <c r="DW83" s="15">
        <f>IF(ISNA(VLOOKUP(A83,'Données projet'!$A$165:$I$185,4,0)),0,VLOOKUP(A83,'Données projet'!$A$165:$I$185,4,0))</f>
        <v>11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35.524172100088386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35.524172100088386</v>
      </c>
      <c r="EE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330</v>
      </c>
      <c r="EH83" s="12">
        <f>VLOOKUP(A83,'Données projet'!$A$191:$I$211,9,0)</f>
        <v>3.6</v>
      </c>
      <c r="EI83" s="12">
        <f t="array" ref="EI83">INDEX(EH:EH,MIN(IF(ISNUMBER(EH83:EH279),ROW(EH83:EH279),"")))</f>
        <v>3.6</v>
      </c>
      <c r="EJ83" s="12">
        <f>IF('Données projet'!$A$192&gt;35,EJ82+EI83-ER82,IF(A83&lt;'Données projet'!$A$192,$EG$205^A83,IF(A83='Données projet'!$A$192,'Données projet'!$B$192,EJ82+EI83-ER82)))</f>
        <v>330</v>
      </c>
      <c r="EK83" s="17">
        <f>EJ83*VLOOKUP('Données projet'!$B$15,Paramètres!$A$1:$I$89,3,0)*VLOOKUP('Données projet'!$B$15,Paramètres!$A$1:$I$89,5,0)</f>
        <v>267.69600000000003</v>
      </c>
      <c r="EL83" s="13">
        <f t="shared" si="99"/>
        <v>64.360058723585496</v>
      </c>
      <c r="EM83" s="20">
        <f t="shared" si="73"/>
        <v>578.33096894357811</v>
      </c>
      <c r="EN83" s="57">
        <f t="shared" si="74"/>
        <v>871.66430227691149</v>
      </c>
      <c r="EO83" s="57">
        <f ca="1">AVERAGE(OFFSET($EN$3,0,0,'Données projet'!$E$15+1,1))-AVERAGE(OFFSET($H$3,0,0,'Données projet'!$E$15+1,1))</f>
        <v>250.90550982248311</v>
      </c>
      <c r="EP83" s="57">
        <f t="shared" si="100"/>
        <v>254.68874167908001</v>
      </c>
      <c r="EQ83" s="15">
        <f>IF(ISNA(VLOOKUP(A83,'Données projet'!$A$191:$I$211,3,0)),0,VLOOKUP(A83,'Données projet'!$A$191:$I$211,3,0))</f>
        <v>14</v>
      </c>
      <c r="ER83" s="15">
        <f>IF(ISNA(VLOOKUP(A83,'Données projet'!$A$191:$I$211,4,0)),0,VLOOKUP(A83,'Données projet'!$A$191:$I$211,4,0))</f>
        <v>11</v>
      </c>
      <c r="ES83" s="16">
        <f>IF(ISNA(VLOOKUP(A83,'Données projet'!$A$191:$I$211,5,0)),0%,VLOOKUP(A83,'Données projet'!$A$191:$I$211,5,0)*VLOOKUP('Données projet'!$B$15,Paramètres!$A$1:$I$89,7,0))</f>
        <v>0.43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43.982308314395141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43.982308314395141</v>
      </c>
      <c r="EZ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7" t="e">
        <f t="shared" si="77"/>
        <v>#N/A</v>
      </c>
      <c r="FJ83" s="57" t="e">
        <f ca="1">AVERAGE(OFFSET($FI$3,0,0,'Données projet'!$E$16+1,1))-AVERAGE(OFFSET($H$3,0,0,'Données projet'!$E$16+1,1))</f>
        <v>#N/A</v>
      </c>
      <c r="FK83" s="57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7" t="e">
        <f t="shared" si="80"/>
        <v>#N/A</v>
      </c>
      <c r="GE83" s="57" t="e">
        <f ca="1">AVERAGE(OFFSET($GD$3,0,0,'Données projet'!$E$17+1,1))-AVERAGE(OFFSET($H$3,0,0,'Données projet'!$E$17+1,1))</f>
        <v>#N/A</v>
      </c>
      <c r="GF83" s="57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7" t="e">
        <f t="shared" si="83"/>
        <v>#N/A</v>
      </c>
      <c r="GZ83" s="57" t="e">
        <f ca="1">AVERAGE(OFFSET($GY$3,0,0,'Données projet'!$E$18+1,1))-AVERAGE(OFFSET($H$3,0,0,'Données projet'!$E$18+1,1))</f>
        <v>#N/A</v>
      </c>
      <c r="HA83" s="57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0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4">
        <f t="shared" si="56"/>
        <v>451.1702559713458</v>
      </c>
      <c r="I84" s="6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251.70912000000001</v>
      </c>
      <c r="P84" s="13">
        <f t="shared" si="87"/>
        <v>60.951777927910598</v>
      </c>
      <c r="Q84" s="20">
        <f t="shared" si="54"/>
        <v>544.55106389111097</v>
      </c>
      <c r="R84" s="57">
        <f t="shared" si="55"/>
        <v>837.88439722444423</v>
      </c>
      <c r="S84" s="57">
        <f ca="1">AVERAGE(OFFSET($R$3,0,0,'Données projet'!$E$9+1,1))-AVERAGE(OFFSET($H$3,0,0,'Données projet'!$E$9+1,1))</f>
        <v>267.44861001389006</v>
      </c>
      <c r="T84" s="57">
        <f t="shared" si="88"/>
        <v>165.25921510802965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73.281554396750636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73.281554396750636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6.8</v>
      </c>
      <c r="AI84" s="13">
        <f>IF('Données projet'!$A$62&gt;35,AI83+AH84-AQ83,IF(A84&lt;'Données projet'!$A$62,$AF$205^A84,IF(A84='Données projet'!$A$62,'Données projet'!$B$62,AI83+AH84-AQ83)))</f>
        <v>298.8</v>
      </c>
      <c r="AJ84" s="13">
        <f>AI84*VLOOKUP('Données projet'!$B$10,Paramètres!$A$1:$I$89,3,0)*VLOOKUP('Données projet'!$B$10,Paramètres!$A$1:$I$89,5,0)</f>
        <v>270.35424</v>
      </c>
      <c r="AK84" s="13">
        <f t="shared" si="89"/>
        <v>64.924442218534367</v>
      </c>
      <c r="AL84" s="20">
        <f t="shared" si="58"/>
        <v>583.94370486394735</v>
      </c>
      <c r="AM84" s="57">
        <f t="shared" si="59"/>
        <v>877.27703819728072</v>
      </c>
      <c r="AN84" s="57">
        <f ca="1">AVERAGE(OFFSET($AM$3,0,0,'Données projet'!$E$10+1,1))-AVERAGE(OFFSET($H$3,0,0,'Données projet'!$E$10+1,1))</f>
        <v>294.92430430387071</v>
      </c>
      <c r="AO84" s="57">
        <f t="shared" si="90"/>
        <v>181.52228471516497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78.709817685398804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78.709817685398804</v>
      </c>
      <c r="AY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319</v>
      </c>
      <c r="BE84" s="13">
        <f>BD84*VLOOKUP('Données projet'!$B$11,Paramètres!$A$1:$I$89,3,0)*VLOOKUP('Données projet'!$B$11,Paramètres!$A$1:$I$89,5,0)</f>
        <v>258.77280000000002</v>
      </c>
      <c r="BF84" s="13">
        <f t="shared" si="91"/>
        <v>62.460716522234691</v>
      </c>
      <c r="BG84" s="20">
        <f t="shared" si="61"/>
        <v>559.48170794289206</v>
      </c>
      <c r="BH84" s="57">
        <f t="shared" si="62"/>
        <v>852.81504127622543</v>
      </c>
      <c r="BI84" s="57">
        <f ca="1">AVERAGE(OFFSET($BH$3,0,0,'Données projet'!$E$11+1,1))-AVERAGE(OFFSET($H$3,0,0,'Données projet'!$E$11+1,1))</f>
        <v>250.90550982248311</v>
      </c>
      <c r="BJ84" s="57">
        <f t="shared" si="92"/>
        <v>254.68874167908001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43.119842074909023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43.119842074909023</v>
      </c>
      <c r="BT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739.99999999999966</v>
      </c>
      <c r="BZ84" s="13">
        <f>BY84*VLOOKUP('Données projet'!$B$12,Paramètres!$A$1:$I$89,3,0)*VLOOKUP('Données projet'!$B$12,Paramètres!$A$1:$I$89,5,0)</f>
        <v>413.65999999999985</v>
      </c>
      <c r="CA84" s="13">
        <f t="shared" si="93"/>
        <v>94.540585122244352</v>
      </c>
      <c r="CB84" s="20">
        <f t="shared" si="64"/>
        <v>885.11601908790863</v>
      </c>
      <c r="CC84" s="57">
        <f t="shared" si="65"/>
        <v>1178.4493524212419</v>
      </c>
      <c r="CD84" s="57">
        <f ca="1">AVERAGE(OFFSET($CC$3,0,0,'Données projet'!$E$12+1,1))-AVERAGE(OFFSET($H$3,0,0,'Données projet'!$E$12+1,1))</f>
        <v>462.54745364638171</v>
      </c>
      <c r="CE84" s="57">
        <f t="shared" si="94"/>
        <v>571.50914830067313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81.477030972154651</v>
      </c>
      <c r="CL84" s="21">
        <f>EXP(-LN(2)/25)*CL83+(1-EXP(-LN(2)/25))/(LN(2)/25)*Calculateur!CG84*Calculateur!CI84*VLOOKUP('Données projet'!$B$12,Paramètres!$A$1:$I$89,3,0)*0.475*44/12</f>
        <v>14.05040290320901</v>
      </c>
      <c r="CM84" s="21">
        <f>EXP(-LN(2)/2)*CM83+(1-EXP(-LN(2)/2))/(LN(2)/2)*CG84*CJ84*VLOOKUP('Données projet'!$B$12,Paramètres!$A$1:$I$89,3,0)*0.475*44/12</f>
        <v>1.792259680948904E-8</v>
      </c>
      <c r="CN84" s="22">
        <f t="shared" si="66"/>
        <v>95.527433893286258</v>
      </c>
      <c r="CO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5.4</v>
      </c>
      <c r="CT84" s="12">
        <f>IF('Données projet'!$A$140&gt;35,CT83+CS84-DB83,IF(A84&lt;'Données projet'!$A$140,$CQ$205^A84,IF(A84='Données projet'!$A$140,'Données projet'!$B$140,CT83+CS84-DB83)))</f>
        <v>244.39999999999998</v>
      </c>
      <c r="CU84" s="17">
        <f>CT84*VLOOKUP('Données projet'!$B$13,Paramètres!$A$1:$I$89,3,0)*VLOOKUP('Données projet'!$B$13,Paramètres!$A$1:$I$89,5,0)</f>
        <v>232.57103999999998</v>
      </c>
      <c r="CV84" s="13">
        <f t="shared" si="95"/>
        <v>56.838240313256655</v>
      </c>
      <c r="CW84" s="20">
        <f t="shared" si="67"/>
        <v>504.05449654558862</v>
      </c>
      <c r="CX84" s="57">
        <f t="shared" si="68"/>
        <v>797.38782987892193</v>
      </c>
      <c r="CY84" s="57">
        <f ca="1">AVERAGE(OFFSET($CX$3,0,0,'Données projet'!$E$13+1,1))-AVERAGE(OFFSET($H$3,0,0,'Données projet'!$E$13+1,1))</f>
        <v>314.67680626853303</v>
      </c>
      <c r="CZ84" s="57">
        <f t="shared" si="96"/>
        <v>372.57247561536263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84.177614642673845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84.177614642673845</v>
      </c>
      <c r="DJ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319</v>
      </c>
      <c r="DP84" s="17">
        <f>DO84*VLOOKUP('Données projet'!$B$14,Paramètres!$A$1:$I$89,3,0)*VLOOKUP('Données projet'!$B$14,Paramètres!$A$1:$I$89,5,0)</f>
        <v>209.00879999999998</v>
      </c>
      <c r="DQ84" s="13">
        <f t="shared" si="97"/>
        <v>51.718923953824202</v>
      </c>
      <c r="DR84" s="20">
        <f t="shared" si="70"/>
        <v>454.10078588624373</v>
      </c>
      <c r="DS84" s="57">
        <f t="shared" si="71"/>
        <v>747.43411921957704</v>
      </c>
      <c r="DT84" s="57">
        <f ca="1">AVERAGE(OFFSET($DS$3,0,0,'Données projet'!$E$14+1,1))-AVERAGE(OFFSET($H$3,0,0,'Données projet'!$E$14+1,1))</f>
        <v>188.80259324758066</v>
      </c>
      <c r="DU84" s="57">
        <f t="shared" si="98"/>
        <v>195.48048518255354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34.827564752811135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34.827564752811135</v>
      </c>
      <c r="EE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319</v>
      </c>
      <c r="EK84" s="17">
        <f>EJ84*VLOOKUP('Données projet'!$B$15,Paramètres!$A$1:$I$89,3,0)*VLOOKUP('Données projet'!$B$15,Paramètres!$A$1:$I$89,5,0)</f>
        <v>258.77280000000002</v>
      </c>
      <c r="EL84" s="13">
        <f t="shared" si="99"/>
        <v>62.460716522234691</v>
      </c>
      <c r="EM84" s="20">
        <f t="shared" si="73"/>
        <v>559.48170794289206</v>
      </c>
      <c r="EN84" s="57">
        <f t="shared" si="74"/>
        <v>852.81504127622543</v>
      </c>
      <c r="EO84" s="57">
        <f ca="1">AVERAGE(OFFSET($EN$3,0,0,'Données projet'!$E$15+1,1))-AVERAGE(OFFSET($H$3,0,0,'Données projet'!$E$15+1,1))</f>
        <v>250.90550982248311</v>
      </c>
      <c r="EP84" s="57">
        <f t="shared" si="100"/>
        <v>254.68874167908001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43.119842074909023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43.119842074909023</v>
      </c>
      <c r="EZ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7" t="e">
        <f t="shared" si="77"/>
        <v>#N/A</v>
      </c>
      <c r="FJ84" s="57" t="e">
        <f ca="1">AVERAGE(OFFSET($FI$3,0,0,'Données projet'!$E$16+1,1))-AVERAGE(OFFSET($H$3,0,0,'Données projet'!$E$16+1,1))</f>
        <v>#N/A</v>
      </c>
      <c r="FK84" s="57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7" t="e">
        <f t="shared" si="80"/>
        <v>#N/A</v>
      </c>
      <c r="GE84" s="57" t="e">
        <f ca="1">AVERAGE(OFFSET($GD$3,0,0,'Données projet'!$E$17+1,1))-AVERAGE(OFFSET($H$3,0,0,'Données projet'!$E$17+1,1))</f>
        <v>#N/A</v>
      </c>
      <c r="GF84" s="57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7" t="e">
        <f t="shared" si="83"/>
        <v>#N/A</v>
      </c>
      <c r="GZ84" s="57" t="e">
        <f ca="1">AVERAGE(OFFSET($GY$3,0,0,'Données projet'!$E$18+1,1))-AVERAGE(OFFSET($H$3,0,0,'Données projet'!$E$18+1,1))</f>
        <v>#N/A</v>
      </c>
      <c r="HA84" s="57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0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4">
        <f t="shared" si="56"/>
        <v>453.06887746818882</v>
      </c>
      <c r="I85" s="6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257.43744000000004</v>
      </c>
      <c r="P85" s="13">
        <f t="shared" si="87"/>
        <v>62.175829233865038</v>
      </c>
      <c r="Q85" s="20">
        <f t="shared" si="54"/>
        <v>556.65977724898164</v>
      </c>
      <c r="R85" s="57">
        <f t="shared" si="55"/>
        <v>849.99311058231501</v>
      </c>
      <c r="S85" s="57">
        <f ca="1">AVERAGE(OFFSET($R$3,0,0,'Données projet'!$E$9+1,1))-AVERAGE(OFFSET($H$3,0,0,'Données projet'!$E$9+1,1))</f>
        <v>267.44861001389006</v>
      </c>
      <c r="T85" s="57">
        <f t="shared" si="88"/>
        <v>165.25921510802965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71.844547812365036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71.844547812365036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6.8</v>
      </c>
      <c r="AI85" s="13">
        <f>IF('Données projet'!$A$62&gt;35,AI84+AH85-AQ84,IF(A85&lt;'Données projet'!$A$62,$AF$205^A85,IF(A85='Données projet'!$A$62,'Données projet'!$B$62,AI84+AH85-AQ84)))</f>
        <v>305.60000000000002</v>
      </c>
      <c r="AJ85" s="13">
        <f>AI85*VLOOKUP('Données projet'!$B$10,Paramètres!$A$1:$I$89,3,0)*VLOOKUP('Données projet'!$B$10,Paramètres!$A$1:$I$89,5,0)</f>
        <v>276.50687999999997</v>
      </c>
      <c r="AK85" s="13">
        <f t="shared" si="89"/>
        <v>66.228273722513677</v>
      </c>
      <c r="AL85" s="20">
        <f t="shared" si="58"/>
        <v>596.93039273337797</v>
      </c>
      <c r="AM85" s="57">
        <f t="shared" si="59"/>
        <v>890.26372606671134</v>
      </c>
      <c r="AN85" s="57">
        <f ca="1">AVERAGE(OFFSET($AM$3,0,0,'Données projet'!$E$10+1,1))-AVERAGE(OFFSET($H$3,0,0,'Données projet'!$E$10+1,1))</f>
        <v>294.92430430387071</v>
      </c>
      <c r="AO85" s="57">
        <f t="shared" si="90"/>
        <v>181.52228471516497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77.166366168836504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77.166366168836504</v>
      </c>
      <c r="AY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319</v>
      </c>
      <c r="BE85" s="13">
        <f>BD85*VLOOKUP('Données projet'!$B$11,Paramètres!$A$1:$I$89,3,0)*VLOOKUP('Données projet'!$B$11,Paramètres!$A$1:$I$89,5,0)</f>
        <v>258.77280000000002</v>
      </c>
      <c r="BF85" s="13">
        <f t="shared" si="91"/>
        <v>62.460716522234691</v>
      </c>
      <c r="BG85" s="20">
        <f t="shared" si="61"/>
        <v>559.48170794289206</v>
      </c>
      <c r="BH85" s="57">
        <f t="shared" si="62"/>
        <v>852.81504127622543</v>
      </c>
      <c r="BI85" s="57">
        <f ca="1">AVERAGE(OFFSET($BH$3,0,0,'Données projet'!$E$11+1,1))-AVERAGE(OFFSET($H$3,0,0,'Données projet'!$E$11+1,1))</f>
        <v>250.90550982248311</v>
      </c>
      <c r="BJ85" s="57">
        <f t="shared" si="92"/>
        <v>254.68874167908001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42.274288272326764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42.274288272326764</v>
      </c>
      <c r="BT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739.99999999999966</v>
      </c>
      <c r="BZ85" s="13">
        <f>BY85*VLOOKUP('Données projet'!$B$12,Paramètres!$A$1:$I$89,3,0)*VLOOKUP('Données projet'!$B$12,Paramètres!$A$1:$I$89,5,0)</f>
        <v>413.65999999999985</v>
      </c>
      <c r="CA85" s="13">
        <f t="shared" si="93"/>
        <v>94.540585122244352</v>
      </c>
      <c r="CB85" s="20">
        <f t="shared" si="64"/>
        <v>885.11601908790863</v>
      </c>
      <c r="CC85" s="57">
        <f t="shared" si="65"/>
        <v>1178.4493524212419</v>
      </c>
      <c r="CD85" s="57">
        <f ca="1">AVERAGE(OFFSET($CC$3,0,0,'Données projet'!$E$12+1,1))-AVERAGE(OFFSET($H$3,0,0,'Données projet'!$E$12+1,1))</f>
        <v>462.54745364638171</v>
      </c>
      <c r="CE85" s="57">
        <f t="shared" si="94"/>
        <v>571.50914830067313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79.879316090872507</v>
      </c>
      <c r="CL85" s="21">
        <f>EXP(-LN(2)/25)*CL84+(1-EXP(-LN(2)/25))/(LN(2)/25)*Calculateur!CG85*Calculateur!CI85*VLOOKUP('Données projet'!$B$12,Paramètres!$A$1:$I$89,3,0)*0.475*44/12</f>
        <v>13.666193896942183</v>
      </c>
      <c r="CM85" s="21">
        <f>EXP(-LN(2)/2)*CM84+(1-EXP(-LN(2)/2))/(LN(2)/2)*CG85*CJ85*VLOOKUP('Données projet'!$B$12,Paramètres!$A$1:$I$89,3,0)*0.475*44/12</f>
        <v>1.2673189740462082E-8</v>
      </c>
      <c r="CN85" s="22">
        <f t="shared" si="66"/>
        <v>93.545510000487866</v>
      </c>
      <c r="CO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5.4</v>
      </c>
      <c r="CT85" s="12">
        <f>IF('Données projet'!$A$140&gt;35,CT84+CS85-DB84,IF(A85&lt;'Données projet'!$A$140,$CQ$205^A85,IF(A85='Données projet'!$A$140,'Données projet'!$B$140,CT84+CS85-DB84)))</f>
        <v>249.79999999999998</v>
      </c>
      <c r="CU85" s="17">
        <f>CT85*VLOOKUP('Données projet'!$B$13,Paramètres!$A$1:$I$89,3,0)*VLOOKUP('Données projet'!$B$13,Paramètres!$A$1:$I$89,5,0)</f>
        <v>237.70967999999999</v>
      </c>
      <c r="CV85" s="13">
        <f t="shared" si="95"/>
        <v>57.946482312606733</v>
      </c>
      <c r="CW85" s="20">
        <f t="shared" si="67"/>
        <v>514.93448269445673</v>
      </c>
      <c r="CX85" s="57">
        <f t="shared" si="68"/>
        <v>808.2678160277901</v>
      </c>
      <c r="CY85" s="57">
        <f ca="1">AVERAGE(OFFSET($CX$3,0,0,'Données projet'!$E$13+1,1))-AVERAGE(OFFSET($H$3,0,0,'Données projet'!$E$13+1,1))</f>
        <v>314.67680626853303</v>
      </c>
      <c r="CZ85" s="57">
        <f t="shared" si="96"/>
        <v>372.57247561536263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82.526942962806217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82.526942962806217</v>
      </c>
      <c r="DJ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319</v>
      </c>
      <c r="DP85" s="17">
        <f>DO85*VLOOKUP('Données projet'!$B$14,Paramètres!$A$1:$I$89,3,0)*VLOOKUP('Données projet'!$B$14,Paramètres!$A$1:$I$89,5,0)</f>
        <v>209.00879999999998</v>
      </c>
      <c r="DQ85" s="13">
        <f t="shared" si="97"/>
        <v>51.718923953824202</v>
      </c>
      <c r="DR85" s="20">
        <f t="shared" si="70"/>
        <v>454.10078588624373</v>
      </c>
      <c r="DS85" s="57">
        <f t="shared" si="71"/>
        <v>747.43411921957704</v>
      </c>
      <c r="DT85" s="57">
        <f ca="1">AVERAGE(OFFSET($DS$3,0,0,'Données projet'!$E$14+1,1))-AVERAGE(OFFSET($H$3,0,0,'Données projet'!$E$14+1,1))</f>
        <v>188.80259324758066</v>
      </c>
      <c r="DU85" s="57">
        <f t="shared" si="98"/>
        <v>195.48048518255354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34.144617450725463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34.144617450725463</v>
      </c>
      <c r="EE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319</v>
      </c>
      <c r="EK85" s="17">
        <f>EJ85*VLOOKUP('Données projet'!$B$15,Paramètres!$A$1:$I$89,3,0)*VLOOKUP('Données projet'!$B$15,Paramètres!$A$1:$I$89,5,0)</f>
        <v>258.77280000000002</v>
      </c>
      <c r="EL85" s="13">
        <f t="shared" si="99"/>
        <v>62.460716522234691</v>
      </c>
      <c r="EM85" s="20">
        <f t="shared" si="73"/>
        <v>559.48170794289206</v>
      </c>
      <c r="EN85" s="57">
        <f t="shared" si="74"/>
        <v>852.81504127622543</v>
      </c>
      <c r="EO85" s="57">
        <f ca="1">AVERAGE(OFFSET($EN$3,0,0,'Données projet'!$E$15+1,1))-AVERAGE(OFFSET($H$3,0,0,'Données projet'!$E$15+1,1))</f>
        <v>250.90550982248311</v>
      </c>
      <c r="EP85" s="57">
        <f t="shared" si="100"/>
        <v>254.68874167908001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42.274288272326764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42.274288272326764</v>
      </c>
      <c r="EZ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7" t="e">
        <f t="shared" si="77"/>
        <v>#N/A</v>
      </c>
      <c r="FJ85" s="57" t="e">
        <f ca="1">AVERAGE(OFFSET($FI$3,0,0,'Données projet'!$E$16+1,1))-AVERAGE(OFFSET($H$3,0,0,'Données projet'!$E$16+1,1))</f>
        <v>#N/A</v>
      </c>
      <c r="FK85" s="57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7" t="e">
        <f t="shared" si="80"/>
        <v>#N/A</v>
      </c>
      <c r="GE85" s="57" t="e">
        <f ca="1">AVERAGE(OFFSET($GD$3,0,0,'Données projet'!$E$17+1,1))-AVERAGE(OFFSET($H$3,0,0,'Données projet'!$E$17+1,1))</f>
        <v>#N/A</v>
      </c>
      <c r="GF85" s="57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7" t="e">
        <f t="shared" si="83"/>
        <v>#N/A</v>
      </c>
      <c r="GZ85" s="57" t="e">
        <f ca="1">AVERAGE(OFFSET($GY$3,0,0,'Données projet'!$E$18+1,1))-AVERAGE(OFFSET($H$3,0,0,'Données projet'!$E$18+1,1))</f>
        <v>#N/A</v>
      </c>
      <c r="HA85" s="57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0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4">
        <f t="shared" si="56"/>
        <v>454.96696403058957</v>
      </c>
      <c r="I86" s="6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263.16576000000003</v>
      </c>
      <c r="P86" s="13">
        <f t="shared" si="87"/>
        <v>63.396714008817959</v>
      </c>
      <c r="Q86" s="20">
        <f t="shared" si="54"/>
        <v>568.76297556535803</v>
      </c>
      <c r="R86" s="57">
        <f t="shared" si="55"/>
        <v>862.0963088986914</v>
      </c>
      <c r="S86" s="57">
        <f ca="1">AVERAGE(OFFSET($R$3,0,0,'Données projet'!$E$9+1,1))-AVERAGE(OFFSET($H$3,0,0,'Données projet'!$E$9+1,1))</f>
        <v>267.44861001389006</v>
      </c>
      <c r="T86" s="57">
        <f t="shared" si="88"/>
        <v>165.25921510802965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70.435720050611778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70.435720050611778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6.8</v>
      </c>
      <c r="AI86" s="13">
        <f>IF('Données projet'!$A$62&gt;35,AI85+AH86-AQ85,IF(A86&lt;'Données projet'!$A$62,$AF$205^A86,IF(A86='Données projet'!$A$62,'Données projet'!$B$62,AI85+AH86-AQ85)))</f>
        <v>312.40000000000003</v>
      </c>
      <c r="AJ86" s="13">
        <f>AI86*VLOOKUP('Données projet'!$B$10,Paramètres!$A$1:$I$89,3,0)*VLOOKUP('Données projet'!$B$10,Paramètres!$A$1:$I$89,5,0)</f>
        <v>282.65952000000004</v>
      </c>
      <c r="AK86" s="13">
        <f t="shared" si="89"/>
        <v>67.528732309967324</v>
      </c>
      <c r="AL86" s="20">
        <f t="shared" si="58"/>
        <v>609.91120610652649</v>
      </c>
      <c r="AM86" s="57">
        <f t="shared" si="59"/>
        <v>903.24453943985986</v>
      </c>
      <c r="AN86" s="57">
        <f ca="1">AVERAGE(OFFSET($AM$3,0,0,'Données projet'!$E$10+1,1))-AVERAGE(OFFSET($H$3,0,0,'Données projet'!$E$10+1,1))</f>
        <v>294.92430430387071</v>
      </c>
      <c r="AO86" s="57">
        <f t="shared" si="90"/>
        <v>181.52228471516497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75.65318079510152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75.65318079510152</v>
      </c>
      <c r="AY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319</v>
      </c>
      <c r="BE86" s="13">
        <f>BD86*VLOOKUP('Données projet'!$B$11,Paramètres!$A$1:$I$89,3,0)*VLOOKUP('Données projet'!$B$11,Paramètres!$A$1:$I$89,5,0)</f>
        <v>258.77280000000002</v>
      </c>
      <c r="BF86" s="13">
        <f t="shared" si="91"/>
        <v>62.460716522234691</v>
      </c>
      <c r="BG86" s="20">
        <f t="shared" si="61"/>
        <v>559.48170794289206</v>
      </c>
      <c r="BH86" s="57">
        <f t="shared" si="62"/>
        <v>852.81504127622543</v>
      </c>
      <c r="BI86" s="57">
        <f ca="1">AVERAGE(OFFSET($BH$3,0,0,'Données projet'!$E$11+1,1))-AVERAGE(OFFSET($H$3,0,0,'Données projet'!$E$11+1,1))</f>
        <v>250.90550982248311</v>
      </c>
      <c r="BJ86" s="57">
        <f t="shared" si="92"/>
        <v>254.68874167908001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41.44531526407625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41.44531526407625</v>
      </c>
      <c r="BT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739.99999999999966</v>
      </c>
      <c r="BZ86" s="13">
        <f>BY86*VLOOKUP('Données projet'!$B$12,Paramètres!$A$1:$I$89,3,0)*VLOOKUP('Données projet'!$B$12,Paramètres!$A$1:$I$89,5,0)</f>
        <v>413.65999999999985</v>
      </c>
      <c r="CA86" s="13">
        <f t="shared" si="93"/>
        <v>94.540585122244352</v>
      </c>
      <c r="CB86" s="20">
        <f t="shared" si="64"/>
        <v>885.11601908790863</v>
      </c>
      <c r="CC86" s="57">
        <f t="shared" si="65"/>
        <v>1178.4493524212419</v>
      </c>
      <c r="CD86" s="57">
        <f ca="1">AVERAGE(OFFSET($CC$3,0,0,'Données projet'!$E$12+1,1))-AVERAGE(OFFSET($H$3,0,0,'Données projet'!$E$12+1,1))</f>
        <v>462.54745364638171</v>
      </c>
      <c r="CE86" s="57">
        <f t="shared" si="94"/>
        <v>571.50914830067313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78.312931423902455</v>
      </c>
      <c r="CL86" s="21">
        <f>EXP(-LN(2)/25)*CL85+(1-EXP(-LN(2)/25))/(LN(2)/25)*Calculateur!CG86*Calculateur!CI86*VLOOKUP('Données projet'!$B$12,Paramètres!$A$1:$I$89,3,0)*0.475*44/12</f>
        <v>13.292491106156396</v>
      </c>
      <c r="CM86" s="21">
        <f>EXP(-LN(2)/2)*CM85+(1-EXP(-LN(2)/2))/(LN(2)/2)*CG86*CJ86*VLOOKUP('Données projet'!$B$12,Paramètres!$A$1:$I$89,3,0)*0.475*44/12</f>
        <v>8.9612984047445202E-9</v>
      </c>
      <c r="CN86" s="22">
        <f t="shared" si="66"/>
        <v>91.60542253902014</v>
      </c>
      <c r="CO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5.4</v>
      </c>
      <c r="CT86" s="12">
        <f>IF('Données projet'!$A$140&gt;35,CT85+CS86-DB85,IF(A86&lt;'Données projet'!$A$140,$CQ$205^A86,IF(A86='Données projet'!$A$140,'Données projet'!$B$140,CT85+CS86-DB85)))</f>
        <v>255.2</v>
      </c>
      <c r="CU86" s="17">
        <f>CT86*VLOOKUP('Données projet'!$B$13,Paramètres!$A$1:$I$89,3,0)*VLOOKUP('Données projet'!$B$13,Paramètres!$A$1:$I$89,5,0)</f>
        <v>242.84832</v>
      </c>
      <c r="CV86" s="13">
        <f t="shared" si="95"/>
        <v>59.051938970892948</v>
      </c>
      <c r="CW86" s="20">
        <f t="shared" si="67"/>
        <v>525.80961770763849</v>
      </c>
      <c r="CX86" s="57">
        <f t="shared" si="68"/>
        <v>819.14295104097187</v>
      </c>
      <c r="CY86" s="57">
        <f ca="1">AVERAGE(OFFSET($CX$3,0,0,'Données projet'!$E$13+1,1))-AVERAGE(OFFSET($H$3,0,0,'Données projet'!$E$13+1,1))</f>
        <v>314.67680626853303</v>
      </c>
      <c r="CZ86" s="57">
        <f t="shared" si="96"/>
        <v>372.57247561536263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80.908639947770482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80.908639947770482</v>
      </c>
      <c r="DJ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319</v>
      </c>
      <c r="DP86" s="17">
        <f>DO86*VLOOKUP('Données projet'!$B$14,Paramètres!$A$1:$I$89,3,0)*VLOOKUP('Données projet'!$B$14,Paramètres!$A$1:$I$89,5,0)</f>
        <v>209.00879999999998</v>
      </c>
      <c r="DQ86" s="13">
        <f t="shared" si="97"/>
        <v>51.718923953824202</v>
      </c>
      <c r="DR86" s="20">
        <f t="shared" si="70"/>
        <v>454.10078588624373</v>
      </c>
      <c r="DS86" s="57">
        <f t="shared" si="71"/>
        <v>747.43411921957704</v>
      </c>
      <c r="DT86" s="57">
        <f ca="1">AVERAGE(OFFSET($DS$3,0,0,'Données projet'!$E$14+1,1))-AVERAGE(OFFSET($H$3,0,0,'Données projet'!$E$14+1,1))</f>
        <v>188.80259324758066</v>
      </c>
      <c r="DU86" s="57">
        <f t="shared" si="98"/>
        <v>195.48048518255354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33.47506232867697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33.47506232867697</v>
      </c>
      <c r="EE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319</v>
      </c>
      <c r="EK86" s="17">
        <f>EJ86*VLOOKUP('Données projet'!$B$15,Paramètres!$A$1:$I$89,3,0)*VLOOKUP('Données projet'!$B$15,Paramètres!$A$1:$I$89,5,0)</f>
        <v>258.77280000000002</v>
      </c>
      <c r="EL86" s="13">
        <f t="shared" si="99"/>
        <v>62.460716522234691</v>
      </c>
      <c r="EM86" s="20">
        <f t="shared" si="73"/>
        <v>559.48170794289206</v>
      </c>
      <c r="EN86" s="57">
        <f t="shared" si="74"/>
        <v>852.81504127622543</v>
      </c>
      <c r="EO86" s="57">
        <f ca="1">AVERAGE(OFFSET($EN$3,0,0,'Données projet'!$E$15+1,1))-AVERAGE(OFFSET($H$3,0,0,'Données projet'!$E$15+1,1))</f>
        <v>250.90550982248311</v>
      </c>
      <c r="EP86" s="57">
        <f t="shared" si="100"/>
        <v>254.68874167908001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41.44531526407625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41.44531526407625</v>
      </c>
      <c r="EZ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7" t="e">
        <f t="shared" si="77"/>
        <v>#N/A</v>
      </c>
      <c r="FJ86" s="57" t="e">
        <f ca="1">AVERAGE(OFFSET($FI$3,0,0,'Données projet'!$E$16+1,1))-AVERAGE(OFFSET($H$3,0,0,'Données projet'!$E$16+1,1))</f>
        <v>#N/A</v>
      </c>
      <c r="FK86" s="57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7" t="e">
        <f t="shared" si="80"/>
        <v>#N/A</v>
      </c>
      <c r="GE86" s="57" t="e">
        <f ca="1">AVERAGE(OFFSET($GD$3,0,0,'Données projet'!$E$17+1,1))-AVERAGE(OFFSET($H$3,0,0,'Données projet'!$E$17+1,1))</f>
        <v>#N/A</v>
      </c>
      <c r="GF86" s="57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7" t="e">
        <f t="shared" si="83"/>
        <v>#N/A</v>
      </c>
      <c r="GZ86" s="57" t="e">
        <f ca="1">AVERAGE(OFFSET($GY$3,0,0,'Données projet'!$E$18+1,1))-AVERAGE(OFFSET($H$3,0,0,'Données projet'!$E$18+1,1))</f>
        <v>#N/A</v>
      </c>
      <c r="HA86" s="57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0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4">
        <f t="shared" si="56"/>
        <v>456.86452284904533</v>
      </c>
      <c r="I87" s="6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268.89408000000003</v>
      </c>
      <c r="P87" s="13">
        <f t="shared" si="87"/>
        <v>64.614509116360949</v>
      </c>
      <c r="Q87" s="20">
        <f t="shared" si="54"/>
        <v>580.86079271099538</v>
      </c>
      <c r="R87" s="57">
        <f t="shared" si="55"/>
        <v>874.19412604432864</v>
      </c>
      <c r="S87" s="57">
        <f ca="1">AVERAGE(OFFSET($R$3,0,0,'Données projet'!$E$9+1,1))-AVERAGE(OFFSET($H$3,0,0,'Données projet'!$E$9+1,1))</f>
        <v>267.44861001389006</v>
      </c>
      <c r="T87" s="57">
        <f t="shared" si="88"/>
        <v>165.25921510802965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69.054518541966416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69.054518541966416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6.8</v>
      </c>
      <c r="AI87" s="13">
        <f>IF('Données projet'!$A$62&gt;35,AI86+AH87-AQ86,IF(A87&lt;'Données projet'!$A$62,$AF$205^A87,IF(A87='Données projet'!$A$62,'Données projet'!$B$62,AI86+AH87-AQ86)))</f>
        <v>319.20000000000005</v>
      </c>
      <c r="AJ87" s="13">
        <f>AI87*VLOOKUP('Données projet'!$B$10,Paramètres!$A$1:$I$89,3,0)*VLOOKUP('Données projet'!$B$10,Paramètres!$A$1:$I$89,5,0)</f>
        <v>288.81216000000006</v>
      </c>
      <c r="AK87" s="13">
        <f t="shared" si="89"/>
        <v>68.825899854238159</v>
      </c>
      <c r="AL87" s="20">
        <f t="shared" si="58"/>
        <v>622.88628757946492</v>
      </c>
      <c r="AM87" s="57">
        <f t="shared" si="59"/>
        <v>916.21962091279829</v>
      </c>
      <c r="AN87" s="57">
        <f ca="1">AVERAGE(OFFSET($AM$3,0,0,'Données projet'!$E$10+1,1))-AVERAGE(OFFSET($H$3,0,0,'Données projet'!$E$10+1,1))</f>
        <v>294.92430430387071</v>
      </c>
      <c r="AO87" s="57">
        <f t="shared" si="90"/>
        <v>181.52228471516497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74.169668063593534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74.169668063593534</v>
      </c>
      <c r="AY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319</v>
      </c>
      <c r="BE87" s="13">
        <f>BD87*VLOOKUP('Données projet'!$B$11,Paramètres!$A$1:$I$89,3,0)*VLOOKUP('Données projet'!$B$11,Paramètres!$A$1:$I$89,5,0)</f>
        <v>258.77280000000002</v>
      </c>
      <c r="BF87" s="13">
        <f t="shared" si="91"/>
        <v>62.460716522234691</v>
      </c>
      <c r="BG87" s="20">
        <f t="shared" si="61"/>
        <v>559.48170794289206</v>
      </c>
      <c r="BH87" s="57">
        <f t="shared" si="62"/>
        <v>852.81504127622543</v>
      </c>
      <c r="BI87" s="57">
        <f ca="1">AVERAGE(OFFSET($BH$3,0,0,'Données projet'!$E$11+1,1))-AVERAGE(OFFSET($H$3,0,0,'Données projet'!$E$11+1,1))</f>
        <v>250.90550982248311</v>
      </c>
      <c r="BJ87" s="57">
        <f t="shared" si="92"/>
        <v>254.68874167908001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40.632597910893914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40.632597910893914</v>
      </c>
      <c r="BT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739.99999999999966</v>
      </c>
      <c r="BZ87" s="13">
        <f>BY87*VLOOKUP('Données projet'!$B$12,Paramètres!$A$1:$I$89,3,0)*VLOOKUP('Données projet'!$B$12,Paramètres!$A$1:$I$89,5,0)</f>
        <v>413.65999999999985</v>
      </c>
      <c r="CA87" s="13">
        <f t="shared" si="93"/>
        <v>94.540585122244352</v>
      </c>
      <c r="CB87" s="20">
        <f t="shared" si="64"/>
        <v>885.11601908790863</v>
      </c>
      <c r="CC87" s="57">
        <f t="shared" si="65"/>
        <v>1178.4493524212419</v>
      </c>
      <c r="CD87" s="57">
        <f ca="1">AVERAGE(OFFSET($CC$3,0,0,'Données projet'!$E$12+1,1))-AVERAGE(OFFSET($H$3,0,0,'Données projet'!$E$12+1,1))</f>
        <v>462.54745364638171</v>
      </c>
      <c r="CE87" s="57">
        <f t="shared" si="94"/>
        <v>571.50914830067313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76.777262604851373</v>
      </c>
      <c r="CL87" s="21">
        <f>EXP(-LN(2)/25)*CL86+(1-EXP(-LN(2)/25))/(LN(2)/25)*Calculateur!CG87*Calculateur!CI87*VLOOKUP('Données projet'!$B$12,Paramètres!$A$1:$I$89,3,0)*0.475*44/12</f>
        <v>12.929007237836823</v>
      </c>
      <c r="CM87" s="21">
        <f>EXP(-LN(2)/2)*CM86+(1-EXP(-LN(2)/2))/(LN(2)/2)*CG87*CJ87*VLOOKUP('Données projet'!$B$12,Paramètres!$A$1:$I$89,3,0)*0.475*44/12</f>
        <v>6.336594870231041E-9</v>
      </c>
      <c r="CN87" s="22">
        <f t="shared" si="66"/>
        <v>89.706269849024793</v>
      </c>
      <c r="CO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5.4</v>
      </c>
      <c r="CT87" s="12">
        <f>IF('Données projet'!$A$140&gt;35,CT86+CS87-DB86,IF(A87&lt;'Données projet'!$A$140,$CQ$205^A87,IF(A87='Données projet'!$A$140,'Données projet'!$B$140,CT86+CS87-DB86)))</f>
        <v>260.59999999999997</v>
      </c>
      <c r="CU87" s="17">
        <f>CT87*VLOOKUP('Données projet'!$B$13,Paramètres!$A$1:$I$89,3,0)*VLOOKUP('Données projet'!$B$13,Paramètres!$A$1:$I$89,5,0)</f>
        <v>247.98695999999998</v>
      </c>
      <c r="CV87" s="13">
        <f t="shared" si="95"/>
        <v>60.154676014844824</v>
      </c>
      <c r="CW87" s="20">
        <f t="shared" si="67"/>
        <v>536.68001605918801</v>
      </c>
      <c r="CX87" s="57">
        <f t="shared" si="68"/>
        <v>830.01334939252138</v>
      </c>
      <c r="CY87" s="57">
        <f ca="1">AVERAGE(OFFSET($CX$3,0,0,'Données projet'!$E$13+1,1))-AVERAGE(OFFSET($H$3,0,0,'Données projet'!$E$13+1,1))</f>
        <v>314.67680626853303</v>
      </c>
      <c r="CZ87" s="57">
        <f t="shared" si="96"/>
        <v>372.57247561536263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79.32207086779222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79.32207086779222</v>
      </c>
      <c r="DJ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319</v>
      </c>
      <c r="DP87" s="17">
        <f>DO87*VLOOKUP('Données projet'!$B$14,Paramètres!$A$1:$I$89,3,0)*VLOOKUP('Données projet'!$B$14,Paramètres!$A$1:$I$89,5,0)</f>
        <v>209.00879999999998</v>
      </c>
      <c r="DQ87" s="13">
        <f t="shared" si="97"/>
        <v>51.718923953824202</v>
      </c>
      <c r="DR87" s="20">
        <f t="shared" si="70"/>
        <v>454.10078588624373</v>
      </c>
      <c r="DS87" s="57">
        <f t="shared" si="71"/>
        <v>747.43411921957704</v>
      </c>
      <c r="DT87" s="57">
        <f ca="1">AVERAGE(OFFSET($DS$3,0,0,'Données projet'!$E$14+1,1))-AVERAGE(OFFSET($H$3,0,0,'Données projet'!$E$14+1,1))</f>
        <v>188.80259324758066</v>
      </c>
      <c r="DU87" s="57">
        <f t="shared" si="98"/>
        <v>195.48048518255354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32.818636774183545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32.818636774183545</v>
      </c>
      <c r="EE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319</v>
      </c>
      <c r="EK87" s="17">
        <f>EJ87*VLOOKUP('Données projet'!$B$15,Paramètres!$A$1:$I$89,3,0)*VLOOKUP('Données projet'!$B$15,Paramètres!$A$1:$I$89,5,0)</f>
        <v>258.77280000000002</v>
      </c>
      <c r="EL87" s="13">
        <f t="shared" si="99"/>
        <v>62.460716522234691</v>
      </c>
      <c r="EM87" s="20">
        <f t="shared" si="73"/>
        <v>559.48170794289206</v>
      </c>
      <c r="EN87" s="57">
        <f t="shared" si="74"/>
        <v>852.81504127622543</v>
      </c>
      <c r="EO87" s="57">
        <f ca="1">AVERAGE(OFFSET($EN$3,0,0,'Données projet'!$E$15+1,1))-AVERAGE(OFFSET($H$3,0,0,'Données projet'!$E$15+1,1))</f>
        <v>250.90550982248311</v>
      </c>
      <c r="EP87" s="57">
        <f t="shared" si="100"/>
        <v>254.68874167908001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40.632597910893914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40.632597910893914</v>
      </c>
      <c r="EZ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7" t="e">
        <f t="shared" si="77"/>
        <v>#N/A</v>
      </c>
      <c r="FJ87" s="57" t="e">
        <f ca="1">AVERAGE(OFFSET($FI$3,0,0,'Données projet'!$E$16+1,1))-AVERAGE(OFFSET($H$3,0,0,'Données projet'!$E$16+1,1))</f>
        <v>#N/A</v>
      </c>
      <c r="FK87" s="57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7" t="e">
        <f t="shared" si="80"/>
        <v>#N/A</v>
      </c>
      <c r="GE87" s="57" t="e">
        <f ca="1">AVERAGE(OFFSET($GD$3,0,0,'Données projet'!$E$17+1,1))-AVERAGE(OFFSET($H$3,0,0,'Données projet'!$E$17+1,1))</f>
        <v>#N/A</v>
      </c>
      <c r="GF87" s="57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7" t="e">
        <f t="shared" si="83"/>
        <v>#N/A</v>
      </c>
      <c r="GZ87" s="57" t="e">
        <f ca="1">AVERAGE(OFFSET($GY$3,0,0,'Données projet'!$E$18+1,1))-AVERAGE(OFFSET($H$3,0,0,'Données projet'!$E$18+1,1))</f>
        <v>#N/A</v>
      </c>
      <c r="HA87" s="57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0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4">
        <f t="shared" si="56"/>
        <v>458.76156093300006</v>
      </c>
      <c r="I88" s="6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274.62240000000008</v>
      </c>
      <c r="P88" s="13">
        <f t="shared" si="87"/>
        <v>65.829287958103762</v>
      </c>
      <c r="Q88" s="20">
        <f t="shared" si="54"/>
        <v>592.95335652703079</v>
      </c>
      <c r="R88" s="57">
        <f t="shared" si="55"/>
        <v>886.28668986036405</v>
      </c>
      <c r="S88" s="57">
        <f ca="1">AVERAGE(OFFSET($R$3,0,0,'Données projet'!$E$9+1,1))-AVERAGE(OFFSET($H$3,0,0,'Données projet'!$E$9+1,1))</f>
        <v>267.44861001389006</v>
      </c>
      <c r="T88" s="57">
        <f t="shared" si="88"/>
        <v>165.25921510802965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78.912630454987266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78.912630454987266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326</v>
      </c>
      <c r="AG88" s="12">
        <f>VLOOKUP(A88,'Données projet'!$A$61:$I$81,9,0)</f>
        <v>6.8</v>
      </c>
      <c r="AH88" s="12">
        <f t="array" ref="AH88">INDEX(AG:AG,MIN(IF(ISNUMBER(AG88:AG284),ROW(AG88:AG284),"")))</f>
        <v>6.8</v>
      </c>
      <c r="AI88" s="13">
        <f>IF('Données projet'!$A$62&gt;35,AI87+AH88-AQ87,IF(A88&lt;'Données projet'!$A$62,$AF$205^A88,IF(A88='Données projet'!$A$62,'Données projet'!$B$62,AI87+AH88-AQ87)))</f>
        <v>326.00000000000006</v>
      </c>
      <c r="AJ88" s="13">
        <f>AI88*VLOOKUP('Données projet'!$B$10,Paramètres!$A$1:$I$89,3,0)*VLOOKUP('Données projet'!$B$10,Paramètres!$A$1:$I$89,5,0)</f>
        <v>294.96480000000003</v>
      </c>
      <c r="AK88" s="13">
        <f t="shared" si="89"/>
        <v>70.119854541045001</v>
      </c>
      <c r="AL88" s="20">
        <f t="shared" si="58"/>
        <v>635.85577332565333</v>
      </c>
      <c r="AM88" s="57">
        <f t="shared" si="59"/>
        <v>929.1891066589867</v>
      </c>
      <c r="AN88" s="57">
        <f ca="1">AVERAGE(OFFSET($AM$3,0,0,'Données projet'!$E$10+1,1))-AVERAGE(OFFSET($H$3,0,0,'Données projet'!$E$10+1,1))</f>
        <v>294.92430430387071</v>
      </c>
      <c r="AO88" s="57">
        <f t="shared" si="90"/>
        <v>181.52228471516497</v>
      </c>
      <c r="AP88" s="15">
        <f>IF(ISNA(VLOOKUP(A88,'Données projet'!$A$61:$I$81,3,0)),0,VLOOKUP(A88,'Données projet'!$A$61:$I$81,3,0))</f>
        <v>14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84.758010488690019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84.758010488690019</v>
      </c>
      <c r="AY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319</v>
      </c>
      <c r="BE88" s="13">
        <f>BD88*VLOOKUP('Données projet'!$B$11,Paramètres!$A$1:$I$89,3,0)*VLOOKUP('Données projet'!$B$11,Paramètres!$A$1:$I$89,5,0)</f>
        <v>258.77280000000002</v>
      </c>
      <c r="BF88" s="13">
        <f t="shared" si="91"/>
        <v>62.460716522234691</v>
      </c>
      <c r="BG88" s="20">
        <f t="shared" si="61"/>
        <v>559.48170794289206</v>
      </c>
      <c r="BH88" s="57">
        <f t="shared" si="62"/>
        <v>852.81504127622543</v>
      </c>
      <c r="BI88" s="57">
        <f ca="1">AVERAGE(OFFSET($BH$3,0,0,'Données projet'!$E$11+1,1))-AVERAGE(OFFSET($H$3,0,0,'Données projet'!$E$11+1,1))</f>
        <v>250.90550982248311</v>
      </c>
      <c r="BJ88" s="57">
        <f t="shared" si="92"/>
        <v>254.68874167908001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39.835817449298851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39.835817449298851</v>
      </c>
      <c r="BT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739.99999999999966</v>
      </c>
      <c r="BZ88" s="13">
        <f>BY88*VLOOKUP('Données projet'!$B$12,Paramètres!$A$1:$I$89,3,0)*VLOOKUP('Données projet'!$B$12,Paramètres!$A$1:$I$89,5,0)</f>
        <v>413.65999999999985</v>
      </c>
      <c r="CA88" s="13">
        <f t="shared" si="93"/>
        <v>94.540585122244352</v>
      </c>
      <c r="CB88" s="20">
        <f t="shared" si="64"/>
        <v>885.11601908790863</v>
      </c>
      <c r="CC88" s="57">
        <f t="shared" si="65"/>
        <v>1178.4493524212419</v>
      </c>
      <c r="CD88" s="57">
        <f ca="1">AVERAGE(OFFSET($CC$3,0,0,'Données projet'!$E$12+1,1))-AVERAGE(OFFSET($H$3,0,0,'Données projet'!$E$12+1,1))</f>
        <v>462.54745364638171</v>
      </c>
      <c r="CE88" s="57">
        <f t="shared" si="94"/>
        <v>571.50914830067313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75.271707314676391</v>
      </c>
      <c r="CL88" s="21">
        <f>EXP(-LN(2)/25)*CL87+(1-EXP(-LN(2)/25))/(LN(2)/25)*Calculateur!CG88*Calculateur!CI88*VLOOKUP('Données projet'!$B$12,Paramètres!$A$1:$I$89,3,0)*0.475*44/12</f>
        <v>12.575462855011233</v>
      </c>
      <c r="CM88" s="21">
        <f>EXP(-LN(2)/2)*CM87+(1-EXP(-LN(2)/2))/(LN(2)/2)*CG88*CJ88*VLOOKUP('Données projet'!$B$12,Paramètres!$A$1:$I$89,3,0)*0.475*44/12</f>
        <v>4.4806492023722601E-9</v>
      </c>
      <c r="CN88" s="22">
        <f t="shared" si="66"/>
        <v>87.847170174168284</v>
      </c>
      <c r="CO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266</v>
      </c>
      <c r="CR88" s="12">
        <f>VLOOKUP(A88,'Données projet'!$A$139:$I$159,9,0)</f>
        <v>5.4</v>
      </c>
      <c r="CS88" s="12">
        <f t="array" ref="CS88">INDEX(CR:CR,MIN(IF(ISNUMBER(CR88:CR284),ROW(CR88:CR284),"")))</f>
        <v>5.4</v>
      </c>
      <c r="CT88" s="12">
        <f>IF('Données projet'!$A$140&gt;35,CT87+CS88-DB87,IF(A88&lt;'Données projet'!$A$140,$CQ$205^A88,IF(A88='Données projet'!$A$140,'Données projet'!$B$140,CT87+CS88-DB87)))</f>
        <v>265.99999999999994</v>
      </c>
      <c r="CU88" s="17">
        <f>CT88*VLOOKUP('Données projet'!$B$13,Paramètres!$A$1:$I$89,3,0)*VLOOKUP('Données projet'!$B$13,Paramètres!$A$1:$I$89,5,0)</f>
        <v>253.12559999999996</v>
      </c>
      <c r="CV88" s="13">
        <f t="shared" si="95"/>
        <v>61.254756291614335</v>
      </c>
      <c r="CW88" s="20">
        <f t="shared" si="67"/>
        <v>547.54578720789482</v>
      </c>
      <c r="CX88" s="57">
        <f t="shared" si="68"/>
        <v>840.87912054122808</v>
      </c>
      <c r="CY88" s="57">
        <f ca="1">AVERAGE(OFFSET($CX$3,0,0,'Données projet'!$E$13+1,1))-AVERAGE(OFFSET($H$3,0,0,'Données projet'!$E$13+1,1))</f>
        <v>314.67680626853303</v>
      </c>
      <c r="CZ88" s="57">
        <f t="shared" si="96"/>
        <v>372.57247561536263</v>
      </c>
      <c r="DA88" s="15">
        <f>IF(ISNA(VLOOKUP(A88,'Données projet'!$A$139:$I$159,3,0)),0,VLOOKUP(A88,'Données projet'!$A$139:$I$159,3,0))</f>
        <v>16</v>
      </c>
      <c r="DB88" s="15">
        <f>IF(ISNA(VLOOKUP(A88,'Données projet'!$A$139:$I$159,4,0)),0,VLOOKUP(A88,'Données projet'!$A$139:$I$159,4,0))</f>
        <v>25</v>
      </c>
      <c r="DC88" s="16">
        <f>IF(ISNA(VLOOKUP(A88,'Données projet'!$A$139:$I$159,5,0)),0%,VLOOKUP(A88,'Données projet'!$A$139:$I$159,5,0)*VLOOKUP('Données projet'!$B$13,Paramètres!$A$1:$I$89,7,0))</f>
        <v>0.43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89.075243781268966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89.075243781268966</v>
      </c>
      <c r="DJ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319</v>
      </c>
      <c r="DP88" s="17">
        <f>DO88*VLOOKUP('Données projet'!$B$14,Paramètres!$A$1:$I$89,3,0)*VLOOKUP('Données projet'!$B$14,Paramètres!$A$1:$I$89,5,0)</f>
        <v>209.00879999999998</v>
      </c>
      <c r="DQ88" s="13">
        <f t="shared" si="97"/>
        <v>51.718923953824202</v>
      </c>
      <c r="DR88" s="20">
        <f t="shared" si="70"/>
        <v>454.10078588624373</v>
      </c>
      <c r="DS88" s="57">
        <f t="shared" si="71"/>
        <v>747.43411921957704</v>
      </c>
      <c r="DT88" s="57">
        <f ca="1">AVERAGE(OFFSET($DS$3,0,0,'Données projet'!$E$14+1,1))-AVERAGE(OFFSET($H$3,0,0,'Données projet'!$E$14+1,1))</f>
        <v>188.80259324758066</v>
      </c>
      <c r="DU88" s="57">
        <f t="shared" si="98"/>
        <v>195.48048518255354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32.175083324433686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32.175083324433686</v>
      </c>
      <c r="EE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319</v>
      </c>
      <c r="EK88" s="17">
        <f>EJ88*VLOOKUP('Données projet'!$B$15,Paramètres!$A$1:$I$89,3,0)*VLOOKUP('Données projet'!$B$15,Paramètres!$A$1:$I$89,5,0)</f>
        <v>258.77280000000002</v>
      </c>
      <c r="EL88" s="13">
        <f t="shared" si="99"/>
        <v>62.460716522234691</v>
      </c>
      <c r="EM88" s="20">
        <f t="shared" si="73"/>
        <v>559.48170794289206</v>
      </c>
      <c r="EN88" s="57">
        <f t="shared" si="74"/>
        <v>852.81504127622543</v>
      </c>
      <c r="EO88" s="57">
        <f ca="1">AVERAGE(OFFSET($EN$3,0,0,'Données projet'!$E$15+1,1))-AVERAGE(OFFSET($H$3,0,0,'Données projet'!$E$15+1,1))</f>
        <v>250.90550982248311</v>
      </c>
      <c r="EP88" s="57">
        <f t="shared" si="100"/>
        <v>254.68874167908001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39.835817449298851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39.835817449298851</v>
      </c>
      <c r="EZ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7" t="e">
        <f t="shared" si="77"/>
        <v>#N/A</v>
      </c>
      <c r="FJ88" s="57" t="e">
        <f ca="1">AVERAGE(OFFSET($FI$3,0,0,'Données projet'!$E$16+1,1))-AVERAGE(OFFSET($H$3,0,0,'Données projet'!$E$16+1,1))</f>
        <v>#N/A</v>
      </c>
      <c r="FK88" s="57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7" t="e">
        <f t="shared" si="80"/>
        <v>#N/A</v>
      </c>
      <c r="GE88" s="57" t="e">
        <f ca="1">AVERAGE(OFFSET($GD$3,0,0,'Données projet'!$E$17+1,1))-AVERAGE(OFFSET($H$3,0,0,'Données projet'!$E$17+1,1))</f>
        <v>#N/A</v>
      </c>
      <c r="GF88" s="57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7" t="e">
        <f t="shared" si="83"/>
        <v>#N/A</v>
      </c>
      <c r="GZ88" s="57" t="e">
        <f ca="1">AVERAGE(OFFSET($GY$3,0,0,'Données projet'!$E$18+1,1))-AVERAGE(OFFSET($H$3,0,0,'Données projet'!$E$18+1,1))</f>
        <v>#N/A</v>
      </c>
      <c r="HA88" s="57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0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4">
        <f t="shared" si="56"/>
        <v>460.65808511747798</v>
      </c>
      <c r="I89" s="6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256.42656000000005</v>
      </c>
      <c r="P89" s="13">
        <f t="shared" si="87"/>
        <v>61.960052520146306</v>
      </c>
      <c r="Q89" s="20">
        <f t="shared" si="54"/>
        <v>554.52335013925483</v>
      </c>
      <c r="R89" s="57">
        <f t="shared" si="55"/>
        <v>847.8566834725882</v>
      </c>
      <c r="S89" s="57">
        <f ca="1">AVERAGE(OFFSET($R$3,0,0,'Données projet'!$E$9+1,1))-AVERAGE(OFFSET($H$3,0,0,'Données projet'!$E$9+1,1))</f>
        <v>267.44861001389006</v>
      </c>
      <c r="T89" s="57">
        <f t="shared" si="88"/>
        <v>165.25921510802965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77.365201903716908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77.365201903716908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6.4</v>
      </c>
      <c r="AI89" s="13">
        <f>IF('Données projet'!$A$62&gt;35,AI88+AH89-AQ88,IF(A89&lt;'Données projet'!$A$62,$AF$205^A89,IF(A89='Données projet'!$A$62,'Données projet'!$B$62,AI88+AH89-AQ88)))</f>
        <v>304.40000000000003</v>
      </c>
      <c r="AJ89" s="13">
        <f>AI89*VLOOKUP('Données projet'!$B$10,Paramètres!$A$1:$I$89,3,0)*VLOOKUP('Données projet'!$B$10,Paramètres!$A$1:$I$89,5,0)</f>
        <v>275.42112000000003</v>
      </c>
      <c r="AK89" s="13">
        <f t="shared" si="89"/>
        <v>65.998433293601067</v>
      </c>
      <c r="AL89" s="20">
        <f t="shared" si="58"/>
        <v>594.63905531968851</v>
      </c>
      <c r="AM89" s="57">
        <f t="shared" si="59"/>
        <v>887.97238865302188</v>
      </c>
      <c r="AN89" s="57">
        <f ca="1">AVERAGE(OFFSET($AM$3,0,0,'Données projet'!$E$10+1,1))-AVERAGE(OFFSET($H$3,0,0,'Données projet'!$E$10+1,1))</f>
        <v>294.92430430387071</v>
      </c>
      <c r="AO89" s="57">
        <f t="shared" si="90"/>
        <v>181.52228471516497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83.095957600288529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83.095957600288529</v>
      </c>
      <c r="AY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319</v>
      </c>
      <c r="BE89" s="13">
        <f>BD89*VLOOKUP('Données projet'!$B$11,Paramètres!$A$1:$I$89,3,0)*VLOOKUP('Données projet'!$B$11,Paramètres!$A$1:$I$89,5,0)</f>
        <v>258.77280000000002</v>
      </c>
      <c r="BF89" s="13">
        <f t="shared" si="91"/>
        <v>62.460716522234691</v>
      </c>
      <c r="BG89" s="20">
        <f t="shared" si="61"/>
        <v>559.48170794289206</v>
      </c>
      <c r="BH89" s="57">
        <f t="shared" si="62"/>
        <v>852.81504127622543</v>
      </c>
      <c r="BI89" s="57">
        <f ca="1">AVERAGE(OFFSET($BH$3,0,0,'Données projet'!$E$11+1,1))-AVERAGE(OFFSET($H$3,0,0,'Données projet'!$E$11+1,1))</f>
        <v>250.90550982248311</v>
      </c>
      <c r="BJ89" s="57">
        <f t="shared" si="92"/>
        <v>254.68874167908001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39.054661366567572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39.054661366567572</v>
      </c>
      <c r="BT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739.99999999999966</v>
      </c>
      <c r="BZ89" s="13">
        <f>BY89*VLOOKUP('Données projet'!$B$12,Paramètres!$A$1:$I$89,3,0)*VLOOKUP('Données projet'!$B$12,Paramètres!$A$1:$I$89,5,0)</f>
        <v>413.65999999999985</v>
      </c>
      <c r="CA89" s="13">
        <f t="shared" si="93"/>
        <v>94.540585122244352</v>
      </c>
      <c r="CB89" s="20">
        <f t="shared" si="64"/>
        <v>885.11601908790863</v>
      </c>
      <c r="CC89" s="57">
        <f t="shared" si="65"/>
        <v>1178.4493524212419</v>
      </c>
      <c r="CD89" s="57">
        <f ca="1">AVERAGE(OFFSET($CC$3,0,0,'Données projet'!$E$12+1,1))-AVERAGE(OFFSET($H$3,0,0,'Données projet'!$E$12+1,1))</f>
        <v>462.54745364638171</v>
      </c>
      <c r="CE89" s="57">
        <f t="shared" si="94"/>
        <v>571.50914830067313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73.795675045443687</v>
      </c>
      <c r="CL89" s="21">
        <f>EXP(-LN(2)/25)*CL88+(1-EXP(-LN(2)/25))/(LN(2)/25)*Calculateur!CG89*Calculateur!CI89*VLOOKUP('Données projet'!$B$12,Paramètres!$A$1:$I$89,3,0)*0.475*44/12</f>
        <v>12.231586161926101</v>
      </c>
      <c r="CM89" s="21">
        <f>EXP(-LN(2)/2)*CM88+(1-EXP(-LN(2)/2))/(LN(2)/2)*CG89*CJ89*VLOOKUP('Données projet'!$B$12,Paramètres!$A$1:$I$89,3,0)*0.475*44/12</f>
        <v>3.1682974351155205E-9</v>
      </c>
      <c r="CN89" s="22">
        <f t="shared" si="66"/>
        <v>86.027261210538086</v>
      </c>
      <c r="CO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5.2</v>
      </c>
      <c r="CT89" s="12">
        <f>IF('Données projet'!$A$140&gt;35,CT88+CS89-DB88,IF(A89&lt;'Données projet'!$A$140,$CQ$205^A89,IF(A89='Données projet'!$A$140,'Données projet'!$B$140,CT88+CS89-DB88)))</f>
        <v>246.19999999999993</v>
      </c>
      <c r="CU89" s="17">
        <f>CT89*VLOOKUP('Données projet'!$B$13,Paramètres!$A$1:$I$89,3,0)*VLOOKUP('Données projet'!$B$13,Paramètres!$A$1:$I$89,5,0)</f>
        <v>234.28391999999994</v>
      </c>
      <c r="CV89" s="13">
        <f t="shared" si="95"/>
        <v>57.207967976960866</v>
      </c>
      <c r="CW89" s="20">
        <f t="shared" si="67"/>
        <v>507.68170489320681</v>
      </c>
      <c r="CX89" s="57">
        <f t="shared" si="68"/>
        <v>801.01503822654013</v>
      </c>
      <c r="CY89" s="57">
        <f ca="1">AVERAGE(OFFSET($CX$3,0,0,'Données projet'!$E$13+1,1))-AVERAGE(OFFSET($H$3,0,0,'Données projet'!$E$13+1,1))</f>
        <v>314.67680626853303</v>
      </c>
      <c r="CZ89" s="57">
        <f t="shared" si="96"/>
        <v>372.57247561536263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87.32853258125229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87.32853258125229</v>
      </c>
      <c r="DJ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319</v>
      </c>
      <c r="DP89" s="17">
        <f>DO89*VLOOKUP('Données projet'!$B$14,Paramètres!$A$1:$I$89,3,0)*VLOOKUP('Données projet'!$B$14,Paramètres!$A$1:$I$89,5,0)</f>
        <v>209.00879999999998</v>
      </c>
      <c r="DQ89" s="13">
        <f t="shared" si="97"/>
        <v>51.718923953824202</v>
      </c>
      <c r="DR89" s="20">
        <f t="shared" si="70"/>
        <v>454.10078588624373</v>
      </c>
      <c r="DS89" s="57">
        <f t="shared" si="71"/>
        <v>747.43411921957704</v>
      </c>
      <c r="DT89" s="57">
        <f ca="1">AVERAGE(OFFSET($DS$3,0,0,'Données projet'!$E$14+1,1))-AVERAGE(OFFSET($H$3,0,0,'Données projet'!$E$14+1,1))</f>
        <v>188.80259324758066</v>
      </c>
      <c r="DU89" s="57">
        <f t="shared" si="98"/>
        <v>195.48048518255354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31.544149565304576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31.544149565304576</v>
      </c>
      <c r="EE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319</v>
      </c>
      <c r="EK89" s="17">
        <f>EJ89*VLOOKUP('Données projet'!$B$15,Paramètres!$A$1:$I$89,3,0)*VLOOKUP('Données projet'!$B$15,Paramètres!$A$1:$I$89,5,0)</f>
        <v>258.77280000000002</v>
      </c>
      <c r="EL89" s="13">
        <f t="shared" si="99"/>
        <v>62.460716522234691</v>
      </c>
      <c r="EM89" s="20">
        <f t="shared" si="73"/>
        <v>559.48170794289206</v>
      </c>
      <c r="EN89" s="57">
        <f t="shared" si="74"/>
        <v>852.81504127622543</v>
      </c>
      <c r="EO89" s="57">
        <f ca="1">AVERAGE(OFFSET($EN$3,0,0,'Données projet'!$E$15+1,1))-AVERAGE(OFFSET($H$3,0,0,'Données projet'!$E$15+1,1))</f>
        <v>250.90550982248311</v>
      </c>
      <c r="EP89" s="57">
        <f t="shared" si="100"/>
        <v>254.68874167908001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39.054661366567572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39.054661366567572</v>
      </c>
      <c r="EZ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7" t="e">
        <f t="shared" si="77"/>
        <v>#N/A</v>
      </c>
      <c r="FJ89" s="57" t="e">
        <f ca="1">AVERAGE(OFFSET($FI$3,0,0,'Données projet'!$E$16+1,1))-AVERAGE(OFFSET($H$3,0,0,'Données projet'!$E$16+1,1))</f>
        <v>#N/A</v>
      </c>
      <c r="FK89" s="57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7" t="e">
        <f t="shared" si="80"/>
        <v>#N/A</v>
      </c>
      <c r="GE89" s="57" t="e">
        <f ca="1">AVERAGE(OFFSET($GD$3,0,0,'Données projet'!$E$17+1,1))-AVERAGE(OFFSET($H$3,0,0,'Données projet'!$E$17+1,1))</f>
        <v>#N/A</v>
      </c>
      <c r="GF89" s="57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7" t="e">
        <f t="shared" si="83"/>
        <v>#N/A</v>
      </c>
      <c r="GZ89" s="57" t="e">
        <f ca="1">AVERAGE(OFFSET($GY$3,0,0,'Données projet'!$E$18+1,1))-AVERAGE(OFFSET($H$3,0,0,'Données projet'!$E$18+1,1))</f>
        <v>#N/A</v>
      </c>
      <c r="HA89" s="57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0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4">
        <f t="shared" si="56"/>
        <v>462.55410206940087</v>
      </c>
      <c r="I90" s="6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261.81792000000002</v>
      </c>
      <c r="P90" s="13">
        <f t="shared" si="87"/>
        <v>63.109727755181751</v>
      </c>
      <c r="Q90" s="20">
        <f t="shared" si="54"/>
        <v>565.91565317360812</v>
      </c>
      <c r="R90" s="57">
        <f t="shared" si="55"/>
        <v>859.24898650694149</v>
      </c>
      <c r="S90" s="57">
        <f ca="1">AVERAGE(OFFSET($R$3,0,0,'Données projet'!$E$9+1,1))-AVERAGE(OFFSET($H$3,0,0,'Données projet'!$E$9+1,1))</f>
        <v>267.44861001389006</v>
      </c>
      <c r="T90" s="57">
        <f t="shared" si="88"/>
        <v>165.25921510802965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75.848117482498736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75.848117482498736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6.4</v>
      </c>
      <c r="AI90" s="13">
        <f>IF('Données projet'!$A$62&gt;35,AI89+AH90-AQ89,IF(A90&lt;'Données projet'!$A$62,$AF$205^A90,IF(A90='Données projet'!$A$62,'Données projet'!$B$62,AI89+AH90-AQ89)))</f>
        <v>310.8</v>
      </c>
      <c r="AJ90" s="13">
        <f>AI90*VLOOKUP('Données projet'!$B$10,Paramètres!$A$1:$I$89,3,0)*VLOOKUP('Données projet'!$B$10,Paramètres!$A$1:$I$89,5,0)</f>
        <v>281.21184</v>
      </c>
      <c r="AK90" s="13">
        <f t="shared" si="89"/>
        <v>67.22304110496664</v>
      </c>
      <c r="AL90" s="20">
        <f t="shared" si="58"/>
        <v>606.85741792448357</v>
      </c>
      <c r="AM90" s="57">
        <f t="shared" si="59"/>
        <v>900.19075125781683</v>
      </c>
      <c r="AN90" s="57">
        <f ca="1">AVERAGE(OFFSET($AM$3,0,0,'Données projet'!$E$10+1,1))-AVERAGE(OFFSET($H$3,0,0,'Données projet'!$E$10+1,1))</f>
        <v>294.92430430387071</v>
      </c>
      <c r="AO90" s="57">
        <f t="shared" si="90"/>
        <v>181.52228471516497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81.466496555276422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81.466496555276422</v>
      </c>
      <c r="AY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319</v>
      </c>
      <c r="BE90" s="13">
        <f>BD90*VLOOKUP('Données projet'!$B$11,Paramètres!$A$1:$I$89,3,0)*VLOOKUP('Données projet'!$B$11,Paramètres!$A$1:$I$89,5,0)</f>
        <v>258.77280000000002</v>
      </c>
      <c r="BF90" s="13">
        <f t="shared" si="91"/>
        <v>62.460716522234691</v>
      </c>
      <c r="BG90" s="20">
        <f t="shared" si="61"/>
        <v>559.48170794289206</v>
      </c>
      <c r="BH90" s="57">
        <f t="shared" si="62"/>
        <v>852.81504127622543</v>
      </c>
      <c r="BI90" s="57">
        <f ca="1">AVERAGE(OFFSET($BH$3,0,0,'Données projet'!$E$11+1,1))-AVERAGE(OFFSET($H$3,0,0,'Données projet'!$E$11+1,1))</f>
        <v>250.90550982248311</v>
      </c>
      <c r="BJ90" s="57">
        <f t="shared" si="92"/>
        <v>254.68874167908001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38.288823278160486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38.288823278160486</v>
      </c>
      <c r="BT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739.99999999999966</v>
      </c>
      <c r="BZ90" s="13">
        <f>BY90*VLOOKUP('Données projet'!$B$12,Paramètres!$A$1:$I$89,3,0)*VLOOKUP('Données projet'!$B$12,Paramètres!$A$1:$I$89,5,0)</f>
        <v>413.65999999999985</v>
      </c>
      <c r="CA90" s="13">
        <f t="shared" si="93"/>
        <v>94.540585122244352</v>
      </c>
      <c r="CB90" s="20">
        <f t="shared" si="64"/>
        <v>885.11601908790863</v>
      </c>
      <c r="CC90" s="57">
        <f t="shared" si="65"/>
        <v>1178.4493524212419</v>
      </c>
      <c r="CD90" s="57">
        <f ca="1">AVERAGE(OFFSET($CC$3,0,0,'Données projet'!$E$12+1,1))-AVERAGE(OFFSET($H$3,0,0,'Données projet'!$E$12+1,1))</f>
        <v>462.54745364638171</v>
      </c>
      <c r="CE90" s="57">
        <f t="shared" si="94"/>
        <v>571.50914830067313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72.348586868719849</v>
      </c>
      <c r="CL90" s="21">
        <f>EXP(-LN(2)/25)*CL89+(1-EXP(-LN(2)/25))/(LN(2)/25)*Calculateur!CG90*Calculateur!CI90*VLOOKUP('Données projet'!$B$12,Paramètres!$A$1:$I$89,3,0)*0.475*44/12</f>
        <v>11.897112795097071</v>
      </c>
      <c r="CM90" s="21">
        <f>EXP(-LN(2)/2)*CM89+(1-EXP(-LN(2)/2))/(LN(2)/2)*CG90*CJ90*VLOOKUP('Données projet'!$B$12,Paramètres!$A$1:$I$89,3,0)*0.475*44/12</f>
        <v>2.24032460118613E-9</v>
      </c>
      <c r="CN90" s="22">
        <f t="shared" si="66"/>
        <v>84.245699666057249</v>
      </c>
      <c r="CO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5.2</v>
      </c>
      <c r="CT90" s="12">
        <f>IF('Données projet'!$A$140&gt;35,CT89+CS90-DB89,IF(A90&lt;'Données projet'!$A$140,$CQ$205^A90,IF(A90='Données projet'!$A$140,'Données projet'!$B$140,CT89+CS90-DB89)))</f>
        <v>251.39999999999992</v>
      </c>
      <c r="CU90" s="17">
        <f>CT90*VLOOKUP('Données projet'!$B$13,Paramètres!$A$1:$I$89,3,0)*VLOOKUP('Données projet'!$B$13,Paramètres!$A$1:$I$89,5,0)</f>
        <v>239.23223999999993</v>
      </c>
      <c r="CV90" s="13">
        <f t="shared" si="95"/>
        <v>58.274312386610639</v>
      </c>
      <c r="CW90" s="20">
        <f t="shared" si="67"/>
        <v>518.15724540667998</v>
      </c>
      <c r="CX90" s="57">
        <f t="shared" si="68"/>
        <v>811.49057874001323</v>
      </c>
      <c r="CY90" s="57">
        <f ca="1">AVERAGE(OFFSET($CX$3,0,0,'Données projet'!$E$13+1,1))-AVERAGE(OFFSET($H$3,0,0,'Données projet'!$E$13+1,1))</f>
        <v>314.67680626853303</v>
      </c>
      <c r="CZ90" s="57">
        <f t="shared" si="96"/>
        <v>372.57247561536263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85.616073322479309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85.616073322479309</v>
      </c>
      <c r="DJ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319</v>
      </c>
      <c r="DP90" s="17">
        <f>DO90*VLOOKUP('Données projet'!$B$14,Paramètres!$A$1:$I$89,3,0)*VLOOKUP('Données projet'!$B$14,Paramètres!$A$1:$I$89,5,0)</f>
        <v>209.00879999999998</v>
      </c>
      <c r="DQ90" s="13">
        <f t="shared" si="97"/>
        <v>51.718923953824202</v>
      </c>
      <c r="DR90" s="20">
        <f t="shared" si="70"/>
        <v>454.10078588624373</v>
      </c>
      <c r="DS90" s="57">
        <f t="shared" si="71"/>
        <v>747.43411921957704</v>
      </c>
      <c r="DT90" s="57">
        <f ca="1">AVERAGE(OFFSET($DS$3,0,0,'Données projet'!$E$14+1,1))-AVERAGE(OFFSET($H$3,0,0,'Données projet'!$E$14+1,1))</f>
        <v>188.80259324758066</v>
      </c>
      <c r="DU90" s="57">
        <f t="shared" si="98"/>
        <v>195.48048518255354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30.925588032360391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30.925588032360391</v>
      </c>
      <c r="EE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319</v>
      </c>
      <c r="EK90" s="17">
        <f>EJ90*VLOOKUP('Données projet'!$B$15,Paramètres!$A$1:$I$89,3,0)*VLOOKUP('Données projet'!$B$15,Paramètres!$A$1:$I$89,5,0)</f>
        <v>258.77280000000002</v>
      </c>
      <c r="EL90" s="13">
        <f t="shared" si="99"/>
        <v>62.460716522234691</v>
      </c>
      <c r="EM90" s="20">
        <f t="shared" si="73"/>
        <v>559.48170794289206</v>
      </c>
      <c r="EN90" s="57">
        <f t="shared" si="74"/>
        <v>852.81504127622543</v>
      </c>
      <c r="EO90" s="57">
        <f ca="1">AVERAGE(OFFSET($EN$3,0,0,'Données projet'!$E$15+1,1))-AVERAGE(OFFSET($H$3,0,0,'Données projet'!$E$15+1,1))</f>
        <v>250.90550982248311</v>
      </c>
      <c r="EP90" s="57">
        <f t="shared" si="100"/>
        <v>254.68874167908001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38.288823278160486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38.288823278160486</v>
      </c>
      <c r="EZ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7" t="e">
        <f t="shared" si="77"/>
        <v>#N/A</v>
      </c>
      <c r="FJ90" s="57" t="e">
        <f ca="1">AVERAGE(OFFSET($FI$3,0,0,'Données projet'!$E$16+1,1))-AVERAGE(OFFSET($H$3,0,0,'Données projet'!$E$16+1,1))</f>
        <v>#N/A</v>
      </c>
      <c r="FK90" s="57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7" t="e">
        <f t="shared" si="80"/>
        <v>#N/A</v>
      </c>
      <c r="GE90" s="57" t="e">
        <f ca="1">AVERAGE(OFFSET($GD$3,0,0,'Données projet'!$E$17+1,1))-AVERAGE(OFFSET($H$3,0,0,'Données projet'!$E$17+1,1))</f>
        <v>#N/A</v>
      </c>
      <c r="GF90" s="57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7" t="e">
        <f t="shared" si="83"/>
        <v>#N/A</v>
      </c>
      <c r="GZ90" s="57" t="e">
        <f ca="1">AVERAGE(OFFSET($GY$3,0,0,'Données projet'!$E$18+1,1))-AVERAGE(OFFSET($H$3,0,0,'Données projet'!$E$18+1,1))</f>
        <v>#N/A</v>
      </c>
      <c r="HA90" s="57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0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4">
        <f t="shared" si="56"/>
        <v>464.44961829360585</v>
      </c>
      <c r="I91" s="6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267.20928000000004</v>
      </c>
      <c r="P91" s="13">
        <f t="shared" si="87"/>
        <v>64.256650415058076</v>
      </c>
      <c r="Q91" s="20">
        <f t="shared" si="54"/>
        <v>577.3031621395595</v>
      </c>
      <c r="R91" s="57">
        <f t="shared" si="55"/>
        <v>870.63649547289288</v>
      </c>
      <c r="S91" s="57">
        <f ca="1">AVERAGE(OFFSET($R$3,0,0,'Données projet'!$E$9+1,1))-AVERAGE(OFFSET($H$3,0,0,'Données projet'!$E$9+1,1))</f>
        <v>267.44861001389006</v>
      </c>
      <c r="T91" s="57">
        <f t="shared" si="88"/>
        <v>165.25921510802965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74.36078216145053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74.36078216145053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6.4</v>
      </c>
      <c r="AI91" s="13">
        <f>IF('Données projet'!$A$62&gt;35,AI90+AH91-AQ90,IF(A91&lt;'Données projet'!$A$62,$AF$205^A91,IF(A91='Données projet'!$A$62,'Données projet'!$B$62,AI90+AH91-AQ90)))</f>
        <v>317.2</v>
      </c>
      <c r="AJ91" s="13">
        <f>AI91*VLOOKUP('Données projet'!$B$10,Paramètres!$A$1:$I$89,3,0)*VLOOKUP('Données projet'!$B$10,Paramètres!$A$1:$I$89,5,0)</f>
        <v>287.00255999999996</v>
      </c>
      <c r="AK91" s="13">
        <f t="shared" si="89"/>
        <v>68.444716936118553</v>
      </c>
      <c r="AL91" s="20">
        <f t="shared" si="58"/>
        <v>619.07067399707296</v>
      </c>
      <c r="AM91" s="57">
        <f t="shared" si="59"/>
        <v>912.40400733040633</v>
      </c>
      <c r="AN91" s="57">
        <f ca="1">AVERAGE(OFFSET($AM$3,0,0,'Données projet'!$E$10+1,1))-AVERAGE(OFFSET($H$3,0,0,'Données projet'!$E$10+1,1))</f>
        <v>294.92430430387071</v>
      </c>
      <c r="AO91" s="57">
        <f t="shared" si="90"/>
        <v>181.52228471516497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79.868988247483898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79.868988247483898</v>
      </c>
      <c r="AY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319</v>
      </c>
      <c r="BE91" s="13">
        <f>BD91*VLOOKUP('Données projet'!$B$11,Paramètres!$A$1:$I$89,3,0)*VLOOKUP('Données projet'!$B$11,Paramètres!$A$1:$I$89,5,0)</f>
        <v>258.77280000000002</v>
      </c>
      <c r="BF91" s="13">
        <f t="shared" si="91"/>
        <v>62.460716522234691</v>
      </c>
      <c r="BG91" s="20">
        <f t="shared" si="61"/>
        <v>559.48170794289206</v>
      </c>
      <c r="BH91" s="57">
        <f t="shared" si="62"/>
        <v>852.81504127622543</v>
      </c>
      <c r="BI91" s="57">
        <f ca="1">AVERAGE(OFFSET($BH$3,0,0,'Données projet'!$E$11+1,1))-AVERAGE(OFFSET($H$3,0,0,'Données projet'!$E$11+1,1))</f>
        <v>250.90550982248311</v>
      </c>
      <c r="BJ91" s="57">
        <f t="shared" si="92"/>
        <v>254.68874167908001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37.538002807551955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37.538002807551955</v>
      </c>
      <c r="BT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739.99999999999966</v>
      </c>
      <c r="BZ91" s="13">
        <f>BY91*VLOOKUP('Données projet'!$B$12,Paramètres!$A$1:$I$89,3,0)*VLOOKUP('Données projet'!$B$12,Paramètres!$A$1:$I$89,5,0)</f>
        <v>413.65999999999985</v>
      </c>
      <c r="CA91" s="13">
        <f t="shared" si="93"/>
        <v>94.540585122244352</v>
      </c>
      <c r="CB91" s="20">
        <f t="shared" si="64"/>
        <v>885.11601908790863</v>
      </c>
      <c r="CC91" s="57">
        <f t="shared" si="65"/>
        <v>1178.4493524212419</v>
      </c>
      <c r="CD91" s="57">
        <f ca="1">AVERAGE(OFFSET($CC$3,0,0,'Données projet'!$E$12+1,1))-AVERAGE(OFFSET($H$3,0,0,'Données projet'!$E$12+1,1))</f>
        <v>462.54745364638171</v>
      </c>
      <c r="CE91" s="57">
        <f t="shared" si="94"/>
        <v>571.50914830067313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70.929875208504939</v>
      </c>
      <c r="CL91" s="21">
        <f>EXP(-LN(2)/25)*CL90+(1-EXP(-LN(2)/25))/(LN(2)/25)*Calculateur!CG91*Calculateur!CI91*VLOOKUP('Données projet'!$B$12,Paramètres!$A$1:$I$89,3,0)*0.475*44/12</f>
        <v>11.57178562007317</v>
      </c>
      <c r="CM91" s="21">
        <f>EXP(-LN(2)/2)*CM90+(1-EXP(-LN(2)/2))/(LN(2)/2)*CG91*CJ91*VLOOKUP('Données projet'!$B$12,Paramètres!$A$1:$I$89,3,0)*0.475*44/12</f>
        <v>1.5841487175577602E-9</v>
      </c>
      <c r="CN91" s="22">
        <f t="shared" si="66"/>
        <v>82.501660830162265</v>
      </c>
      <c r="CO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5.2</v>
      </c>
      <c r="CT91" s="12">
        <f>IF('Données projet'!$A$140&gt;35,CT90+CS91-DB90,IF(A91&lt;'Données projet'!$A$140,$CQ$205^A91,IF(A91='Données projet'!$A$140,'Données projet'!$B$140,CT90+CS91-DB90)))</f>
        <v>256.59999999999991</v>
      </c>
      <c r="CU91" s="17">
        <f>CT91*VLOOKUP('Données projet'!$B$13,Paramètres!$A$1:$I$89,3,0)*VLOOKUP('Données projet'!$B$13,Paramètres!$A$1:$I$89,5,0)</f>
        <v>244.18055999999993</v>
      </c>
      <c r="CV91" s="13">
        <f t="shared" si="95"/>
        <v>59.338092320635823</v>
      </c>
      <c r="CW91" s="20">
        <f t="shared" si="67"/>
        <v>528.62831945844061</v>
      </c>
      <c r="CX91" s="57">
        <f t="shared" si="68"/>
        <v>821.96165279177399</v>
      </c>
      <c r="CY91" s="57">
        <f ca="1">AVERAGE(OFFSET($CX$3,0,0,'Données projet'!$E$13+1,1))-AVERAGE(OFFSET($H$3,0,0,'Données projet'!$E$13+1,1))</f>
        <v>314.67680626853303</v>
      </c>
      <c r="CZ91" s="57">
        <f t="shared" si="96"/>
        <v>372.57247561536263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83.937194345273852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83.937194345273852</v>
      </c>
      <c r="DJ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319</v>
      </c>
      <c r="DP91" s="17">
        <f>DO91*VLOOKUP('Données projet'!$B$14,Paramètres!$A$1:$I$89,3,0)*VLOOKUP('Données projet'!$B$14,Paramètres!$A$1:$I$89,5,0)</f>
        <v>209.00879999999998</v>
      </c>
      <c r="DQ91" s="13">
        <f t="shared" si="97"/>
        <v>51.718923953824202</v>
      </c>
      <c r="DR91" s="20">
        <f t="shared" si="70"/>
        <v>454.10078588624373</v>
      </c>
      <c r="DS91" s="57">
        <f t="shared" si="71"/>
        <v>747.43411921957704</v>
      </c>
      <c r="DT91" s="57">
        <f ca="1">AVERAGE(OFFSET($DS$3,0,0,'Données projet'!$E$14+1,1))-AVERAGE(OFFSET($H$3,0,0,'Données projet'!$E$14+1,1))</f>
        <v>188.80259324758066</v>
      </c>
      <c r="DU91" s="57">
        <f t="shared" si="98"/>
        <v>195.48048518255354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30.319156113791962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30.319156113791962</v>
      </c>
      <c r="EE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319</v>
      </c>
      <c r="EK91" s="17">
        <f>EJ91*VLOOKUP('Données projet'!$B$15,Paramètres!$A$1:$I$89,3,0)*VLOOKUP('Données projet'!$B$15,Paramètres!$A$1:$I$89,5,0)</f>
        <v>258.77280000000002</v>
      </c>
      <c r="EL91" s="13">
        <f t="shared" si="99"/>
        <v>62.460716522234691</v>
      </c>
      <c r="EM91" s="20">
        <f t="shared" si="73"/>
        <v>559.48170794289206</v>
      </c>
      <c r="EN91" s="57">
        <f t="shared" si="74"/>
        <v>852.81504127622543</v>
      </c>
      <c r="EO91" s="57">
        <f ca="1">AVERAGE(OFFSET($EN$3,0,0,'Données projet'!$E$15+1,1))-AVERAGE(OFFSET($H$3,0,0,'Données projet'!$E$15+1,1))</f>
        <v>250.90550982248311</v>
      </c>
      <c r="EP91" s="57">
        <f t="shared" si="100"/>
        <v>254.68874167908001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37.538002807551955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37.538002807551955</v>
      </c>
      <c r="EZ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7" t="e">
        <f t="shared" si="77"/>
        <v>#N/A</v>
      </c>
      <c r="FJ91" s="57" t="e">
        <f ca="1">AVERAGE(OFFSET($FI$3,0,0,'Données projet'!$E$16+1,1))-AVERAGE(OFFSET($H$3,0,0,'Données projet'!$E$16+1,1))</f>
        <v>#N/A</v>
      </c>
      <c r="FK91" s="57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7" t="e">
        <f t="shared" si="80"/>
        <v>#N/A</v>
      </c>
      <c r="GE91" s="57" t="e">
        <f ca="1">AVERAGE(OFFSET($GD$3,0,0,'Données projet'!$E$17+1,1))-AVERAGE(OFFSET($H$3,0,0,'Données projet'!$E$17+1,1))</f>
        <v>#N/A</v>
      </c>
      <c r="GF91" s="57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7" t="e">
        <f t="shared" si="83"/>
        <v>#N/A</v>
      </c>
      <c r="GZ91" s="57" t="e">
        <f ca="1">AVERAGE(OFFSET($GY$3,0,0,'Données projet'!$E$18+1,1))-AVERAGE(OFFSET($H$3,0,0,'Données projet'!$E$18+1,1))</f>
        <v>#N/A</v>
      </c>
      <c r="HA91" s="57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0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4">
        <f t="shared" si="56"/>
        <v>466.34464013858201</v>
      </c>
      <c r="I92" s="6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272.60064</v>
      </c>
      <c r="P92" s="13">
        <f t="shared" si="87"/>
        <v>65.400882437522853</v>
      </c>
      <c r="Q92" s="20">
        <f t="shared" si="54"/>
        <v>588.68598491201885</v>
      </c>
      <c r="R92" s="57">
        <f t="shared" si="55"/>
        <v>882.01931824535222</v>
      </c>
      <c r="S92" s="57">
        <f ca="1">AVERAGE(OFFSET($R$3,0,0,'Données projet'!$E$9+1,1))-AVERAGE(OFFSET($H$3,0,0,'Données projet'!$E$9+1,1))</f>
        <v>267.44861001389006</v>
      </c>
      <c r="T92" s="57">
        <f t="shared" si="88"/>
        <v>165.25921510802965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72.902612578863113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72.902612578863113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6.4</v>
      </c>
      <c r="AI92" s="13">
        <f>IF('Données projet'!$A$62&gt;35,AI91+AH92-AQ91,IF(A92&lt;'Données projet'!$A$62,$AF$205^A92,IF(A92='Données projet'!$A$62,'Données projet'!$B$62,AI91+AH92-AQ91)))</f>
        <v>323.59999999999997</v>
      </c>
      <c r="AJ92" s="13">
        <f>AI92*VLOOKUP('Données projet'!$B$10,Paramètres!$A$1:$I$89,3,0)*VLOOKUP('Données projet'!$B$10,Paramètres!$A$1:$I$89,5,0)</f>
        <v>292.79327999999992</v>
      </c>
      <c r="AK92" s="13">
        <f t="shared" si="89"/>
        <v>69.663526761731433</v>
      </c>
      <c r="AL92" s="20">
        <f t="shared" si="58"/>
        <v>631.27893844334869</v>
      </c>
      <c r="AM92" s="57">
        <f t="shared" si="59"/>
        <v>924.61227177668206</v>
      </c>
      <c r="AN92" s="57">
        <f ca="1">AVERAGE(OFFSET($AM$3,0,0,'Données projet'!$E$10+1,1))-AVERAGE(OFFSET($H$3,0,0,'Données projet'!$E$10+1,1))</f>
        <v>294.92430430387071</v>
      </c>
      <c r="AO92" s="57">
        <f t="shared" si="90"/>
        <v>181.52228471516497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78.302806103223332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78.302806103223332</v>
      </c>
      <c r="AY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319</v>
      </c>
      <c r="BE92" s="13">
        <f>BD92*VLOOKUP('Données projet'!$B$11,Paramètres!$A$1:$I$89,3,0)*VLOOKUP('Données projet'!$B$11,Paramètres!$A$1:$I$89,5,0)</f>
        <v>258.77280000000002</v>
      </c>
      <c r="BF92" s="13">
        <f t="shared" si="91"/>
        <v>62.460716522234691</v>
      </c>
      <c r="BG92" s="20">
        <f t="shared" si="61"/>
        <v>559.48170794289206</v>
      </c>
      <c r="BH92" s="57">
        <f t="shared" si="62"/>
        <v>852.81504127622543</v>
      </c>
      <c r="BI92" s="57">
        <f ca="1">AVERAGE(OFFSET($BH$3,0,0,'Données projet'!$E$11+1,1))-AVERAGE(OFFSET($H$3,0,0,'Données projet'!$E$11+1,1))</f>
        <v>250.90550982248311</v>
      </c>
      <c r="BJ92" s="57">
        <f t="shared" si="92"/>
        <v>254.68874167908001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36.801905468416791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36.801905468416791</v>
      </c>
      <c r="BT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739.99999999999966</v>
      </c>
      <c r="BZ92" s="13">
        <f>BY92*VLOOKUP('Données projet'!$B$12,Paramètres!$A$1:$I$89,3,0)*VLOOKUP('Données projet'!$B$12,Paramètres!$A$1:$I$89,5,0)</f>
        <v>413.65999999999985</v>
      </c>
      <c r="CA92" s="13">
        <f t="shared" si="93"/>
        <v>94.540585122244352</v>
      </c>
      <c r="CB92" s="20">
        <f t="shared" si="64"/>
        <v>885.11601908790863</v>
      </c>
      <c r="CC92" s="57">
        <f t="shared" si="65"/>
        <v>1178.4493524212419</v>
      </c>
      <c r="CD92" s="57">
        <f ca="1">AVERAGE(OFFSET($CC$3,0,0,'Données projet'!$E$12+1,1))-AVERAGE(OFFSET($H$3,0,0,'Données projet'!$E$12+1,1))</f>
        <v>462.54745364638171</v>
      </c>
      <c r="CE92" s="57">
        <f t="shared" si="94"/>
        <v>571.50914830067313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69.538983618618175</v>
      </c>
      <c r="CL92" s="21">
        <f>EXP(-LN(2)/25)*CL91+(1-EXP(-LN(2)/25))/(LN(2)/25)*Calculateur!CG92*Calculateur!CI92*VLOOKUP('Données projet'!$B$12,Paramètres!$A$1:$I$89,3,0)*0.475*44/12</f>
        <v>11.255354533758512</v>
      </c>
      <c r="CM92" s="21">
        <f>EXP(-LN(2)/2)*CM91+(1-EXP(-LN(2)/2))/(LN(2)/2)*CG92*CJ92*VLOOKUP('Données projet'!$B$12,Paramètres!$A$1:$I$89,3,0)*0.475*44/12</f>
        <v>1.120162300593065E-9</v>
      </c>
      <c r="CN92" s="22">
        <f t="shared" si="66"/>
        <v>80.794338153496838</v>
      </c>
      <c r="CO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5.2</v>
      </c>
      <c r="CT92" s="12">
        <f>IF('Données projet'!$A$140&gt;35,CT91+CS92-DB91,IF(A92&lt;'Données projet'!$A$140,$CQ$205^A92,IF(A92='Données projet'!$A$140,'Données projet'!$B$140,CT91+CS92-DB91)))</f>
        <v>261.7999999999999</v>
      </c>
      <c r="CU92" s="17">
        <f>CT92*VLOOKUP('Données projet'!$B$13,Paramètres!$A$1:$I$89,3,0)*VLOOKUP('Données projet'!$B$13,Paramètres!$A$1:$I$89,5,0)</f>
        <v>249.1288799999999</v>
      </c>
      <c r="CV92" s="13">
        <f t="shared" si="95"/>
        <v>60.399365736982055</v>
      </c>
      <c r="CW92" s="20">
        <f t="shared" si="67"/>
        <v>539.09502799191023</v>
      </c>
      <c r="CX92" s="57">
        <f t="shared" si="68"/>
        <v>832.42836132524349</v>
      </c>
      <c r="CY92" s="57">
        <f ca="1">AVERAGE(OFFSET($CX$3,0,0,'Données projet'!$E$13+1,1))-AVERAGE(OFFSET($H$3,0,0,'Données projet'!$E$13+1,1))</f>
        <v>314.67680626853303</v>
      </c>
      <c r="CZ92" s="57">
        <f t="shared" si="96"/>
        <v>372.57247561536263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82.291237160796328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82.291237160796328</v>
      </c>
      <c r="DJ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319</v>
      </c>
      <c r="DP92" s="17">
        <f>DO92*VLOOKUP('Données projet'!$B$14,Paramètres!$A$1:$I$89,3,0)*VLOOKUP('Données projet'!$B$14,Paramètres!$A$1:$I$89,5,0)</f>
        <v>209.00879999999998</v>
      </c>
      <c r="DQ92" s="13">
        <f t="shared" si="97"/>
        <v>51.718923953824202</v>
      </c>
      <c r="DR92" s="20">
        <f t="shared" si="70"/>
        <v>454.10078588624373</v>
      </c>
      <c r="DS92" s="57">
        <f t="shared" si="71"/>
        <v>747.43411921957704</v>
      </c>
      <c r="DT92" s="57">
        <f ca="1">AVERAGE(OFFSET($DS$3,0,0,'Données projet'!$E$14+1,1))-AVERAGE(OFFSET($H$3,0,0,'Données projet'!$E$14+1,1))</f>
        <v>188.80259324758066</v>
      </c>
      <c r="DU92" s="57">
        <f t="shared" si="98"/>
        <v>195.48048518255354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29.724615955259711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29.724615955259711</v>
      </c>
      <c r="EE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319</v>
      </c>
      <c r="EK92" s="17">
        <f>EJ92*VLOOKUP('Données projet'!$B$15,Paramètres!$A$1:$I$89,3,0)*VLOOKUP('Données projet'!$B$15,Paramètres!$A$1:$I$89,5,0)</f>
        <v>258.77280000000002</v>
      </c>
      <c r="EL92" s="13">
        <f t="shared" si="99"/>
        <v>62.460716522234691</v>
      </c>
      <c r="EM92" s="20">
        <f t="shared" si="73"/>
        <v>559.48170794289206</v>
      </c>
      <c r="EN92" s="57">
        <f t="shared" si="74"/>
        <v>852.81504127622543</v>
      </c>
      <c r="EO92" s="57">
        <f ca="1">AVERAGE(OFFSET($EN$3,0,0,'Données projet'!$E$15+1,1))-AVERAGE(OFFSET($H$3,0,0,'Données projet'!$E$15+1,1))</f>
        <v>250.90550982248311</v>
      </c>
      <c r="EP92" s="57">
        <f t="shared" si="100"/>
        <v>254.68874167908001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36.801905468416791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36.801905468416791</v>
      </c>
      <c r="EZ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7" t="e">
        <f t="shared" si="77"/>
        <v>#N/A</v>
      </c>
      <c r="FJ92" s="57" t="e">
        <f ca="1">AVERAGE(OFFSET($FI$3,0,0,'Données projet'!$E$16+1,1))-AVERAGE(OFFSET($H$3,0,0,'Données projet'!$E$16+1,1))</f>
        <v>#N/A</v>
      </c>
      <c r="FK92" s="57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7" t="e">
        <f t="shared" si="80"/>
        <v>#N/A</v>
      </c>
      <c r="GE92" s="57" t="e">
        <f ca="1">AVERAGE(OFFSET($GD$3,0,0,'Données projet'!$E$17+1,1))-AVERAGE(OFFSET($H$3,0,0,'Données projet'!$E$17+1,1))</f>
        <v>#N/A</v>
      </c>
      <c r="GF92" s="57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7" t="e">
        <f t="shared" si="83"/>
        <v>#N/A</v>
      </c>
      <c r="GZ92" s="57" t="e">
        <f ca="1">AVERAGE(OFFSET($GY$3,0,0,'Données projet'!$E$18+1,1))-AVERAGE(OFFSET($H$3,0,0,'Données projet'!$E$18+1,1))</f>
        <v>#N/A</v>
      </c>
      <c r="HA92" s="57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0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4">
        <f t="shared" si="56"/>
        <v>468.23917380194217</v>
      </c>
      <c r="I93" s="6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277.99200000000002</v>
      </c>
      <c r="P93" s="13">
        <f t="shared" si="87"/>
        <v>66.542483170264177</v>
      </c>
      <c r="Q93" s="20">
        <f t="shared" si="54"/>
        <v>600.06422485487678</v>
      </c>
      <c r="R93" s="57">
        <f t="shared" si="55"/>
        <v>893.39755818821004</v>
      </c>
      <c r="S93" s="57">
        <f ca="1">AVERAGE(OFFSET($R$3,0,0,'Données projet'!$E$9+1,1))-AVERAGE(OFFSET($H$3,0,0,'Données projet'!$E$9+1,1))</f>
        <v>267.44861001389006</v>
      </c>
      <c r="T93" s="57">
        <f t="shared" si="88"/>
        <v>165.25921510802965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82.685265714926032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82.685265714926032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330</v>
      </c>
      <c r="AG93" s="12">
        <f>VLOOKUP(A93,'Données projet'!$A$61:$I$81,9,0)</f>
        <v>6.4</v>
      </c>
      <c r="AH93" s="12">
        <f t="array" ref="AH93">INDEX(AG:AG,MIN(IF(ISNUMBER(AG93:AG289),ROW(AG93:AG289),"")))</f>
        <v>6.4</v>
      </c>
      <c r="AI93" s="13">
        <f>IF('Données projet'!$A$62&gt;35,AI92+AH93-AQ92,IF(A93&lt;'Données projet'!$A$62,$AF$205^A93,IF(A93='Données projet'!$A$62,'Données projet'!$B$62,AI92+AH93-AQ92)))</f>
        <v>329.99999999999994</v>
      </c>
      <c r="AJ93" s="13">
        <f>AI93*VLOOKUP('Données projet'!$B$10,Paramètres!$A$1:$I$89,3,0)*VLOOKUP('Données projet'!$B$10,Paramètres!$A$1:$I$89,5,0)</f>
        <v>298.58399999999995</v>
      </c>
      <c r="AK93" s="13">
        <f t="shared" si="89"/>
        <v>70.879533797607607</v>
      </c>
      <c r="AL93" s="20">
        <f t="shared" si="58"/>
        <v>643.48232136416652</v>
      </c>
      <c r="AM93" s="57">
        <f t="shared" si="59"/>
        <v>936.81565469749989</v>
      </c>
      <c r="AN93" s="57">
        <f ca="1">AVERAGE(OFFSET($AM$3,0,0,'Données projet'!$E$10+1,1))-AVERAGE(OFFSET($H$3,0,0,'Données projet'!$E$10+1,1))</f>
        <v>294.92430430387071</v>
      </c>
      <c r="AO93" s="57">
        <f t="shared" si="90"/>
        <v>181.52228471516497</v>
      </c>
      <c r="AP93" s="15">
        <f>IF(ISNA(VLOOKUP(A93,'Données projet'!$A$61:$I$81,3,0)),0,VLOOKUP(A93,'Données projet'!$A$61:$I$81,3,0))</f>
        <v>15</v>
      </c>
      <c r="AQ93" s="15">
        <f>IF(ISNA(VLOOKUP(A93,'Données projet'!$A$61:$I$81,4,0)),0,VLOOKUP(A93,'Données projet'!$A$61:$I$81,4,0))</f>
        <v>28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88.810100212327953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88.810100212327953</v>
      </c>
      <c r="AY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319</v>
      </c>
      <c r="BE93" s="13">
        <f>BD93*VLOOKUP('Données projet'!$B$11,Paramètres!$A$1:$I$89,3,0)*VLOOKUP('Données projet'!$B$11,Paramètres!$A$1:$I$89,5,0)</f>
        <v>258.77280000000002</v>
      </c>
      <c r="BF93" s="13">
        <f t="shared" si="91"/>
        <v>62.460716522234691</v>
      </c>
      <c r="BG93" s="20">
        <f t="shared" si="61"/>
        <v>559.48170794289206</v>
      </c>
      <c r="BH93" s="57">
        <f t="shared" si="62"/>
        <v>852.81504127622543</v>
      </c>
      <c r="BI93" s="57">
        <f ca="1">AVERAGE(OFFSET($BH$3,0,0,'Données projet'!$E$11+1,1))-AVERAGE(OFFSET($H$3,0,0,'Données projet'!$E$11+1,1))</f>
        <v>250.90550982248311</v>
      </c>
      <c r="BJ93" s="57">
        <f t="shared" si="92"/>
        <v>254.68874167908001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36.080242549127021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36.080242549127021</v>
      </c>
      <c r="BT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739.99999999999966</v>
      </c>
      <c r="BZ93" s="13">
        <f>BY93*VLOOKUP('Données projet'!$B$12,Paramètres!$A$1:$I$89,3,0)*VLOOKUP('Données projet'!$B$12,Paramètres!$A$1:$I$89,5,0)</f>
        <v>413.65999999999985</v>
      </c>
      <c r="CA93" s="13">
        <f t="shared" si="93"/>
        <v>94.540585122244352</v>
      </c>
      <c r="CB93" s="20">
        <f t="shared" si="64"/>
        <v>885.11601908790863</v>
      </c>
      <c r="CC93" s="57">
        <f t="shared" si="65"/>
        <v>1178.4493524212419</v>
      </c>
      <c r="CD93" s="57">
        <f ca="1">AVERAGE(OFFSET($CC$3,0,0,'Données projet'!$E$12+1,1))-AVERAGE(OFFSET($H$3,0,0,'Données projet'!$E$12+1,1))</f>
        <v>462.54745364638171</v>
      </c>
      <c r="CE93" s="57">
        <f t="shared" si="94"/>
        <v>571.50914830067313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68.175366564448993</v>
      </c>
      <c r="CL93" s="21">
        <f>EXP(-LN(2)/25)*CL92+(1-EXP(-LN(2)/25))/(LN(2)/25)*Calculateur!CG93*Calculateur!CI93*VLOOKUP('Données projet'!$B$12,Paramètres!$A$1:$I$89,3,0)*0.475*44/12</f>
        <v>10.947576272139514</v>
      </c>
      <c r="CM93" s="21">
        <f>EXP(-LN(2)/2)*CM92+(1-EXP(-LN(2)/2))/(LN(2)/2)*CG93*CJ93*VLOOKUP('Données projet'!$B$12,Paramètres!$A$1:$I$89,3,0)*0.475*44/12</f>
        <v>7.9207435877888012E-10</v>
      </c>
      <c r="CN93" s="22">
        <f t="shared" si="66"/>
        <v>79.122942837380577</v>
      </c>
      <c r="CO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267</v>
      </c>
      <c r="CR93" s="12">
        <f>VLOOKUP(A93,'Données projet'!$A$139:$I$159,9,0)</f>
        <v>5.2</v>
      </c>
      <c r="CS93" s="12">
        <f t="array" ref="CS93">INDEX(CR:CR,MIN(IF(ISNUMBER(CR93:CR289),ROW(CR93:CR289),"")))</f>
        <v>5.2</v>
      </c>
      <c r="CT93" s="12">
        <f>IF('Données projet'!$A$140&gt;35,CT92+CS93-DB92,IF(A93&lt;'Données projet'!$A$140,$CQ$205^A93,IF(A93='Données projet'!$A$140,'Données projet'!$B$140,CT92+CS93-DB92)))</f>
        <v>266.99999999999989</v>
      </c>
      <c r="CU93" s="17">
        <f>CT93*VLOOKUP('Données projet'!$B$13,Paramètres!$A$1:$I$89,3,0)*VLOOKUP('Données projet'!$B$13,Paramètres!$A$1:$I$89,5,0)</f>
        <v>254.07719999999989</v>
      </c>
      <c r="CV93" s="13">
        <f t="shared" si="95"/>
        <v>61.458188159552705</v>
      </c>
      <c r="CW93" s="20">
        <f t="shared" si="67"/>
        <v>549.55746771122074</v>
      </c>
      <c r="CX93" s="57">
        <f t="shared" si="68"/>
        <v>842.89080104455411</v>
      </c>
      <c r="CY93" s="57">
        <f ca="1">AVERAGE(OFFSET($CX$3,0,0,'Données projet'!$E$13+1,1))-AVERAGE(OFFSET($H$3,0,0,'Données projet'!$E$13+1,1))</f>
        <v>314.67680626853303</v>
      </c>
      <c r="CZ93" s="57">
        <f t="shared" si="96"/>
        <v>372.57247561536263</v>
      </c>
      <c r="DA93" s="15">
        <f>IF(ISNA(VLOOKUP(A93,'Données projet'!$A$139:$I$159,3,0)),0,VLOOKUP(A93,'Données projet'!$A$139:$I$159,3,0))</f>
        <v>17</v>
      </c>
      <c r="DB93" s="15">
        <f>IF(ISNA(VLOOKUP(A93,'Données projet'!$A$139:$I$159,4,0)),0,VLOOKUP(A93,'Données projet'!$A$139:$I$159,4,0))</f>
        <v>24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91.533841320619558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91.533841320619558</v>
      </c>
      <c r="DJ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319</v>
      </c>
      <c r="DP93" s="17">
        <f>DO93*VLOOKUP('Données projet'!$B$14,Paramètres!$A$1:$I$89,3,0)*VLOOKUP('Données projet'!$B$14,Paramètres!$A$1:$I$89,5,0)</f>
        <v>209.00879999999998</v>
      </c>
      <c r="DQ93" s="13">
        <f t="shared" si="97"/>
        <v>51.718923953824202</v>
      </c>
      <c r="DR93" s="20">
        <f t="shared" si="70"/>
        <v>454.10078588624373</v>
      </c>
      <c r="DS93" s="57">
        <f t="shared" si="71"/>
        <v>747.43411921957704</v>
      </c>
      <c r="DT93" s="57">
        <f ca="1">AVERAGE(OFFSET($DS$3,0,0,'Données projet'!$E$14+1,1))-AVERAGE(OFFSET($H$3,0,0,'Données projet'!$E$14+1,1))</f>
        <v>188.80259324758066</v>
      </c>
      <c r="DU93" s="57">
        <f t="shared" si="98"/>
        <v>195.48048518255354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29.141734366602591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29.141734366602591</v>
      </c>
      <c r="EE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319</v>
      </c>
      <c r="EK93" s="17">
        <f>EJ93*VLOOKUP('Données projet'!$B$15,Paramètres!$A$1:$I$89,3,0)*VLOOKUP('Données projet'!$B$15,Paramètres!$A$1:$I$89,5,0)</f>
        <v>258.77280000000002</v>
      </c>
      <c r="EL93" s="13">
        <f t="shared" si="99"/>
        <v>62.460716522234691</v>
      </c>
      <c r="EM93" s="20">
        <f t="shared" si="73"/>
        <v>559.48170794289206</v>
      </c>
      <c r="EN93" s="57">
        <f t="shared" si="74"/>
        <v>852.81504127622543</v>
      </c>
      <c r="EO93" s="57">
        <f ca="1">AVERAGE(OFFSET($EN$3,0,0,'Données projet'!$E$15+1,1))-AVERAGE(OFFSET($H$3,0,0,'Données projet'!$E$15+1,1))</f>
        <v>250.90550982248311</v>
      </c>
      <c r="EP93" s="57">
        <f t="shared" si="100"/>
        <v>254.68874167908001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36.080242549127021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36.080242549127021</v>
      </c>
      <c r="EZ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7" t="e">
        <f t="shared" si="77"/>
        <v>#N/A</v>
      </c>
      <c r="FJ93" s="57" t="e">
        <f ca="1">AVERAGE(OFFSET($FI$3,0,0,'Données projet'!$E$16+1,1))-AVERAGE(OFFSET($H$3,0,0,'Données projet'!$E$16+1,1))</f>
        <v>#N/A</v>
      </c>
      <c r="FK93" s="57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7" t="e">
        <f t="shared" si="80"/>
        <v>#N/A</v>
      </c>
      <c r="GE93" s="57" t="e">
        <f ca="1">AVERAGE(OFFSET($GD$3,0,0,'Données projet'!$E$17+1,1))-AVERAGE(OFFSET($H$3,0,0,'Données projet'!$E$17+1,1))</f>
        <v>#N/A</v>
      </c>
      <c r="GF93" s="57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7" t="e">
        <f t="shared" si="83"/>
        <v>#N/A</v>
      </c>
      <c r="GZ93" s="57" t="e">
        <f ca="1">AVERAGE(OFFSET($GY$3,0,0,'Données projet'!$E$18+1,1))-AVERAGE(OFFSET($H$3,0,0,'Données projet'!$E$18+1,1))</f>
        <v>#N/A</v>
      </c>
      <c r="HA93" s="57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0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4">
        <f t="shared" si="56"/>
        <v>470.13322533564406</v>
      </c>
      <c r="I94" s="6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259.62767999999994</v>
      </c>
      <c r="P94" s="13">
        <f t="shared" si="87"/>
        <v>62.643007760076095</v>
      </c>
      <c r="Q94" s="20">
        <f t="shared" si="54"/>
        <v>561.28811451546574</v>
      </c>
      <c r="R94" s="57">
        <f t="shared" si="55"/>
        <v>854.62144784879911</v>
      </c>
      <c r="S94" s="57">
        <f ca="1">AVERAGE(OFFSET($R$3,0,0,'Données projet'!$E$9+1,1))-AVERAGE(OFFSET($H$3,0,0,'Données projet'!$E$9+1,1))</f>
        <v>267.44861001389006</v>
      </c>
      <c r="T94" s="57">
        <f t="shared" si="88"/>
        <v>165.25921510802965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81.063858087288565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81.063858087288565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6.2</v>
      </c>
      <c r="AI94" s="13">
        <f>IF('Données projet'!$A$62&gt;35,AI93+AH94-AQ93,IF(A94&lt;'Données projet'!$A$62,$AF$205^A94,IF(A94='Données projet'!$A$62,'Données projet'!$B$62,AI93+AH94-AQ93)))</f>
        <v>308.19999999999993</v>
      </c>
      <c r="AJ94" s="13">
        <f>AI94*VLOOKUP('Données projet'!$B$10,Paramètres!$A$1:$I$89,3,0)*VLOOKUP('Données projet'!$B$10,Paramètres!$A$1:$I$89,5,0)</f>
        <v>278.85935999999992</v>
      </c>
      <c r="AK94" s="13">
        <f t="shared" si="89"/>
        <v>66.725901622172387</v>
      </c>
      <c r="AL94" s="20">
        <f t="shared" si="58"/>
        <v>601.8943306586167</v>
      </c>
      <c r="AM94" s="57">
        <f t="shared" si="59"/>
        <v>895.22766399195007</v>
      </c>
      <c r="AN94" s="57">
        <f ca="1">AVERAGE(OFFSET($AM$3,0,0,'Données projet'!$E$10+1,1))-AVERAGE(OFFSET($H$3,0,0,'Données projet'!$E$10+1,1))</f>
        <v>294.92430430387071</v>
      </c>
      <c r="AO94" s="57">
        <f t="shared" si="90"/>
        <v>181.52228471516497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87.068588315976612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87.068588315976612</v>
      </c>
      <c r="AY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319</v>
      </c>
      <c r="BE94" s="13">
        <f>BD94*VLOOKUP('Données projet'!$B$11,Paramètres!$A$1:$I$89,3,0)*VLOOKUP('Données projet'!$B$11,Paramètres!$A$1:$I$89,5,0)</f>
        <v>258.77280000000002</v>
      </c>
      <c r="BF94" s="13">
        <f t="shared" si="91"/>
        <v>62.460716522234691</v>
      </c>
      <c r="BG94" s="20">
        <f t="shared" si="61"/>
        <v>559.48170794289206</v>
      </c>
      <c r="BH94" s="57">
        <f t="shared" si="62"/>
        <v>852.81504127622543</v>
      </c>
      <c r="BI94" s="57">
        <f ca="1">AVERAGE(OFFSET($BH$3,0,0,'Données projet'!$E$11+1,1))-AVERAGE(OFFSET($H$3,0,0,'Données projet'!$E$11+1,1))</f>
        <v>250.90550982248311</v>
      </c>
      <c r="BJ94" s="57">
        <f t="shared" si="92"/>
        <v>254.68874167908001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35.372730999513607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35.372730999513607</v>
      </c>
      <c r="BT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739.99999999999966</v>
      </c>
      <c r="BZ94" s="13">
        <f>BY94*VLOOKUP('Données projet'!$B$12,Paramètres!$A$1:$I$89,3,0)*VLOOKUP('Données projet'!$B$12,Paramètres!$A$1:$I$89,5,0)</f>
        <v>413.65999999999985</v>
      </c>
      <c r="CA94" s="13">
        <f t="shared" si="93"/>
        <v>94.540585122244352</v>
      </c>
      <c r="CB94" s="20">
        <f t="shared" si="64"/>
        <v>885.11601908790863</v>
      </c>
      <c r="CC94" s="57">
        <f t="shared" si="65"/>
        <v>1178.4493524212419</v>
      </c>
      <c r="CD94" s="57">
        <f ca="1">AVERAGE(OFFSET($CC$3,0,0,'Données projet'!$E$12+1,1))-AVERAGE(OFFSET($H$3,0,0,'Données projet'!$E$12+1,1))</f>
        <v>462.54745364638171</v>
      </c>
      <c r="CE94" s="57">
        <f t="shared" si="94"/>
        <v>571.50914830067313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66.838489208987781</v>
      </c>
      <c r="CL94" s="21">
        <f>EXP(-LN(2)/25)*CL93+(1-EXP(-LN(2)/25))/(LN(2)/25)*Calculateur!CG94*Calculateur!CI94*VLOOKUP('Données projet'!$B$12,Paramètres!$A$1:$I$89,3,0)*0.475*44/12</f>
        <v>10.648214223269845</v>
      </c>
      <c r="CM94" s="21">
        <f>EXP(-LN(2)/2)*CM93+(1-EXP(-LN(2)/2))/(LN(2)/2)*CG94*CJ94*VLOOKUP('Données projet'!$B$12,Paramètres!$A$1:$I$89,3,0)*0.475*44/12</f>
        <v>5.6008115029653251E-10</v>
      </c>
      <c r="CN94" s="22">
        <f t="shared" si="66"/>
        <v>77.486703432817706</v>
      </c>
      <c r="CO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4.8</v>
      </c>
      <c r="CT94" s="12">
        <f>IF('Données projet'!$A$140&gt;35,CT93+CS94-DB93,IF(A94&lt;'Données projet'!$A$140,$CQ$205^A94,IF(A94='Données projet'!$A$140,'Données projet'!$B$140,CT93+CS94-DB93)))</f>
        <v>247.7999999999999</v>
      </c>
      <c r="CU94" s="17">
        <f>CT94*VLOOKUP('Données projet'!$B$13,Paramètres!$A$1:$I$89,3,0)*VLOOKUP('Données projet'!$B$13,Paramètres!$A$1:$I$89,5,0)</f>
        <v>235.80647999999991</v>
      </c>
      <c r="CV94" s="13">
        <f t="shared" si="95"/>
        <v>57.5363506739358</v>
      </c>
      <c r="CW94" s="20">
        <f t="shared" si="67"/>
        <v>510.90543009043807</v>
      </c>
      <c r="CX94" s="57">
        <f t="shared" si="68"/>
        <v>804.23876342377139</v>
      </c>
      <c r="CY94" s="57">
        <f ca="1">AVERAGE(OFFSET($CX$3,0,0,'Données projet'!$E$13+1,1))-AVERAGE(OFFSET($H$3,0,0,'Données projet'!$E$13+1,1))</f>
        <v>314.67680626853303</v>
      </c>
      <c r="CZ94" s="57">
        <f t="shared" si="96"/>
        <v>372.57247561536263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89.73891852245265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89.73891852245265</v>
      </c>
      <c r="DJ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319</v>
      </c>
      <c r="DP94" s="17">
        <f>DO94*VLOOKUP('Données projet'!$B$14,Paramètres!$A$1:$I$89,3,0)*VLOOKUP('Données projet'!$B$14,Paramètres!$A$1:$I$89,5,0)</f>
        <v>209.00879999999998</v>
      </c>
      <c r="DQ94" s="13">
        <f t="shared" si="97"/>
        <v>51.718923953824202</v>
      </c>
      <c r="DR94" s="20">
        <f t="shared" si="70"/>
        <v>454.10078588624373</v>
      </c>
      <c r="DS94" s="57">
        <f t="shared" si="71"/>
        <v>747.43411921957704</v>
      </c>
      <c r="DT94" s="57">
        <f ca="1">AVERAGE(OFFSET($DS$3,0,0,'Données projet'!$E$14+1,1))-AVERAGE(OFFSET($H$3,0,0,'Données projet'!$E$14+1,1))</f>
        <v>188.80259324758066</v>
      </c>
      <c r="DU94" s="57">
        <f t="shared" si="98"/>
        <v>195.48048518255354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28.570282730376373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28.570282730376373</v>
      </c>
      <c r="EE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319</v>
      </c>
      <c r="EK94" s="17">
        <f>EJ94*VLOOKUP('Données projet'!$B$15,Paramètres!$A$1:$I$89,3,0)*VLOOKUP('Données projet'!$B$15,Paramètres!$A$1:$I$89,5,0)</f>
        <v>258.77280000000002</v>
      </c>
      <c r="EL94" s="13">
        <f t="shared" si="99"/>
        <v>62.460716522234691</v>
      </c>
      <c r="EM94" s="20">
        <f t="shared" si="73"/>
        <v>559.48170794289206</v>
      </c>
      <c r="EN94" s="57">
        <f t="shared" si="74"/>
        <v>852.81504127622543</v>
      </c>
      <c r="EO94" s="57">
        <f ca="1">AVERAGE(OFFSET($EN$3,0,0,'Données projet'!$E$15+1,1))-AVERAGE(OFFSET($H$3,0,0,'Données projet'!$E$15+1,1))</f>
        <v>250.90550982248311</v>
      </c>
      <c r="EP94" s="57">
        <f t="shared" si="100"/>
        <v>254.68874167908001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35.372730999513607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35.372730999513607</v>
      </c>
      <c r="EZ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7" t="e">
        <f t="shared" si="77"/>
        <v>#N/A</v>
      </c>
      <c r="FJ94" s="57" t="e">
        <f ca="1">AVERAGE(OFFSET($FI$3,0,0,'Données projet'!$E$16+1,1))-AVERAGE(OFFSET($H$3,0,0,'Données projet'!$E$16+1,1))</f>
        <v>#N/A</v>
      </c>
      <c r="FK94" s="57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7" t="e">
        <f t="shared" si="80"/>
        <v>#N/A</v>
      </c>
      <c r="GE94" s="57" t="e">
        <f ca="1">AVERAGE(OFFSET($GD$3,0,0,'Données projet'!$E$17+1,1))-AVERAGE(OFFSET($H$3,0,0,'Données projet'!$E$17+1,1))</f>
        <v>#N/A</v>
      </c>
      <c r="GF94" s="57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7" t="e">
        <f t="shared" si="83"/>
        <v>#N/A</v>
      </c>
      <c r="GZ94" s="57" t="e">
        <f ca="1">AVERAGE(OFFSET($GY$3,0,0,'Données projet'!$E$18+1,1))-AVERAGE(OFFSET($H$3,0,0,'Données projet'!$E$18+1,1))</f>
        <v>#N/A</v>
      </c>
      <c r="HA94" s="57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0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4">
        <f t="shared" si="56"/>
        <v>472.0268006509757</v>
      </c>
      <c r="I95" s="6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264.85055999999997</v>
      </c>
      <c r="P95" s="13">
        <f t="shared" si="87"/>
        <v>63.755206416242395</v>
      </c>
      <c r="Q95" s="20">
        <f t="shared" si="54"/>
        <v>572.32170984162212</v>
      </c>
      <c r="R95" s="57">
        <f t="shared" si="55"/>
        <v>865.65504317495538</v>
      </c>
      <c r="S95" s="57">
        <f ca="1">AVERAGE(OFFSET($R$3,0,0,'Données projet'!$E$9+1,1))-AVERAGE(OFFSET($H$3,0,0,'Données projet'!$E$9+1,1))</f>
        <v>267.44861001389006</v>
      </c>
      <c r="T95" s="57">
        <f t="shared" si="88"/>
        <v>165.25921510802965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79.474245274268071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79.474245274268071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6.2</v>
      </c>
      <c r="AI95" s="13">
        <f>IF('Données projet'!$A$62&gt;35,AI94+AH95-AQ94,IF(A95&lt;'Données projet'!$A$62,$AF$205^A95,IF(A95='Données projet'!$A$62,'Données projet'!$B$62,AI94+AH95-AQ94)))</f>
        <v>314.39999999999992</v>
      </c>
      <c r="AJ95" s="13">
        <f>AI95*VLOOKUP('Données projet'!$B$10,Paramètres!$A$1:$I$89,3,0)*VLOOKUP('Données projet'!$B$10,Paramètres!$A$1:$I$89,5,0)</f>
        <v>284.46911999999992</v>
      </c>
      <c r="AK95" s="13">
        <f t="shared" si="89"/>
        <v>67.91059023737904</v>
      </c>
      <c r="AL95" s="20">
        <f t="shared" si="58"/>
        <v>613.72799533010163</v>
      </c>
      <c r="AM95" s="57">
        <f t="shared" si="59"/>
        <v>907.06132866343501</v>
      </c>
      <c r="AN95" s="57">
        <f ca="1">AVERAGE(OFFSET($AM$3,0,0,'Données projet'!$E$10+1,1))-AVERAGE(OFFSET($H$3,0,0,'Données projet'!$E$10+1,1))</f>
        <v>294.92430430387071</v>
      </c>
      <c r="AO95" s="57">
        <f t="shared" si="90"/>
        <v>181.52228471516497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85.361226405695348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85.361226405695348</v>
      </c>
      <c r="AY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319</v>
      </c>
      <c r="BE95" s="13">
        <f>BD95*VLOOKUP('Données projet'!$B$11,Paramètres!$A$1:$I$89,3,0)*VLOOKUP('Données projet'!$B$11,Paramètres!$A$1:$I$89,5,0)</f>
        <v>258.77280000000002</v>
      </c>
      <c r="BF95" s="13">
        <f t="shared" si="91"/>
        <v>62.460716522234691</v>
      </c>
      <c r="BG95" s="20">
        <f t="shared" si="61"/>
        <v>559.48170794289206</v>
      </c>
      <c r="BH95" s="57">
        <f t="shared" si="62"/>
        <v>852.81504127622543</v>
      </c>
      <c r="BI95" s="57">
        <f ca="1">AVERAGE(OFFSET($BH$3,0,0,'Données projet'!$E$11+1,1))-AVERAGE(OFFSET($H$3,0,0,'Données projet'!$E$11+1,1))</f>
        <v>250.90550982248311</v>
      </c>
      <c r="BJ95" s="57">
        <f t="shared" si="92"/>
        <v>254.68874167908001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34.679093319848675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34.679093319848675</v>
      </c>
      <c r="BT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739.99999999999966</v>
      </c>
      <c r="BZ95" s="13">
        <f>BY95*VLOOKUP('Données projet'!$B$12,Paramètres!$A$1:$I$89,3,0)*VLOOKUP('Données projet'!$B$12,Paramètres!$A$1:$I$89,5,0)</f>
        <v>413.65999999999985</v>
      </c>
      <c r="CA95" s="13">
        <f t="shared" si="93"/>
        <v>94.540585122244352</v>
      </c>
      <c r="CB95" s="20">
        <f t="shared" si="64"/>
        <v>885.11601908790863</v>
      </c>
      <c r="CC95" s="57">
        <f t="shared" si="65"/>
        <v>1178.4493524212419</v>
      </c>
      <c r="CD95" s="57">
        <f ca="1">AVERAGE(OFFSET($CC$3,0,0,'Données projet'!$E$12+1,1))-AVERAGE(OFFSET($H$3,0,0,'Données projet'!$E$12+1,1))</f>
        <v>462.54745364638171</v>
      </c>
      <c r="CE95" s="57">
        <f t="shared" si="94"/>
        <v>571.50914830067313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65.527827203052496</v>
      </c>
      <c r="CL95" s="21">
        <f>EXP(-LN(2)/25)*CL94+(1-EXP(-LN(2)/25))/(LN(2)/25)*Calculateur!CG95*Calculateur!CI95*VLOOKUP('Données projet'!$B$12,Paramètres!$A$1:$I$89,3,0)*0.475*44/12</f>
        <v>10.357038245369282</v>
      </c>
      <c r="CM95" s="21">
        <f>EXP(-LN(2)/2)*CM94+(1-EXP(-LN(2)/2))/(LN(2)/2)*CG95*CJ95*VLOOKUP('Données projet'!$B$12,Paramètres!$A$1:$I$89,3,0)*0.475*44/12</f>
        <v>3.9603717938944006E-10</v>
      </c>
      <c r="CN95" s="22">
        <f t="shared" si="66"/>
        <v>75.88486544881782</v>
      </c>
      <c r="CO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4.8</v>
      </c>
      <c r="CT95" s="12">
        <f>IF('Données projet'!$A$140&gt;35,CT94+CS95-DB94,IF(A95&lt;'Données projet'!$A$140,$CQ$205^A95,IF(A95='Données projet'!$A$140,'Données projet'!$B$140,CT94+CS95-DB94)))</f>
        <v>252.59999999999991</v>
      </c>
      <c r="CU95" s="17">
        <f>CT95*VLOOKUP('Données projet'!$B$13,Paramètres!$A$1:$I$89,3,0)*VLOOKUP('Données projet'!$B$13,Paramètres!$A$1:$I$89,5,0)</f>
        <v>240.3741599999999</v>
      </c>
      <c r="CV95" s="13">
        <f t="shared" si="95"/>
        <v>58.520025528844819</v>
      </c>
      <c r="CW95" s="20">
        <f t="shared" si="67"/>
        <v>520.57403979607113</v>
      </c>
      <c r="CX95" s="57">
        <f t="shared" si="68"/>
        <v>813.9073731294045</v>
      </c>
      <c r="CY95" s="57">
        <f ca="1">AVERAGE(OFFSET($CX$3,0,0,'Données projet'!$E$13+1,1))-AVERAGE(OFFSET($H$3,0,0,'Données projet'!$E$13+1,1))</f>
        <v>314.67680626853303</v>
      </c>
      <c r="CZ95" s="57">
        <f t="shared" si="96"/>
        <v>372.57247561536263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87.979193065562981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87.979193065562981</v>
      </c>
      <c r="DJ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319</v>
      </c>
      <c r="DP95" s="17">
        <f>DO95*VLOOKUP('Données projet'!$B$14,Paramètres!$A$1:$I$89,3,0)*VLOOKUP('Données projet'!$B$14,Paramètres!$A$1:$I$89,5,0)</f>
        <v>209.00879999999998</v>
      </c>
      <c r="DQ95" s="13">
        <f t="shared" si="97"/>
        <v>51.718923953824202</v>
      </c>
      <c r="DR95" s="20">
        <f t="shared" si="70"/>
        <v>454.10078588624373</v>
      </c>
      <c r="DS95" s="57">
        <f t="shared" si="71"/>
        <v>747.43411921957704</v>
      </c>
      <c r="DT95" s="57">
        <f ca="1">AVERAGE(OFFSET($DS$3,0,0,'Données projet'!$E$14+1,1))-AVERAGE(OFFSET($H$3,0,0,'Données projet'!$E$14+1,1))</f>
        <v>188.80259324758066</v>
      </c>
      <c r="DU95" s="57">
        <f t="shared" si="98"/>
        <v>195.48048518255354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28.01003691218547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28.01003691218547</v>
      </c>
      <c r="EE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319</v>
      </c>
      <c r="EK95" s="17">
        <f>EJ95*VLOOKUP('Données projet'!$B$15,Paramètres!$A$1:$I$89,3,0)*VLOOKUP('Données projet'!$B$15,Paramètres!$A$1:$I$89,5,0)</f>
        <v>258.77280000000002</v>
      </c>
      <c r="EL95" s="13">
        <f t="shared" si="99"/>
        <v>62.460716522234691</v>
      </c>
      <c r="EM95" s="20">
        <f t="shared" si="73"/>
        <v>559.48170794289206</v>
      </c>
      <c r="EN95" s="57">
        <f t="shared" si="74"/>
        <v>852.81504127622543</v>
      </c>
      <c r="EO95" s="57">
        <f ca="1">AVERAGE(OFFSET($EN$3,0,0,'Données projet'!$E$15+1,1))-AVERAGE(OFFSET($H$3,0,0,'Données projet'!$E$15+1,1))</f>
        <v>250.90550982248311</v>
      </c>
      <c r="EP95" s="57">
        <f t="shared" si="100"/>
        <v>254.68874167908001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34.679093319848675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34.679093319848675</v>
      </c>
      <c r="EZ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7" t="e">
        <f t="shared" si="77"/>
        <v>#N/A</v>
      </c>
      <c r="FJ95" s="57" t="e">
        <f ca="1">AVERAGE(OFFSET($FI$3,0,0,'Données projet'!$E$16+1,1))-AVERAGE(OFFSET($H$3,0,0,'Données projet'!$E$16+1,1))</f>
        <v>#N/A</v>
      </c>
      <c r="FK95" s="57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7" t="e">
        <f t="shared" si="80"/>
        <v>#N/A</v>
      </c>
      <c r="GE95" s="57" t="e">
        <f ca="1">AVERAGE(OFFSET($GD$3,0,0,'Données projet'!$E$17+1,1))-AVERAGE(OFFSET($H$3,0,0,'Données projet'!$E$17+1,1))</f>
        <v>#N/A</v>
      </c>
      <c r="GF95" s="57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7" t="e">
        <f t="shared" si="83"/>
        <v>#N/A</v>
      </c>
      <c r="GZ95" s="57" t="e">
        <f ca="1">AVERAGE(OFFSET($GY$3,0,0,'Données projet'!$E$18+1,1))-AVERAGE(OFFSET($H$3,0,0,'Données projet'!$E$18+1,1))</f>
        <v>#N/A</v>
      </c>
      <c r="HA95" s="57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0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4">
        <f t="shared" si="56"/>
        <v>473.91990552331799</v>
      </c>
      <c r="I96" s="6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270.07343999999995</v>
      </c>
      <c r="P96" s="13">
        <f t="shared" si="87"/>
        <v>64.864854862635113</v>
      </c>
      <c r="Q96" s="20">
        <f t="shared" si="54"/>
        <v>583.35086355242277</v>
      </c>
      <c r="R96" s="57">
        <f t="shared" si="55"/>
        <v>876.68419688575614</v>
      </c>
      <c r="S96" s="57">
        <f ca="1">AVERAGE(OFFSET($R$3,0,0,'Données projet'!$E$9+1,1))-AVERAGE(OFFSET($H$3,0,0,'Données projet'!$E$9+1,1))</f>
        <v>267.44861001389006</v>
      </c>
      <c r="T96" s="57">
        <f t="shared" si="88"/>
        <v>165.25921510802965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77.915803798942832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77.915803798942832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6.2</v>
      </c>
      <c r="AI96" s="13">
        <f>IF('Données projet'!$A$62&gt;35,AI95+AH96-AQ95,IF(A96&lt;'Données projet'!$A$62,$AF$205^A96,IF(A96='Données projet'!$A$62,'Données projet'!$B$62,AI95+AH96-AQ95)))</f>
        <v>320.59999999999991</v>
      </c>
      <c r="AJ96" s="13">
        <f>AI96*VLOOKUP('Données projet'!$B$10,Paramètres!$A$1:$I$89,3,0)*VLOOKUP('Données projet'!$B$10,Paramètres!$A$1:$I$89,5,0)</f>
        <v>290.07887999999991</v>
      </c>
      <c r="AK96" s="13">
        <f t="shared" si="89"/>
        <v>69.092562427360406</v>
      </c>
      <c r="AL96" s="20">
        <f t="shared" si="58"/>
        <v>625.55692889431919</v>
      </c>
      <c r="AM96" s="57">
        <f t="shared" si="59"/>
        <v>918.89026222765256</v>
      </c>
      <c r="AN96" s="57">
        <f ca="1">AVERAGE(OFFSET($AM$3,0,0,'Données projet'!$E$10+1,1))-AVERAGE(OFFSET($H$3,0,0,'Données projet'!$E$10+1,1))</f>
        <v>294.92430430387071</v>
      </c>
      <c r="AO96" s="57">
        <f t="shared" si="90"/>
        <v>181.52228471516497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83.687344821086754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83.687344821086754</v>
      </c>
      <c r="AY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319</v>
      </c>
      <c r="BE96" s="13">
        <f>BD96*VLOOKUP('Données projet'!$B$11,Paramètres!$A$1:$I$89,3,0)*VLOOKUP('Données projet'!$B$11,Paramètres!$A$1:$I$89,5,0)</f>
        <v>258.77280000000002</v>
      </c>
      <c r="BF96" s="13">
        <f t="shared" si="91"/>
        <v>62.460716522234691</v>
      </c>
      <c r="BG96" s="20">
        <f t="shared" si="61"/>
        <v>559.48170794289206</v>
      </c>
      <c r="BH96" s="57">
        <f t="shared" si="62"/>
        <v>852.81504127622543</v>
      </c>
      <c r="BI96" s="57">
        <f ca="1">AVERAGE(OFFSET($BH$3,0,0,'Données projet'!$E$11+1,1))-AVERAGE(OFFSET($H$3,0,0,'Données projet'!$E$11+1,1))</f>
        <v>250.90550982248311</v>
      </c>
      <c r="BJ96" s="57">
        <f t="shared" si="92"/>
        <v>254.68874167908001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33.999057452004763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33.999057452004763</v>
      </c>
      <c r="BT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739.99999999999966</v>
      </c>
      <c r="BZ96" s="13">
        <f>BY96*VLOOKUP('Données projet'!$B$12,Paramètres!$A$1:$I$89,3,0)*VLOOKUP('Données projet'!$B$12,Paramètres!$A$1:$I$89,5,0)</f>
        <v>413.65999999999985</v>
      </c>
      <c r="CA96" s="13">
        <f t="shared" si="93"/>
        <v>94.540585122244352</v>
      </c>
      <c r="CB96" s="20">
        <f t="shared" si="64"/>
        <v>885.11601908790863</v>
      </c>
      <c r="CC96" s="57">
        <f t="shared" si="65"/>
        <v>1178.4493524212419</v>
      </c>
      <c r="CD96" s="57">
        <f ca="1">AVERAGE(OFFSET($CC$3,0,0,'Données projet'!$E$12+1,1))-AVERAGE(OFFSET($H$3,0,0,'Données projet'!$E$12+1,1))</f>
        <v>462.54745364638171</v>
      </c>
      <c r="CE96" s="57">
        <f t="shared" si="94"/>
        <v>571.50914830067313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64.242866479628717</v>
      </c>
      <c r="CL96" s="21">
        <f>EXP(-LN(2)/25)*CL95+(1-EXP(-LN(2)/25))/(LN(2)/25)*Calculateur!CG96*Calculateur!CI96*VLOOKUP('Données projet'!$B$12,Paramètres!$A$1:$I$89,3,0)*0.475*44/12</f>
        <v>10.073824489896689</v>
      </c>
      <c r="CM96" s="21">
        <f>EXP(-LN(2)/2)*CM95+(1-EXP(-LN(2)/2))/(LN(2)/2)*CG96*CJ96*VLOOKUP('Données projet'!$B$12,Paramètres!$A$1:$I$89,3,0)*0.475*44/12</f>
        <v>2.8004057514826626E-10</v>
      </c>
      <c r="CN96" s="22">
        <f t="shared" si="66"/>
        <v>74.31669096980545</v>
      </c>
      <c r="CO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4.8</v>
      </c>
      <c r="CT96" s="12">
        <f>IF('Données projet'!$A$140&gt;35,CT95+CS96-DB95,IF(A96&lt;'Données projet'!$A$140,$CQ$205^A96,IF(A96='Données projet'!$A$140,'Données projet'!$B$140,CT95+CS96-DB95)))</f>
        <v>257.39999999999992</v>
      </c>
      <c r="CU96" s="17">
        <f>CT96*VLOOKUP('Données projet'!$B$13,Paramètres!$A$1:$I$89,3,0)*VLOOKUP('Données projet'!$B$13,Paramètres!$A$1:$I$89,5,0)</f>
        <v>244.94183999999993</v>
      </c>
      <c r="CV96" s="13">
        <f t="shared" si="95"/>
        <v>59.501526882688026</v>
      </c>
      <c r="CW96" s="20">
        <f t="shared" si="67"/>
        <v>530.23886398734817</v>
      </c>
      <c r="CX96" s="57">
        <f t="shared" si="68"/>
        <v>823.57219732068143</v>
      </c>
      <c r="CY96" s="57">
        <f ca="1">AVERAGE(OFFSET($CX$3,0,0,'Données projet'!$E$13+1,1))-AVERAGE(OFFSET($H$3,0,0,'Données projet'!$E$13+1,1))</f>
        <v>314.67680626853303</v>
      </c>
      <c r="CZ96" s="57">
        <f t="shared" si="96"/>
        <v>372.57247561536263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86.253974751556385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86.253974751556385</v>
      </c>
      <c r="DJ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319</v>
      </c>
      <c r="DP96" s="17">
        <f>DO96*VLOOKUP('Données projet'!$B$14,Paramètres!$A$1:$I$89,3,0)*VLOOKUP('Données projet'!$B$14,Paramètres!$A$1:$I$89,5,0)</f>
        <v>209.00879999999998</v>
      </c>
      <c r="DQ96" s="13">
        <f t="shared" si="97"/>
        <v>51.718923953824202</v>
      </c>
      <c r="DR96" s="20">
        <f t="shared" si="70"/>
        <v>454.10078588624373</v>
      </c>
      <c r="DS96" s="57">
        <f t="shared" si="71"/>
        <v>747.43411921957704</v>
      </c>
      <c r="DT96" s="57">
        <f ca="1">AVERAGE(OFFSET($DS$3,0,0,'Données projet'!$E$14+1,1))-AVERAGE(OFFSET($H$3,0,0,'Données projet'!$E$14+1,1))</f>
        <v>188.80259324758066</v>
      </c>
      <c r="DU96" s="57">
        <f t="shared" si="98"/>
        <v>195.48048518255354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27.460777172773081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27.460777172773081</v>
      </c>
      <c r="EE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319</v>
      </c>
      <c r="EK96" s="17">
        <f>EJ96*VLOOKUP('Données projet'!$B$15,Paramètres!$A$1:$I$89,3,0)*VLOOKUP('Données projet'!$B$15,Paramètres!$A$1:$I$89,5,0)</f>
        <v>258.77280000000002</v>
      </c>
      <c r="EL96" s="13">
        <f t="shared" si="99"/>
        <v>62.460716522234691</v>
      </c>
      <c r="EM96" s="20">
        <f t="shared" si="73"/>
        <v>559.48170794289206</v>
      </c>
      <c r="EN96" s="57">
        <f t="shared" si="74"/>
        <v>852.81504127622543</v>
      </c>
      <c r="EO96" s="57">
        <f ca="1">AVERAGE(OFFSET($EN$3,0,0,'Données projet'!$E$15+1,1))-AVERAGE(OFFSET($H$3,0,0,'Données projet'!$E$15+1,1))</f>
        <v>250.90550982248311</v>
      </c>
      <c r="EP96" s="57">
        <f t="shared" si="100"/>
        <v>254.68874167908001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33.999057452004763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33.999057452004763</v>
      </c>
      <c r="EZ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7" t="e">
        <f t="shared" si="77"/>
        <v>#N/A</v>
      </c>
      <c r="FJ96" s="57" t="e">
        <f ca="1">AVERAGE(OFFSET($FI$3,0,0,'Données projet'!$E$16+1,1))-AVERAGE(OFFSET($H$3,0,0,'Données projet'!$E$16+1,1))</f>
        <v>#N/A</v>
      </c>
      <c r="FK96" s="57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7" t="e">
        <f t="shared" si="80"/>
        <v>#N/A</v>
      </c>
      <c r="GE96" s="57" t="e">
        <f ca="1">AVERAGE(OFFSET($GD$3,0,0,'Données projet'!$E$17+1,1))-AVERAGE(OFFSET($H$3,0,0,'Données projet'!$E$17+1,1))</f>
        <v>#N/A</v>
      </c>
      <c r="GF96" s="57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7" t="e">
        <f t="shared" si="83"/>
        <v>#N/A</v>
      </c>
      <c r="GZ96" s="57" t="e">
        <f ca="1">AVERAGE(OFFSET($GY$3,0,0,'Données projet'!$E$18+1,1))-AVERAGE(OFFSET($H$3,0,0,'Données projet'!$E$18+1,1))</f>
        <v>#N/A</v>
      </c>
      <c r="HA96" s="57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0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4">
        <f t="shared" si="56"/>
        <v>475.81254559669605</v>
      </c>
      <c r="I97" s="6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275.29631999999992</v>
      </c>
      <c r="P97" s="13">
        <f t="shared" si="87"/>
        <v>65.972008102689301</v>
      </c>
      <c r="Q97" s="20">
        <f t="shared" si="54"/>
        <v>594.37567144551701</v>
      </c>
      <c r="R97" s="57">
        <f t="shared" si="55"/>
        <v>887.70900477885039</v>
      </c>
      <c r="S97" s="57">
        <f ca="1">AVERAGE(OFFSET($R$3,0,0,'Données projet'!$E$9+1,1))-AVERAGE(OFFSET($H$3,0,0,'Données projet'!$E$9+1,1))</f>
        <v>267.44861001389006</v>
      </c>
      <c r="T97" s="57">
        <f t="shared" si="88"/>
        <v>165.25921510802965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76.387922410393287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76.387922410393287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6.2</v>
      </c>
      <c r="AI97" s="13">
        <f>IF('Données projet'!$A$62&gt;35,AI96+AH97-AQ96,IF(A97&lt;'Données projet'!$A$62,$AF$205^A97,IF(A97='Données projet'!$A$62,'Données projet'!$B$62,AI96+AH97-AQ96)))</f>
        <v>326.7999999999999</v>
      </c>
      <c r="AJ97" s="13">
        <f>AI97*VLOOKUP('Données projet'!$B$10,Paramètres!$A$1:$I$89,3,0)*VLOOKUP('Données projet'!$B$10,Paramètres!$A$1:$I$89,5,0)</f>
        <v>295.68863999999991</v>
      </c>
      <c r="AK97" s="13">
        <f t="shared" si="89"/>
        <v>70.271876780519747</v>
      </c>
      <c r="AL97" s="20">
        <f t="shared" si="58"/>
        <v>637.3812333927383</v>
      </c>
      <c r="AM97" s="57">
        <f t="shared" si="59"/>
        <v>930.71456672607155</v>
      </c>
      <c r="AN97" s="57">
        <f ca="1">AVERAGE(OFFSET($AM$3,0,0,'Données projet'!$E$10+1,1))-AVERAGE(OFFSET($H$3,0,0,'Données projet'!$E$10+1,1))</f>
        <v>294.92430430387071</v>
      </c>
      <c r="AO97" s="57">
        <f t="shared" si="90"/>
        <v>181.52228471516497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82.046287033385383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82.046287033385383</v>
      </c>
      <c r="AY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319</v>
      </c>
      <c r="BE97" s="13">
        <f>BD97*VLOOKUP('Données projet'!$B$11,Paramètres!$A$1:$I$89,3,0)*VLOOKUP('Données projet'!$B$11,Paramètres!$A$1:$I$89,5,0)</f>
        <v>258.77280000000002</v>
      </c>
      <c r="BF97" s="13">
        <f t="shared" si="91"/>
        <v>62.460716522234691</v>
      </c>
      <c r="BG97" s="20">
        <f t="shared" si="61"/>
        <v>559.48170794289206</v>
      </c>
      <c r="BH97" s="57">
        <f t="shared" si="62"/>
        <v>852.81504127622543</v>
      </c>
      <c r="BI97" s="57">
        <f ca="1">AVERAGE(OFFSET($BH$3,0,0,'Données projet'!$E$11+1,1))-AVERAGE(OFFSET($H$3,0,0,'Données projet'!$E$11+1,1))</f>
        <v>250.90550982248311</v>
      </c>
      <c r="BJ97" s="57">
        <f t="shared" si="92"/>
        <v>254.68874167908001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33.332356672748347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33.332356672748347</v>
      </c>
      <c r="BT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739.99999999999966</v>
      </c>
      <c r="BZ97" s="13">
        <f>BY97*VLOOKUP('Données projet'!$B$12,Paramètres!$A$1:$I$89,3,0)*VLOOKUP('Données projet'!$B$12,Paramètres!$A$1:$I$89,5,0)</f>
        <v>413.65999999999985</v>
      </c>
      <c r="CA97" s="13">
        <f t="shared" si="93"/>
        <v>94.540585122244352</v>
      </c>
      <c r="CB97" s="20">
        <f t="shared" si="64"/>
        <v>885.11601908790863</v>
      </c>
      <c r="CC97" s="57">
        <f t="shared" si="65"/>
        <v>1178.4493524212419</v>
      </c>
      <c r="CD97" s="57">
        <f ca="1">AVERAGE(OFFSET($CC$3,0,0,'Données projet'!$E$12+1,1))-AVERAGE(OFFSET($H$3,0,0,'Données projet'!$E$12+1,1))</f>
        <v>462.54745364638171</v>
      </c>
      <c r="CE97" s="57">
        <f t="shared" si="94"/>
        <v>571.50914830067313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62.983103052242626</v>
      </c>
      <c r="CL97" s="21">
        <f>EXP(-LN(2)/25)*CL96+(1-EXP(-LN(2)/25))/(LN(2)/25)*Calculateur!CG97*Calculateur!CI97*VLOOKUP('Données projet'!$B$12,Paramètres!$A$1:$I$89,3,0)*0.475*44/12</f>
        <v>9.7983552294610572</v>
      </c>
      <c r="CM97" s="21">
        <f>EXP(-LN(2)/2)*CM96+(1-EXP(-LN(2)/2))/(LN(2)/2)*CG97*CJ97*VLOOKUP('Données projet'!$B$12,Paramètres!$A$1:$I$89,3,0)*0.475*44/12</f>
        <v>1.9801858969472003E-10</v>
      </c>
      <c r="CN97" s="22">
        <f t="shared" si="66"/>
        <v>72.781458281901692</v>
      </c>
      <c r="CO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4.8</v>
      </c>
      <c r="CT97" s="12">
        <f>IF('Données projet'!$A$140&gt;35,CT96+CS97-DB96,IF(A97&lt;'Données projet'!$A$140,$CQ$205^A97,IF(A97='Données projet'!$A$140,'Données projet'!$B$140,CT96+CS97-DB96)))</f>
        <v>262.19999999999993</v>
      </c>
      <c r="CU97" s="17">
        <f>CT97*VLOOKUP('Données projet'!$B$13,Paramètres!$A$1:$I$89,3,0)*VLOOKUP('Données projet'!$B$13,Paramètres!$A$1:$I$89,5,0)</f>
        <v>249.50951999999992</v>
      </c>
      <c r="CV97" s="13">
        <f t="shared" si="95"/>
        <v>60.48089994102925</v>
      </c>
      <c r="CW97" s="20">
        <f t="shared" si="67"/>
        <v>539.89998139729244</v>
      </c>
      <c r="CX97" s="57">
        <f t="shared" si="68"/>
        <v>833.23331473062581</v>
      </c>
      <c r="CY97" s="57">
        <f ca="1">AVERAGE(OFFSET($CX$3,0,0,'Données projet'!$E$13+1,1))-AVERAGE(OFFSET($H$3,0,0,'Données projet'!$E$13+1,1))</f>
        <v>314.67680626853303</v>
      </c>
      <c r="CZ97" s="57">
        <f t="shared" si="96"/>
        <v>372.57247561536263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84.562586916408179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84.562586916408179</v>
      </c>
      <c r="DJ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319</v>
      </c>
      <c r="DP97" s="17">
        <f>DO97*VLOOKUP('Données projet'!$B$14,Paramètres!$A$1:$I$89,3,0)*VLOOKUP('Données projet'!$B$14,Paramètres!$A$1:$I$89,5,0)</f>
        <v>209.00879999999998</v>
      </c>
      <c r="DQ97" s="13">
        <f t="shared" si="97"/>
        <v>51.718923953824202</v>
      </c>
      <c r="DR97" s="20">
        <f t="shared" si="70"/>
        <v>454.10078588624373</v>
      </c>
      <c r="DS97" s="57">
        <f t="shared" si="71"/>
        <v>747.43411921957704</v>
      </c>
      <c r="DT97" s="57">
        <f ca="1">AVERAGE(OFFSET($DS$3,0,0,'Données projet'!$E$14+1,1))-AVERAGE(OFFSET($H$3,0,0,'Données projet'!$E$14+1,1))</f>
        <v>188.80259324758066</v>
      </c>
      <c r="DU97" s="57">
        <f t="shared" si="98"/>
        <v>195.48048518255354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26.922288081835209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26.922288081835209</v>
      </c>
      <c r="EE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319</v>
      </c>
      <c r="EK97" s="17">
        <f>EJ97*VLOOKUP('Données projet'!$B$15,Paramètres!$A$1:$I$89,3,0)*VLOOKUP('Données projet'!$B$15,Paramètres!$A$1:$I$89,5,0)</f>
        <v>258.77280000000002</v>
      </c>
      <c r="EL97" s="13">
        <f t="shared" si="99"/>
        <v>62.460716522234691</v>
      </c>
      <c r="EM97" s="20">
        <f t="shared" si="73"/>
        <v>559.48170794289206</v>
      </c>
      <c r="EN97" s="57">
        <f t="shared" si="74"/>
        <v>852.81504127622543</v>
      </c>
      <c r="EO97" s="57">
        <f ca="1">AVERAGE(OFFSET($EN$3,0,0,'Données projet'!$E$15+1,1))-AVERAGE(OFFSET($H$3,0,0,'Données projet'!$E$15+1,1))</f>
        <v>250.90550982248311</v>
      </c>
      <c r="EP97" s="57">
        <f t="shared" si="100"/>
        <v>254.68874167908001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33.332356672748347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33.332356672748347</v>
      </c>
      <c r="EZ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7" t="e">
        <f t="shared" si="77"/>
        <v>#N/A</v>
      </c>
      <c r="FJ97" s="57" t="e">
        <f ca="1">AVERAGE(OFFSET($FI$3,0,0,'Données projet'!$E$16+1,1))-AVERAGE(OFFSET($H$3,0,0,'Données projet'!$E$16+1,1))</f>
        <v>#N/A</v>
      </c>
      <c r="FK97" s="57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7" t="e">
        <f t="shared" si="80"/>
        <v>#N/A</v>
      </c>
      <c r="GE97" s="57" t="e">
        <f ca="1">AVERAGE(OFFSET($GD$3,0,0,'Données projet'!$E$17+1,1))-AVERAGE(OFFSET($H$3,0,0,'Données projet'!$E$17+1,1))</f>
        <v>#N/A</v>
      </c>
      <c r="GF97" s="57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7" t="e">
        <f t="shared" si="83"/>
        <v>#N/A</v>
      </c>
      <c r="GZ97" s="57" t="e">
        <f ca="1">AVERAGE(OFFSET($GY$3,0,0,'Données projet'!$E$18+1,1))-AVERAGE(OFFSET($H$3,0,0,'Données projet'!$E$18+1,1))</f>
        <v>#N/A</v>
      </c>
      <c r="HA97" s="57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0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4">
        <f t="shared" si="56"/>
        <v>477.70472638813186</v>
      </c>
      <c r="I98" s="6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280.5191999999999</v>
      </c>
      <c r="P98" s="13">
        <f t="shared" si="87"/>
        <v>67.076718933381159</v>
      </c>
      <c r="Q98" s="20">
        <f t="shared" si="54"/>
        <v>605.39622547563874</v>
      </c>
      <c r="R98" s="57">
        <f t="shared" si="55"/>
        <v>898.72955880897212</v>
      </c>
      <c r="S98" s="57">
        <f ca="1">AVERAGE(OFFSET($R$3,0,0,'Données projet'!$E$9+1,1))-AVERAGE(OFFSET($H$3,0,0,'Données projet'!$E$9+1,1))</f>
        <v>267.44861001389006</v>
      </c>
      <c r="T98" s="57">
        <f t="shared" si="88"/>
        <v>165.25921510802965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86.102230746488999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86.102230746488999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333</v>
      </c>
      <c r="AG98" s="12">
        <f>VLOOKUP(A98,'Données projet'!$A$61:$I$81,9,0)</f>
        <v>6.2</v>
      </c>
      <c r="AH98" s="12">
        <f t="array" ref="AH98">INDEX(AG:AG,MIN(IF(ISNUMBER(AG98:AG294),ROW(AG98:AG294),"")))</f>
        <v>6.2</v>
      </c>
      <c r="AI98" s="13">
        <f>IF('Données projet'!$A$62&gt;35,AI97+AH98-AQ97,IF(A98&lt;'Données projet'!$A$62,$AF$205^A98,IF(A98='Données projet'!$A$62,'Données projet'!$B$62,AI97+AH98-AQ97)))</f>
        <v>332.99999999999989</v>
      </c>
      <c r="AJ98" s="13">
        <f>AI98*VLOOKUP('Données projet'!$B$10,Paramètres!$A$1:$I$89,3,0)*VLOOKUP('Données projet'!$B$10,Paramètres!$A$1:$I$89,5,0)</f>
        <v>301.2983999999999</v>
      </c>
      <c r="AK98" s="13">
        <f t="shared" si="89"/>
        <v>71.448589534990518</v>
      </c>
      <c r="AL98" s="20">
        <f t="shared" si="58"/>
        <v>649.20100677344158</v>
      </c>
      <c r="AM98" s="57">
        <f t="shared" si="59"/>
        <v>942.53434010677483</v>
      </c>
      <c r="AN98" s="57">
        <f ca="1">AVERAGE(OFFSET($AM$3,0,0,'Données projet'!$E$10+1,1))-AVERAGE(OFFSET($H$3,0,0,'Données projet'!$E$10+1,1))</f>
        <v>294.92430430387071</v>
      </c>
      <c r="AO98" s="57">
        <f t="shared" si="90"/>
        <v>181.52228471516497</v>
      </c>
      <c r="AP98" s="15">
        <f>IF(ISNA(VLOOKUP(A98,'Données projet'!$A$61:$I$81,3,0)),0,VLOOKUP(A98,'Données projet'!$A$61:$I$81,3,0))</f>
        <v>16</v>
      </c>
      <c r="AQ98" s="15">
        <f>IF(ISNA(VLOOKUP(A98,'Données projet'!$A$61:$I$81,4,0)),0,VLOOKUP(A98,'Données projet'!$A$61:$I$81,4,0))</f>
        <v>28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92.480173764747434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92.480173764747434</v>
      </c>
      <c r="AY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319</v>
      </c>
      <c r="BE98" s="13">
        <f>BD98*VLOOKUP('Données projet'!$B$11,Paramètres!$A$1:$I$89,3,0)*VLOOKUP('Données projet'!$B$11,Paramètres!$A$1:$I$89,5,0)</f>
        <v>258.77280000000002</v>
      </c>
      <c r="BF98" s="13">
        <f t="shared" si="91"/>
        <v>62.460716522234691</v>
      </c>
      <c r="BG98" s="20">
        <f t="shared" si="61"/>
        <v>559.48170794289206</v>
      </c>
      <c r="BH98" s="57">
        <f t="shared" si="62"/>
        <v>852.81504127622543</v>
      </c>
      <c r="BI98" s="57">
        <f ca="1">AVERAGE(OFFSET($BH$3,0,0,'Données projet'!$E$11+1,1))-AVERAGE(OFFSET($H$3,0,0,'Données projet'!$E$11+1,1))</f>
        <v>250.90550982248311</v>
      </c>
      <c r="BJ98" s="57">
        <f t="shared" si="92"/>
        <v>254.68874167908001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32.678729489125828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32.678729489125828</v>
      </c>
      <c r="BT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739.99999999999966</v>
      </c>
      <c r="BZ98" s="13">
        <f>BY98*VLOOKUP('Données projet'!$B$12,Paramètres!$A$1:$I$89,3,0)*VLOOKUP('Données projet'!$B$12,Paramètres!$A$1:$I$89,5,0)</f>
        <v>413.65999999999985</v>
      </c>
      <c r="CA98" s="13">
        <f t="shared" si="93"/>
        <v>94.540585122244352</v>
      </c>
      <c r="CB98" s="20">
        <f t="shared" si="64"/>
        <v>885.11601908790863</v>
      </c>
      <c r="CC98" s="57">
        <f t="shared" si="65"/>
        <v>1178.4493524212419</v>
      </c>
      <c r="CD98" s="57">
        <f ca="1">AVERAGE(OFFSET($CC$3,0,0,'Données projet'!$E$12+1,1))-AVERAGE(OFFSET($H$3,0,0,'Données projet'!$E$12+1,1))</f>
        <v>462.54745364638171</v>
      </c>
      <c r="CE98" s="57">
        <f t="shared" si="94"/>
        <v>571.50914830067313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61.748042817287754</v>
      </c>
      <c r="CL98" s="21">
        <f>EXP(-LN(2)/25)*CL97+(1-EXP(-LN(2)/25))/(LN(2)/25)*Calculateur!CG98*Calculateur!CI98*VLOOKUP('Données projet'!$B$12,Paramètres!$A$1:$I$89,3,0)*0.475*44/12</f>
        <v>9.5304186904383368</v>
      </c>
      <c r="CM98" s="21">
        <f>EXP(-LN(2)/2)*CM97+(1-EXP(-LN(2)/2))/(LN(2)/2)*CG98*CJ98*VLOOKUP('Données projet'!$B$12,Paramètres!$A$1:$I$89,3,0)*0.475*44/12</f>
        <v>1.4002028757413313E-10</v>
      </c>
      <c r="CN98" s="22">
        <f t="shared" si="66"/>
        <v>71.278461507866112</v>
      </c>
      <c r="CO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267</v>
      </c>
      <c r="CR98" s="12">
        <f>VLOOKUP(A98,'Données projet'!$A$139:$I$159,9,0)</f>
        <v>4.8</v>
      </c>
      <c r="CS98" s="12">
        <f t="array" ref="CS98">INDEX(CR:CR,MIN(IF(ISNUMBER(CR98:CR294),ROW(CR98:CR294),"")))</f>
        <v>4.8</v>
      </c>
      <c r="CT98" s="12">
        <f>IF('Données projet'!$A$140&gt;35,CT97+CS98-DB97,IF(A98&lt;'Données projet'!$A$140,$CQ$205^A98,IF(A98='Données projet'!$A$140,'Données projet'!$B$140,CT97+CS98-DB97)))</f>
        <v>266.99999999999994</v>
      </c>
      <c r="CU98" s="17">
        <f>CT98*VLOOKUP('Données projet'!$B$13,Paramètres!$A$1:$I$89,3,0)*VLOOKUP('Données projet'!$B$13,Paramètres!$A$1:$I$89,5,0)</f>
        <v>254.07719999999992</v>
      </c>
      <c r="CV98" s="13">
        <f t="shared" si="95"/>
        <v>61.458188159552705</v>
      </c>
      <c r="CW98" s="20">
        <f t="shared" si="67"/>
        <v>549.55746771122074</v>
      </c>
      <c r="CX98" s="57">
        <f t="shared" si="68"/>
        <v>842.89080104455411</v>
      </c>
      <c r="CY98" s="57">
        <f ca="1">AVERAGE(OFFSET($CX$3,0,0,'Données projet'!$E$13+1,1))-AVERAGE(OFFSET($H$3,0,0,'Données projet'!$E$13+1,1))</f>
        <v>314.67680626853303</v>
      </c>
      <c r="CZ98" s="57">
        <f t="shared" si="96"/>
        <v>372.57247561536263</v>
      </c>
      <c r="DA98" s="15">
        <f>IF(ISNA(VLOOKUP(A98,'Données projet'!$A$139:$I$159,3,0)),0,VLOOKUP(A98,'Données projet'!$A$139:$I$159,3,0))</f>
        <v>18</v>
      </c>
      <c r="DB98" s="15">
        <f>IF(ISNA(VLOOKUP(A98,'Données projet'!$A$139:$I$159,4,0)),0,VLOOKUP(A98,'Données projet'!$A$139:$I$159,4,0))</f>
        <v>23</v>
      </c>
      <c r="DC98" s="16">
        <f>IF(ISNA(VLOOKUP(A98,'Données projet'!$A$139:$I$159,5,0)),0%,VLOOKUP(A98,'Données projet'!$A$139:$I$159,5,0)*VLOOKUP('Données projet'!$B$13,Paramètres!$A$1:$I$89,7,0))</f>
        <v>0.43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93.308306079250087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93.308306079250087</v>
      </c>
      <c r="DJ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319</v>
      </c>
      <c r="DP98" s="17">
        <f>DO98*VLOOKUP('Données projet'!$B$14,Paramètres!$A$1:$I$89,3,0)*VLOOKUP('Données projet'!$B$14,Paramètres!$A$1:$I$89,5,0)</f>
        <v>209.00879999999998</v>
      </c>
      <c r="DQ98" s="13">
        <f t="shared" si="97"/>
        <v>51.718923953824202</v>
      </c>
      <c r="DR98" s="20">
        <f t="shared" si="70"/>
        <v>454.10078588624373</v>
      </c>
      <c r="DS98" s="57">
        <f t="shared" si="71"/>
        <v>747.43411921957704</v>
      </c>
      <c r="DT98" s="57">
        <f ca="1">AVERAGE(OFFSET($DS$3,0,0,'Données projet'!$E$14+1,1))-AVERAGE(OFFSET($H$3,0,0,'Données projet'!$E$14+1,1))</f>
        <v>188.80259324758066</v>
      </c>
      <c r="DU98" s="57">
        <f t="shared" si="98"/>
        <v>195.48048518255354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26.394358433524715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26.394358433524715</v>
      </c>
      <c r="EE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319</v>
      </c>
      <c r="EK98" s="17">
        <f>EJ98*VLOOKUP('Données projet'!$B$15,Paramètres!$A$1:$I$89,3,0)*VLOOKUP('Données projet'!$B$15,Paramètres!$A$1:$I$89,5,0)</f>
        <v>258.77280000000002</v>
      </c>
      <c r="EL98" s="13">
        <f t="shared" si="99"/>
        <v>62.460716522234691</v>
      </c>
      <c r="EM98" s="20">
        <f t="shared" si="73"/>
        <v>559.48170794289206</v>
      </c>
      <c r="EN98" s="57">
        <f t="shared" si="74"/>
        <v>852.81504127622543</v>
      </c>
      <c r="EO98" s="57">
        <f ca="1">AVERAGE(OFFSET($EN$3,0,0,'Données projet'!$E$15+1,1))-AVERAGE(OFFSET($H$3,0,0,'Données projet'!$E$15+1,1))</f>
        <v>250.90550982248311</v>
      </c>
      <c r="EP98" s="57">
        <f t="shared" si="100"/>
        <v>254.68874167908001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32.678729489125828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32.678729489125828</v>
      </c>
      <c r="EZ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7" t="e">
        <f t="shared" si="77"/>
        <v>#N/A</v>
      </c>
      <c r="FJ98" s="57" t="e">
        <f ca="1">AVERAGE(OFFSET($FI$3,0,0,'Données projet'!$E$16+1,1))-AVERAGE(OFFSET($H$3,0,0,'Données projet'!$E$16+1,1))</f>
        <v>#N/A</v>
      </c>
      <c r="FK98" s="57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7" t="e">
        <f t="shared" si="80"/>
        <v>#N/A</v>
      </c>
      <c r="GE98" s="57" t="e">
        <f ca="1">AVERAGE(OFFSET($GD$3,0,0,'Données projet'!$E$17+1,1))-AVERAGE(OFFSET($H$3,0,0,'Données projet'!$E$17+1,1))</f>
        <v>#N/A</v>
      </c>
      <c r="GF98" s="57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7" t="e">
        <f t="shared" si="83"/>
        <v>#N/A</v>
      </c>
      <c r="GZ98" s="57" t="e">
        <f ca="1">AVERAGE(OFFSET($GY$3,0,0,'Données projet'!$E$18+1,1))-AVERAGE(OFFSET($H$3,0,0,'Données projet'!$E$18+1,1))</f>
        <v>#N/A</v>
      </c>
      <c r="HA98" s="57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0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4">
        <f t="shared" si="56"/>
        <v>479.59645329180853</v>
      </c>
      <c r="I99" s="6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261.64943999999997</v>
      </c>
      <c r="P99" s="13">
        <f t="shared" si="87"/>
        <v>63.073842398428624</v>
      </c>
      <c r="Q99" s="20">
        <f t="shared" ref="Q99:Q130" si="107">(O99+P99)*0.475*44/12</f>
        <v>565.55971684392978</v>
      </c>
      <c r="R99" s="57">
        <f t="shared" si="55"/>
        <v>858.89305017726315</v>
      </c>
      <c r="S99" s="57">
        <f ca="1">AVERAGE(OFFSET($R$3,0,0,'Données projet'!$E$9+1,1))-AVERAGE(OFFSET($H$3,0,0,'Données projet'!$E$9+1,1))</f>
        <v>267.44861001389006</v>
      </c>
      <c r="T99" s="57">
        <f t="shared" si="88"/>
        <v>165.25921510802965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84.413818518725463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84.413818518725463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5.6</v>
      </c>
      <c r="AI99" s="13">
        <f>IF('Données projet'!$A$62&gt;35,AI98+AH99-AQ98,IF(A99&lt;'Données projet'!$A$62,$AF$205^A99,IF(A99='Données projet'!$A$62,'Données projet'!$B$62,AI98+AH99-AQ98)))</f>
        <v>310.59999999999991</v>
      </c>
      <c r="AJ99" s="13">
        <f>AI99*VLOOKUP('Données projet'!$B$10,Paramètres!$A$1:$I$89,3,0)*VLOOKUP('Données projet'!$B$10,Paramètres!$A$1:$I$89,5,0)</f>
        <v>281.03087999999991</v>
      </c>
      <c r="AK99" s="13">
        <f t="shared" si="89"/>
        <v>67.184816842275467</v>
      </c>
      <c r="AL99" s="20">
        <f t="shared" si="58"/>
        <v>606.4756720002963</v>
      </c>
      <c r="AM99" s="57">
        <f t="shared" si="59"/>
        <v>899.80900533362956</v>
      </c>
      <c r="AN99" s="57">
        <f ca="1">AVERAGE(OFFSET($AM$3,0,0,'Données projet'!$E$10+1,1))-AVERAGE(OFFSET($H$3,0,0,'Données projet'!$E$10+1,1))</f>
        <v>294.92430430387071</v>
      </c>
      <c r="AO99" s="57">
        <f t="shared" si="90"/>
        <v>181.52228471516497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90.66669396455697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90.66669396455697</v>
      </c>
      <c r="AY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319</v>
      </c>
      <c r="BE99" s="13">
        <f>BD99*VLOOKUP('Données projet'!$B$11,Paramètres!$A$1:$I$89,3,0)*VLOOKUP('Données projet'!$B$11,Paramètres!$A$1:$I$89,5,0)</f>
        <v>258.77280000000002</v>
      </c>
      <c r="BF99" s="13">
        <f t="shared" si="91"/>
        <v>62.460716522234691</v>
      </c>
      <c r="BG99" s="20">
        <f t="shared" si="61"/>
        <v>559.48170794289206</v>
      </c>
      <c r="BH99" s="57">
        <f t="shared" si="62"/>
        <v>852.81504127622543</v>
      </c>
      <c r="BI99" s="57">
        <f ca="1">AVERAGE(OFFSET($BH$3,0,0,'Données projet'!$E$11+1,1))-AVERAGE(OFFSET($H$3,0,0,'Données projet'!$E$11+1,1))</f>
        <v>250.90550982248311</v>
      </c>
      <c r="BJ99" s="57">
        <f t="shared" si="92"/>
        <v>254.68874167908001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32.037919535900933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32.037919535900933</v>
      </c>
      <c r="BT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739.99999999999966</v>
      </c>
      <c r="BZ99" s="13">
        <f>BY99*VLOOKUP('Données projet'!$B$12,Paramètres!$A$1:$I$89,3,0)*VLOOKUP('Données projet'!$B$12,Paramètres!$A$1:$I$89,5,0)</f>
        <v>413.65999999999985</v>
      </c>
      <c r="CA99" s="13">
        <f t="shared" si="93"/>
        <v>94.540585122244352</v>
      </c>
      <c r="CB99" s="20">
        <f t="shared" si="64"/>
        <v>885.11601908790863</v>
      </c>
      <c r="CC99" s="57">
        <f t="shared" si="65"/>
        <v>1178.4493524212419</v>
      </c>
      <c r="CD99" s="57">
        <f ca="1">AVERAGE(OFFSET($CC$3,0,0,'Données projet'!$E$12+1,1))-AVERAGE(OFFSET($H$3,0,0,'Données projet'!$E$12+1,1))</f>
        <v>462.54745364638171</v>
      </c>
      <c r="CE99" s="57">
        <f t="shared" si="94"/>
        <v>571.50914830067313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60.537201360227989</v>
      </c>
      <c r="CL99" s="21">
        <f>EXP(-LN(2)/25)*CL98+(1-EXP(-LN(2)/25))/(LN(2)/25)*Calculateur!CG99*Calculateur!CI99*VLOOKUP('Données projet'!$B$12,Paramètres!$A$1:$I$89,3,0)*0.475*44/12</f>
        <v>9.269808890165363</v>
      </c>
      <c r="CM99" s="21">
        <f>EXP(-LN(2)/2)*CM98+(1-EXP(-LN(2)/2))/(LN(2)/2)*CG99*CJ99*VLOOKUP('Données projet'!$B$12,Paramètres!$A$1:$I$89,3,0)*0.475*44/12</f>
        <v>9.9009294847360015E-11</v>
      </c>
      <c r="CN99" s="22">
        <f t="shared" si="66"/>
        <v>69.807010250492354</v>
      </c>
      <c r="CO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4.5999999999999996</v>
      </c>
      <c r="CT99" s="12">
        <f>IF('Données projet'!$A$140&gt;35,CT98+CS99-DB98,IF(A99&lt;'Données projet'!$A$140,$CQ$205^A99,IF(A99='Données projet'!$A$140,'Données projet'!$B$140,CT98+CS99-DB98)))</f>
        <v>248.59999999999997</v>
      </c>
      <c r="CU99" s="17">
        <f>CT99*VLOOKUP('Données projet'!$B$13,Paramètres!$A$1:$I$89,3,0)*VLOOKUP('Données projet'!$B$13,Paramètres!$A$1:$I$89,5,0)</f>
        <v>236.56775999999999</v>
      </c>
      <c r="CV99" s="13">
        <f t="shared" si="95"/>
        <v>57.700449394109818</v>
      </c>
      <c r="CW99" s="20">
        <f t="shared" si="67"/>
        <v>512.51713136140791</v>
      </c>
      <c r="CX99" s="57">
        <f t="shared" si="68"/>
        <v>805.85046469474128</v>
      </c>
      <c r="CY99" s="57">
        <f ca="1">AVERAGE(OFFSET($CX$3,0,0,'Données projet'!$E$13+1,1))-AVERAGE(OFFSET($H$3,0,0,'Données projet'!$E$13+1,1))</f>
        <v>314.67680626853303</v>
      </c>
      <c r="CZ99" s="57">
        <f t="shared" si="96"/>
        <v>372.57247561536263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91.478587109483058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91.478587109483058</v>
      </c>
      <c r="DJ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319</v>
      </c>
      <c r="DP99" s="17">
        <f>DO99*VLOOKUP('Données projet'!$B$14,Paramètres!$A$1:$I$89,3,0)*VLOOKUP('Données projet'!$B$14,Paramètres!$A$1:$I$89,5,0)</f>
        <v>209.00879999999998</v>
      </c>
      <c r="DQ99" s="13">
        <f t="shared" si="97"/>
        <v>51.718923953824202</v>
      </c>
      <c r="DR99" s="20">
        <f t="shared" si="70"/>
        <v>454.10078588624373</v>
      </c>
      <c r="DS99" s="57">
        <f t="shared" si="71"/>
        <v>747.43411921957704</v>
      </c>
      <c r="DT99" s="57">
        <f ca="1">AVERAGE(OFFSET($DS$3,0,0,'Données projet'!$E$14+1,1))-AVERAGE(OFFSET($H$3,0,0,'Données projet'!$E$14+1,1))</f>
        <v>188.80259324758066</v>
      </c>
      <c r="DU99" s="57">
        <f t="shared" si="98"/>
        <v>195.48048518255354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25.8767811636123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25.8767811636123</v>
      </c>
      <c r="EE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319</v>
      </c>
      <c r="EK99" s="17">
        <f>EJ99*VLOOKUP('Données projet'!$B$15,Paramètres!$A$1:$I$89,3,0)*VLOOKUP('Données projet'!$B$15,Paramètres!$A$1:$I$89,5,0)</f>
        <v>258.77280000000002</v>
      </c>
      <c r="EL99" s="13">
        <f t="shared" si="99"/>
        <v>62.460716522234691</v>
      </c>
      <c r="EM99" s="20">
        <f t="shared" si="73"/>
        <v>559.48170794289206</v>
      </c>
      <c r="EN99" s="57">
        <f t="shared" si="74"/>
        <v>852.81504127622543</v>
      </c>
      <c r="EO99" s="57">
        <f ca="1">AVERAGE(OFFSET($EN$3,0,0,'Données projet'!$E$15+1,1))-AVERAGE(OFFSET($H$3,0,0,'Données projet'!$E$15+1,1))</f>
        <v>250.90550982248311</v>
      </c>
      <c r="EP99" s="57">
        <f t="shared" si="100"/>
        <v>254.68874167908001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32.037919535900933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32.037919535900933</v>
      </c>
      <c r="EZ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7" t="e">
        <f t="shared" si="77"/>
        <v>#N/A</v>
      </c>
      <c r="FJ99" s="57" t="e">
        <f ca="1">AVERAGE(OFFSET($FI$3,0,0,'Données projet'!$E$16+1,1))-AVERAGE(OFFSET($H$3,0,0,'Données projet'!$E$16+1,1))</f>
        <v>#N/A</v>
      </c>
      <c r="FK99" s="57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7" t="e">
        <f t="shared" si="80"/>
        <v>#N/A</v>
      </c>
      <c r="GE99" s="57" t="e">
        <f ca="1">AVERAGE(OFFSET($GD$3,0,0,'Données projet'!$E$17+1,1))-AVERAGE(OFFSET($H$3,0,0,'Données projet'!$E$17+1,1))</f>
        <v>#N/A</v>
      </c>
      <c r="GF99" s="57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7" t="e">
        <f t="shared" si="83"/>
        <v>#N/A</v>
      </c>
      <c r="GZ99" s="57" t="e">
        <f ca="1">AVERAGE(OFFSET($GY$3,0,0,'Données projet'!$E$18+1,1))-AVERAGE(OFFSET($H$3,0,0,'Données projet'!$E$18+1,1))</f>
        <v>#N/A</v>
      </c>
      <c r="HA99" s="57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0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4">
        <f t="shared" si="56"/>
        <v>481.48773158305545</v>
      </c>
      <c r="I100" s="6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266.36687999999992</v>
      </c>
      <c r="P100" s="13">
        <f t="shared" si="87"/>
        <v>64.077622653233107</v>
      </c>
      <c r="Q100" s="20">
        <f t="shared" si="107"/>
        <v>575.52417545438084</v>
      </c>
      <c r="R100" s="57">
        <f t="shared" si="55"/>
        <v>868.8575087877141</v>
      </c>
      <c r="S100" s="57">
        <f ca="1">AVERAGE(OFFSET($R$3,0,0,'Données projet'!$E$9+1,1))-AVERAGE(OFFSET($H$3,0,0,'Données projet'!$E$9+1,1))</f>
        <v>267.44861001389006</v>
      </c>
      <c r="T100" s="57">
        <f t="shared" si="88"/>
        <v>165.25921510802965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82.758515024918594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82.758515024918594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5.6</v>
      </c>
      <c r="AI100" s="13">
        <f>IF('Données projet'!$A$62&gt;35,AI99+AH100-AQ99,IF(A100&lt;'Données projet'!$A$62,$AF$205^A100,IF(A100='Données projet'!$A$62,'Données projet'!$B$62,AI99+AH100-AQ99)))</f>
        <v>316.19999999999993</v>
      </c>
      <c r="AJ100" s="13">
        <f>AI100*VLOOKUP('Données projet'!$B$10,Paramètres!$A$1:$I$89,3,0)*VLOOKUP('Données projet'!$B$10,Paramètres!$A$1:$I$89,5,0)</f>
        <v>286.09775999999994</v>
      </c>
      <c r="AK100" s="13">
        <f t="shared" si="89"/>
        <v>68.254020651723678</v>
      </c>
      <c r="AL100" s="20">
        <f t="shared" si="58"/>
        <v>617.16268463508527</v>
      </c>
      <c r="AM100" s="57">
        <f t="shared" si="59"/>
        <v>910.49601796841853</v>
      </c>
      <c r="AN100" s="57">
        <f ca="1">AVERAGE(OFFSET($AM$3,0,0,'Données projet'!$E$10+1,1))-AVERAGE(OFFSET($H$3,0,0,'Données projet'!$E$10+1,1))</f>
        <v>294.92430430387071</v>
      </c>
      <c r="AO100" s="57">
        <f t="shared" si="90"/>
        <v>181.52228471516497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88.888775397134779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88.888775397134779</v>
      </c>
      <c r="AY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319</v>
      </c>
      <c r="BE100" s="13">
        <f>BD100*VLOOKUP('Données projet'!$B$11,Paramètres!$A$1:$I$89,3,0)*VLOOKUP('Données projet'!$B$11,Paramètres!$A$1:$I$89,5,0)</f>
        <v>258.77280000000002</v>
      </c>
      <c r="BF100" s="13">
        <f t="shared" si="91"/>
        <v>62.460716522234691</v>
      </c>
      <c r="BG100" s="20">
        <f t="shared" si="61"/>
        <v>559.48170794289206</v>
      </c>
      <c r="BH100" s="57">
        <f t="shared" si="62"/>
        <v>852.81504127622543</v>
      </c>
      <c r="BI100" s="57">
        <f ca="1">AVERAGE(OFFSET($BH$3,0,0,'Données projet'!$E$11+1,1))-AVERAGE(OFFSET($H$3,0,0,'Données projet'!$E$11+1,1))</f>
        <v>250.90550982248311</v>
      </c>
      <c r="BJ100" s="57">
        <f t="shared" si="92"/>
        <v>254.68874167908001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31.409675475003301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31.409675475003301</v>
      </c>
      <c r="BT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739.99999999999966</v>
      </c>
      <c r="BZ100" s="13">
        <f>BY100*VLOOKUP('Données projet'!$B$12,Paramètres!$A$1:$I$89,3,0)*VLOOKUP('Données projet'!$B$12,Paramètres!$A$1:$I$89,5,0)</f>
        <v>413.65999999999985</v>
      </c>
      <c r="CA100" s="13">
        <f t="shared" si="93"/>
        <v>94.540585122244352</v>
      </c>
      <c r="CB100" s="20">
        <f t="shared" si="64"/>
        <v>885.11601908790863</v>
      </c>
      <c r="CC100" s="57">
        <f t="shared" si="65"/>
        <v>1178.4493524212419</v>
      </c>
      <c r="CD100" s="57">
        <f ca="1">AVERAGE(OFFSET($CC$3,0,0,'Données projet'!$E$12+1,1))-AVERAGE(OFFSET($H$3,0,0,'Données projet'!$E$12+1,1))</f>
        <v>462.54745364638171</v>
      </c>
      <c r="CE100" s="57">
        <f t="shared" si="94"/>
        <v>571.50914830067313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59.350103765600799</v>
      </c>
      <c r="CL100" s="21">
        <f>EXP(-LN(2)/25)*CL99+(1-EXP(-LN(2)/25))/(LN(2)/25)*Calculateur!CG100*Calculateur!CI100*VLOOKUP('Données projet'!$B$12,Paramètres!$A$1:$I$89,3,0)*0.475*44/12</f>
        <v>9.0163254785857276</v>
      </c>
      <c r="CM100" s="21">
        <f>EXP(-LN(2)/2)*CM99+(1-EXP(-LN(2)/2))/(LN(2)/2)*CG100*CJ100*VLOOKUP('Données projet'!$B$12,Paramètres!$A$1:$I$89,3,0)*0.475*44/12</f>
        <v>7.0010143787066564E-11</v>
      </c>
      <c r="CN100" s="22">
        <f t="shared" si="66"/>
        <v>68.366429244256537</v>
      </c>
      <c r="CO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4.5999999999999996</v>
      </c>
      <c r="CT100" s="12">
        <f>IF('Données projet'!$A$140&gt;35,CT99+CS100-DB99,IF(A100&lt;'Données projet'!$A$140,$CQ$205^A100,IF(A100='Données projet'!$A$140,'Données projet'!$B$140,CT99+CS100-DB99)))</f>
        <v>253.19999999999996</v>
      </c>
      <c r="CU100" s="17">
        <f>CT100*VLOOKUP('Données projet'!$B$13,Paramètres!$A$1:$I$89,3,0)*VLOOKUP('Données projet'!$B$13,Paramètres!$A$1:$I$89,5,0)</f>
        <v>240.94511999999997</v>
      </c>
      <c r="CV100" s="13">
        <f t="shared" si="95"/>
        <v>58.642831116957332</v>
      </c>
      <c r="CW100" s="20">
        <f t="shared" si="67"/>
        <v>521.78234819536726</v>
      </c>
      <c r="CX100" s="57">
        <f t="shared" si="68"/>
        <v>815.11568152870063</v>
      </c>
      <c r="CY100" s="57">
        <f ca="1">AVERAGE(OFFSET($CX$3,0,0,'Données projet'!$E$13+1,1))-AVERAGE(OFFSET($H$3,0,0,'Données projet'!$E$13+1,1))</f>
        <v>314.67680626853303</v>
      </c>
      <c r="CZ100" s="57">
        <f t="shared" si="96"/>
        <v>372.57247561536263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89.684747812694795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89.684747812694795</v>
      </c>
      <c r="DJ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319</v>
      </c>
      <c r="DP100" s="17">
        <f>DO100*VLOOKUP('Données projet'!$B$14,Paramètres!$A$1:$I$89,3,0)*VLOOKUP('Données projet'!$B$14,Paramètres!$A$1:$I$89,5,0)</f>
        <v>209.00879999999998</v>
      </c>
      <c r="DQ100" s="13">
        <f t="shared" si="97"/>
        <v>51.718923953824202</v>
      </c>
      <c r="DR100" s="20">
        <f t="shared" si="70"/>
        <v>454.10078588624373</v>
      </c>
      <c r="DS100" s="57">
        <f t="shared" si="71"/>
        <v>747.43411921957704</v>
      </c>
      <c r="DT100" s="57">
        <f ca="1">AVERAGE(OFFSET($DS$3,0,0,'Données projet'!$E$14+1,1))-AVERAGE(OFFSET($H$3,0,0,'Données projet'!$E$14+1,1))</f>
        <v>188.80259324758066</v>
      </c>
      <c r="DU100" s="57">
        <f t="shared" si="98"/>
        <v>195.48048518255354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25.369353268271905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25.369353268271905</v>
      </c>
      <c r="EE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319</v>
      </c>
      <c r="EK100" s="17">
        <f>EJ100*VLOOKUP('Données projet'!$B$15,Paramètres!$A$1:$I$89,3,0)*VLOOKUP('Données projet'!$B$15,Paramètres!$A$1:$I$89,5,0)</f>
        <v>258.77280000000002</v>
      </c>
      <c r="EL100" s="13">
        <f t="shared" si="99"/>
        <v>62.460716522234691</v>
      </c>
      <c r="EM100" s="20">
        <f t="shared" si="73"/>
        <v>559.48170794289206</v>
      </c>
      <c r="EN100" s="57">
        <f t="shared" si="74"/>
        <v>852.81504127622543</v>
      </c>
      <c r="EO100" s="57">
        <f ca="1">AVERAGE(OFFSET($EN$3,0,0,'Données projet'!$E$15+1,1))-AVERAGE(OFFSET($H$3,0,0,'Données projet'!$E$15+1,1))</f>
        <v>250.90550982248311</v>
      </c>
      <c r="EP100" s="57">
        <f t="shared" si="100"/>
        <v>254.68874167908001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31.409675475003301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31.409675475003301</v>
      </c>
      <c r="EZ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7" t="e">
        <f t="shared" si="77"/>
        <v>#N/A</v>
      </c>
      <c r="FJ100" s="57" t="e">
        <f ca="1">AVERAGE(OFFSET($FI$3,0,0,'Données projet'!$E$16+1,1))-AVERAGE(OFFSET($H$3,0,0,'Données projet'!$E$16+1,1))</f>
        <v>#N/A</v>
      </c>
      <c r="FK100" s="57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7" t="e">
        <f t="shared" si="80"/>
        <v>#N/A</v>
      </c>
      <c r="GE100" s="57" t="e">
        <f ca="1">AVERAGE(OFFSET($GD$3,0,0,'Données projet'!$E$17+1,1))-AVERAGE(OFFSET($H$3,0,0,'Données projet'!$E$17+1,1))</f>
        <v>#N/A</v>
      </c>
      <c r="GF100" s="57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7" t="e">
        <f t="shared" si="83"/>
        <v>#N/A</v>
      </c>
      <c r="GZ100" s="57" t="e">
        <f ca="1">AVERAGE(OFFSET($GY$3,0,0,'Données projet'!$E$18+1,1))-AVERAGE(OFFSET($H$3,0,0,'Données projet'!$E$18+1,1))</f>
        <v>#N/A</v>
      </c>
      <c r="HA100" s="57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0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4">
        <f t="shared" si="56"/>
        <v>483.37856642216479</v>
      </c>
      <c r="I101" s="6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271.08431999999999</v>
      </c>
      <c r="P101" s="13">
        <f t="shared" si="87"/>
        <v>65.079335652211455</v>
      </c>
      <c r="Q101" s="20">
        <f t="shared" si="107"/>
        <v>585.4850335942682</v>
      </c>
      <c r="R101" s="57">
        <f t="shared" si="55"/>
        <v>878.81836692760157</v>
      </c>
      <c r="S101" s="57">
        <f ca="1">AVERAGE(OFFSET($R$3,0,0,'Données projet'!$E$9+1,1))-AVERAGE(OFFSET($H$3,0,0,'Données projet'!$E$9+1,1))</f>
        <v>267.44861001389006</v>
      </c>
      <c r="T101" s="57">
        <f t="shared" si="88"/>
        <v>165.25921510802965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81.13567102298984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81.13567102298984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5.6</v>
      </c>
      <c r="AI101" s="13">
        <f>IF('Données projet'!$A$62&gt;35,AI100+AH101-AQ100,IF(A101&lt;'Données projet'!$A$62,$AF$205^A101,IF(A101='Données projet'!$A$62,'Données projet'!$B$62,AI100+AH101-AQ100)))</f>
        <v>321.79999999999995</v>
      </c>
      <c r="AJ101" s="13">
        <f>AI101*VLOOKUP('Données projet'!$B$10,Paramètres!$A$1:$I$89,3,0)*VLOOKUP('Données projet'!$B$10,Paramètres!$A$1:$I$89,5,0)</f>
        <v>291.16463999999991</v>
      </c>
      <c r="AK101" s="13">
        <f t="shared" si="89"/>
        <v>69.321022467464644</v>
      </c>
      <c r="AL101" s="20">
        <f t="shared" si="58"/>
        <v>627.84586213083401</v>
      </c>
      <c r="AM101" s="57">
        <f t="shared" si="59"/>
        <v>921.17919546416738</v>
      </c>
      <c r="AN101" s="57">
        <f ca="1">AVERAGE(OFFSET($AM$3,0,0,'Données projet'!$E$10+1,1))-AVERAGE(OFFSET($H$3,0,0,'Données projet'!$E$10+1,1))</f>
        <v>294.92430430387071</v>
      </c>
      <c r="AO101" s="57">
        <f t="shared" si="90"/>
        <v>181.52228471516497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87.145720728396498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87.145720728396498</v>
      </c>
      <c r="AY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319</v>
      </c>
      <c r="BE101" s="13">
        <f>BD101*VLOOKUP('Données projet'!$B$11,Paramètres!$A$1:$I$89,3,0)*VLOOKUP('Données projet'!$B$11,Paramètres!$A$1:$I$89,5,0)</f>
        <v>258.77280000000002</v>
      </c>
      <c r="BF101" s="13">
        <f t="shared" si="91"/>
        <v>62.460716522234691</v>
      </c>
      <c r="BG101" s="20">
        <f t="shared" si="61"/>
        <v>559.48170794289206</v>
      </c>
      <c r="BH101" s="57">
        <f t="shared" si="62"/>
        <v>852.81504127622543</v>
      </c>
      <c r="BI101" s="57">
        <f ca="1">AVERAGE(OFFSET($BH$3,0,0,'Données projet'!$E$11+1,1))-AVERAGE(OFFSET($H$3,0,0,'Données projet'!$E$11+1,1))</f>
        <v>250.90550982248311</v>
      </c>
      <c r="BJ101" s="57">
        <f t="shared" si="92"/>
        <v>254.68874167908001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30.793750896948829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30.793750896948829</v>
      </c>
      <c r="BT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739.99999999999966</v>
      </c>
      <c r="BZ101" s="13">
        <f>BY101*VLOOKUP('Données projet'!$B$12,Paramètres!$A$1:$I$89,3,0)*VLOOKUP('Données projet'!$B$12,Paramètres!$A$1:$I$89,5,0)</f>
        <v>413.65999999999985</v>
      </c>
      <c r="CA101" s="13">
        <f t="shared" si="93"/>
        <v>94.540585122244352</v>
      </c>
      <c r="CB101" s="20">
        <f t="shared" si="64"/>
        <v>885.11601908790863</v>
      </c>
      <c r="CC101" s="57">
        <f t="shared" si="65"/>
        <v>1178.4493524212419</v>
      </c>
      <c r="CD101" s="57">
        <f ca="1">AVERAGE(OFFSET($CC$3,0,0,'Données projet'!$E$12+1,1))-AVERAGE(OFFSET($H$3,0,0,'Données projet'!$E$12+1,1))</f>
        <v>462.54745364638171</v>
      </c>
      <c r="CE101" s="57">
        <f t="shared" si="94"/>
        <v>571.50914830067313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58.186284430746213</v>
      </c>
      <c r="CL101" s="21">
        <f>EXP(-LN(2)/25)*CL100+(1-EXP(-LN(2)/25))/(LN(2)/25)*Calculateur!CG101*Calculateur!CI101*VLOOKUP('Données projet'!$B$12,Paramètres!$A$1:$I$89,3,0)*0.475*44/12</f>
        <v>8.7697735842258506</v>
      </c>
      <c r="CM101" s="21">
        <f>EXP(-LN(2)/2)*CM100+(1-EXP(-LN(2)/2))/(LN(2)/2)*CG101*CJ101*VLOOKUP('Données projet'!$B$12,Paramètres!$A$1:$I$89,3,0)*0.475*44/12</f>
        <v>4.9504647423680008E-11</v>
      </c>
      <c r="CN101" s="22">
        <f t="shared" si="66"/>
        <v>66.956058015021569</v>
      </c>
      <c r="CO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4.5999999999999996</v>
      </c>
      <c r="CT101" s="12">
        <f>IF('Données projet'!$A$140&gt;35,CT100+CS101-DB100,IF(A101&lt;'Données projet'!$A$140,$CQ$205^A101,IF(A101='Données projet'!$A$140,'Données projet'!$B$140,CT100+CS101-DB100)))</f>
        <v>257.79999999999995</v>
      </c>
      <c r="CU101" s="17">
        <f>CT101*VLOOKUP('Données projet'!$B$13,Paramètres!$A$1:$I$89,3,0)*VLOOKUP('Données projet'!$B$13,Paramètres!$A$1:$I$89,5,0)</f>
        <v>245.32247999999998</v>
      </c>
      <c r="CV101" s="13">
        <f t="shared" si="95"/>
        <v>59.583221982635983</v>
      </c>
      <c r="CW101" s="20">
        <f t="shared" si="67"/>
        <v>531.04409761975751</v>
      </c>
      <c r="CX101" s="57">
        <f t="shared" si="68"/>
        <v>824.37743095309088</v>
      </c>
      <c r="CY101" s="57">
        <f ca="1">AVERAGE(OFFSET($CX$3,0,0,'Données projet'!$E$13+1,1))-AVERAGE(OFFSET($H$3,0,0,'Données projet'!$E$13+1,1))</f>
        <v>314.67680626853303</v>
      </c>
      <c r="CZ101" s="57">
        <f t="shared" si="96"/>
        <v>372.57247561536263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87.926084610382617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87.926084610382617</v>
      </c>
      <c r="DJ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319</v>
      </c>
      <c r="DP101" s="17">
        <f>DO101*VLOOKUP('Données projet'!$B$14,Paramètres!$A$1:$I$89,3,0)*VLOOKUP('Données projet'!$B$14,Paramètres!$A$1:$I$89,5,0)</f>
        <v>209.00879999999998</v>
      </c>
      <c r="DQ101" s="13">
        <f t="shared" si="97"/>
        <v>51.718923953824202</v>
      </c>
      <c r="DR101" s="20">
        <f t="shared" si="70"/>
        <v>454.10078588624373</v>
      </c>
      <c r="DS101" s="57">
        <f t="shared" si="71"/>
        <v>747.43411921957704</v>
      </c>
      <c r="DT101" s="57">
        <f ca="1">AVERAGE(OFFSET($DS$3,0,0,'Données projet'!$E$14+1,1))-AVERAGE(OFFSET($H$3,0,0,'Données projet'!$E$14+1,1))</f>
        <v>188.80259324758066</v>
      </c>
      <c r="DU101" s="57">
        <f t="shared" si="98"/>
        <v>195.48048518255354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24.871875724458679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24.871875724458679</v>
      </c>
      <c r="EE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319</v>
      </c>
      <c r="EK101" s="17">
        <f>EJ101*VLOOKUP('Données projet'!$B$15,Paramètres!$A$1:$I$89,3,0)*VLOOKUP('Données projet'!$B$15,Paramètres!$A$1:$I$89,5,0)</f>
        <v>258.77280000000002</v>
      </c>
      <c r="EL101" s="13">
        <f t="shared" si="99"/>
        <v>62.460716522234691</v>
      </c>
      <c r="EM101" s="20">
        <f t="shared" si="73"/>
        <v>559.48170794289206</v>
      </c>
      <c r="EN101" s="57">
        <f t="shared" si="74"/>
        <v>852.81504127622543</v>
      </c>
      <c r="EO101" s="57">
        <f ca="1">AVERAGE(OFFSET($EN$3,0,0,'Données projet'!$E$15+1,1))-AVERAGE(OFFSET($H$3,0,0,'Données projet'!$E$15+1,1))</f>
        <v>250.90550982248311</v>
      </c>
      <c r="EP101" s="57">
        <f t="shared" si="100"/>
        <v>254.68874167908001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30.793750896948829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30.793750896948829</v>
      </c>
      <c r="EZ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7" t="e">
        <f t="shared" si="77"/>
        <v>#N/A</v>
      </c>
      <c r="FJ101" s="57" t="e">
        <f ca="1">AVERAGE(OFFSET($FI$3,0,0,'Données projet'!$E$16+1,1))-AVERAGE(OFFSET($H$3,0,0,'Données projet'!$E$16+1,1))</f>
        <v>#N/A</v>
      </c>
      <c r="FK101" s="57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7" t="e">
        <f t="shared" si="80"/>
        <v>#N/A</v>
      </c>
      <c r="GE101" s="57" t="e">
        <f ca="1">AVERAGE(OFFSET($GD$3,0,0,'Données projet'!$E$17+1,1))-AVERAGE(OFFSET($H$3,0,0,'Données projet'!$E$17+1,1))</f>
        <v>#N/A</v>
      </c>
      <c r="GF101" s="57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7" t="e">
        <f t="shared" si="83"/>
        <v>#N/A</v>
      </c>
      <c r="GZ101" s="57" t="e">
        <f ca="1">AVERAGE(OFFSET($GY$3,0,0,'Données projet'!$E$18+1,1))-AVERAGE(OFFSET($H$3,0,0,'Données projet'!$E$18+1,1))</f>
        <v>#N/A</v>
      </c>
      <c r="HA101" s="57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0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4">
        <f t="shared" si="56"/>
        <v>485.26896285804821</v>
      </c>
      <c r="I102" s="6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275.80176</v>
      </c>
      <c r="P102" s="13">
        <f t="shared" si="87"/>
        <v>66.079021520862696</v>
      </c>
      <c r="Q102" s="20">
        <f t="shared" si="107"/>
        <v>595.44236114883586</v>
      </c>
      <c r="R102" s="57">
        <f t="shared" si="55"/>
        <v>888.77569448216923</v>
      </c>
      <c r="S102" s="57">
        <f ca="1">AVERAGE(OFFSET($R$3,0,0,'Données projet'!$E$9+1,1))-AVERAGE(OFFSET($H$3,0,0,'Données projet'!$E$9+1,1))</f>
        <v>267.44861001389006</v>
      </c>
      <c r="T102" s="57">
        <f t="shared" si="88"/>
        <v>165.25921510802965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79.544650002101818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79.544650002101818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5.6</v>
      </c>
      <c r="AI102" s="13">
        <f>IF('Données projet'!$A$62&gt;35,AI101+AH102-AQ101,IF(A102&lt;'Données projet'!$A$62,$AF$205^A102,IF(A102='Données projet'!$A$62,'Données projet'!$B$62,AI101+AH102-AQ101)))</f>
        <v>327.39999999999998</v>
      </c>
      <c r="AJ102" s="13">
        <f>AI102*VLOOKUP('Données projet'!$B$10,Paramètres!$A$1:$I$89,3,0)*VLOOKUP('Données projet'!$B$10,Paramètres!$A$1:$I$89,5,0)</f>
        <v>296.23151999999993</v>
      </c>
      <c r="AK102" s="13">
        <f t="shared" si="89"/>
        <v>70.385865030263986</v>
      </c>
      <c r="AL102" s="20">
        <f t="shared" si="58"/>
        <v>638.52527892770956</v>
      </c>
      <c r="AM102" s="57">
        <f t="shared" si="59"/>
        <v>931.85861226104294</v>
      </c>
      <c r="AN102" s="57">
        <f ca="1">AVERAGE(OFFSET($AM$3,0,0,'Données projet'!$E$10+1,1))-AVERAGE(OFFSET($H$3,0,0,'Données projet'!$E$10+1,1))</f>
        <v>294.92430430387071</v>
      </c>
      <c r="AO102" s="57">
        <f t="shared" si="90"/>
        <v>181.52228471516497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85.436846298553803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85.436846298553803</v>
      </c>
      <c r="AY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319</v>
      </c>
      <c r="BE102" s="13">
        <f>BD102*VLOOKUP('Données projet'!$B$11,Paramètres!$A$1:$I$89,3,0)*VLOOKUP('Données projet'!$B$11,Paramètres!$A$1:$I$89,5,0)</f>
        <v>258.77280000000002</v>
      </c>
      <c r="BF102" s="13">
        <f t="shared" si="91"/>
        <v>62.460716522234691</v>
      </c>
      <c r="BG102" s="20">
        <f t="shared" si="61"/>
        <v>559.48170794289206</v>
      </c>
      <c r="BH102" s="57">
        <f t="shared" si="62"/>
        <v>852.81504127622543</v>
      </c>
      <c r="BI102" s="57">
        <f ca="1">AVERAGE(OFFSET($BH$3,0,0,'Données projet'!$E$11+1,1))-AVERAGE(OFFSET($H$3,0,0,'Données projet'!$E$11+1,1))</f>
        <v>250.90550982248311</v>
      </c>
      <c r="BJ102" s="57">
        <f t="shared" si="92"/>
        <v>254.68874167908001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30.189904224193107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30.189904224193107</v>
      </c>
      <c r="BT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739.99999999999966</v>
      </c>
      <c r="BZ102" s="13">
        <f>BY102*VLOOKUP('Données projet'!$B$12,Paramètres!$A$1:$I$89,3,0)*VLOOKUP('Données projet'!$B$12,Paramètres!$A$1:$I$89,5,0)</f>
        <v>413.65999999999985</v>
      </c>
      <c r="CA102" s="13">
        <f t="shared" si="93"/>
        <v>94.540585122244352</v>
      </c>
      <c r="CB102" s="20">
        <f t="shared" si="64"/>
        <v>885.11601908790863</v>
      </c>
      <c r="CC102" s="57">
        <f t="shared" si="65"/>
        <v>1178.4493524212419</v>
      </c>
      <c r="CD102" s="57">
        <f ca="1">AVERAGE(OFFSET($CC$3,0,0,'Données projet'!$E$12+1,1))-AVERAGE(OFFSET($H$3,0,0,'Données projet'!$E$12+1,1))</f>
        <v>462.54745364638171</v>
      </c>
      <c r="CE102" s="57">
        <f t="shared" si="94"/>
        <v>571.50914830067313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57.045286883188425</v>
      </c>
      <c r="CL102" s="21">
        <f>EXP(-LN(2)/25)*CL101+(1-EXP(-LN(2)/25))/(LN(2)/25)*Calculateur!CG102*Calculateur!CI102*VLOOKUP('Données projet'!$B$12,Paramètres!$A$1:$I$89,3,0)*0.475*44/12</f>
        <v>8.529963664382846</v>
      </c>
      <c r="CM102" s="21">
        <f>EXP(-LN(2)/2)*CM101+(1-EXP(-LN(2)/2))/(LN(2)/2)*CG102*CJ102*VLOOKUP('Données projet'!$B$12,Paramètres!$A$1:$I$89,3,0)*0.475*44/12</f>
        <v>3.5005071893533282E-11</v>
      </c>
      <c r="CN102" s="22">
        <f t="shared" si="66"/>
        <v>65.575250547606274</v>
      </c>
      <c r="CO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4.5999999999999996</v>
      </c>
      <c r="CT102" s="12">
        <f>IF('Données projet'!$A$140&gt;35,CT101+CS102-DB101,IF(A102&lt;'Données projet'!$A$140,$CQ$205^A102,IF(A102='Données projet'!$A$140,'Données projet'!$B$140,CT101+CS102-DB101)))</f>
        <v>262.39999999999998</v>
      </c>
      <c r="CU102" s="17">
        <f>CT102*VLOOKUP('Données projet'!$B$13,Paramètres!$A$1:$I$89,3,0)*VLOOKUP('Données projet'!$B$13,Paramètres!$A$1:$I$89,5,0)</f>
        <v>249.69983999999999</v>
      </c>
      <c r="CV102" s="13">
        <f t="shared" si="95"/>
        <v>60.521661612597903</v>
      </c>
      <c r="CW102" s="20">
        <f t="shared" si="67"/>
        <v>540.30244864194128</v>
      </c>
      <c r="CX102" s="57">
        <f t="shared" si="68"/>
        <v>833.63578197527454</v>
      </c>
      <c r="CY102" s="57">
        <f ca="1">AVERAGE(OFFSET($CX$3,0,0,'Données projet'!$E$13+1,1))-AVERAGE(OFFSET($H$3,0,0,'Données projet'!$E$13+1,1))</f>
        <v>314.67680626853303</v>
      </c>
      <c r="CZ102" s="57">
        <f t="shared" si="96"/>
        <v>372.57247561536263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86.201907720789137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86.201907720789137</v>
      </c>
      <c r="DJ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319</v>
      </c>
      <c r="DP102" s="17">
        <f>DO102*VLOOKUP('Données projet'!$B$14,Paramètres!$A$1:$I$89,3,0)*VLOOKUP('Données projet'!$B$14,Paramètres!$A$1:$I$89,5,0)</f>
        <v>209.00879999999998</v>
      </c>
      <c r="DQ102" s="13">
        <f t="shared" si="97"/>
        <v>51.718923953824202</v>
      </c>
      <c r="DR102" s="20">
        <f t="shared" si="70"/>
        <v>454.10078588624373</v>
      </c>
      <c r="DS102" s="57">
        <f t="shared" si="71"/>
        <v>747.43411921957704</v>
      </c>
      <c r="DT102" s="57">
        <f ca="1">AVERAGE(OFFSET($DS$3,0,0,'Données projet'!$E$14+1,1))-AVERAGE(OFFSET($H$3,0,0,'Données projet'!$E$14+1,1))</f>
        <v>188.80259324758066</v>
      </c>
      <c r="DU102" s="57">
        <f t="shared" si="98"/>
        <v>195.48048518255354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24.384153411848288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24.384153411848288</v>
      </c>
      <c r="EE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319</v>
      </c>
      <c r="EK102" s="17">
        <f>EJ102*VLOOKUP('Données projet'!$B$15,Paramètres!$A$1:$I$89,3,0)*VLOOKUP('Données projet'!$B$15,Paramètres!$A$1:$I$89,5,0)</f>
        <v>258.77280000000002</v>
      </c>
      <c r="EL102" s="13">
        <f t="shared" si="99"/>
        <v>62.460716522234691</v>
      </c>
      <c r="EM102" s="20">
        <f t="shared" si="73"/>
        <v>559.48170794289206</v>
      </c>
      <c r="EN102" s="57">
        <f t="shared" si="74"/>
        <v>852.81504127622543</v>
      </c>
      <c r="EO102" s="57">
        <f ca="1">AVERAGE(OFFSET($EN$3,0,0,'Données projet'!$E$15+1,1))-AVERAGE(OFFSET($H$3,0,0,'Données projet'!$E$15+1,1))</f>
        <v>250.90550982248311</v>
      </c>
      <c r="EP102" s="57">
        <f t="shared" si="100"/>
        <v>254.68874167908001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30.189904224193107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30.189904224193107</v>
      </c>
      <c r="EZ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7" t="e">
        <f t="shared" si="77"/>
        <v>#N/A</v>
      </c>
      <c r="FJ102" s="57" t="e">
        <f ca="1">AVERAGE(OFFSET($FI$3,0,0,'Données projet'!$E$16+1,1))-AVERAGE(OFFSET($H$3,0,0,'Données projet'!$E$16+1,1))</f>
        <v>#N/A</v>
      </c>
      <c r="FK102" s="57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7" t="e">
        <f t="shared" si="80"/>
        <v>#N/A</v>
      </c>
      <c r="GE102" s="57" t="e">
        <f ca="1">AVERAGE(OFFSET($GD$3,0,0,'Données projet'!$E$17+1,1))-AVERAGE(OFFSET($H$3,0,0,'Données projet'!$E$17+1,1))</f>
        <v>#N/A</v>
      </c>
      <c r="GF102" s="57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7" t="e">
        <f t="shared" si="83"/>
        <v>#N/A</v>
      </c>
      <c r="GZ102" s="57" t="e">
        <f ca="1">AVERAGE(OFFSET($GY$3,0,0,'Données projet'!$E$18+1,1))-AVERAGE(OFFSET($H$3,0,0,'Données projet'!$E$18+1,1))</f>
        <v>#N/A</v>
      </c>
      <c r="HA102" s="57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0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4">
        <f t="shared" si="56"/>
        <v>487.15892583174048</v>
      </c>
      <c r="I103" s="6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280.51920000000007</v>
      </c>
      <c r="P103" s="13">
        <f t="shared" si="87"/>
        <v>67.07671893338123</v>
      </c>
      <c r="Q103" s="20">
        <f t="shared" si="107"/>
        <v>605.39622547563897</v>
      </c>
      <c r="R103" s="57">
        <f t="shared" si="55"/>
        <v>898.72955880897234</v>
      </c>
      <c r="S103" s="57">
        <f ca="1">AVERAGE(OFFSET($R$3,0,0,'Données projet'!$E$9+1,1))-AVERAGE(OFFSET($H$3,0,0,'Données projet'!$E$9+1,1))</f>
        <v>267.44861001389006</v>
      </c>
      <c r="T103" s="57">
        <f t="shared" si="88"/>
        <v>165.25921510802965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88.796620089018845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88.796620089018845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333</v>
      </c>
      <c r="AG103" s="12">
        <f>VLOOKUP(A103,'Données projet'!$A$61:$I$81,9,0)</f>
        <v>5.6</v>
      </c>
      <c r="AH103" s="12">
        <f t="array" ref="AH103">INDEX(AG:AG,MIN(IF(ISNUMBER(AG103:AG299),ROW(AG103:AG299),"")))</f>
        <v>5.6</v>
      </c>
      <c r="AI103" s="13">
        <f>IF('Données projet'!$A$62&gt;35,AI102+AH103-AQ102,IF(A103&lt;'Données projet'!$A$62,$AF$205^A103,IF(A103='Données projet'!$A$62,'Données projet'!$B$62,AI102+AH103-AQ102)))</f>
        <v>333</v>
      </c>
      <c r="AJ103" s="13">
        <f>AI103*VLOOKUP('Données projet'!$B$10,Paramètres!$A$1:$I$89,3,0)*VLOOKUP('Données projet'!$B$10,Paramètres!$A$1:$I$89,5,0)</f>
        <v>301.29840000000002</v>
      </c>
      <c r="AK103" s="13">
        <f t="shared" si="89"/>
        <v>71.448589534990518</v>
      </c>
      <c r="AL103" s="20">
        <f t="shared" si="58"/>
        <v>649.2010067734418</v>
      </c>
      <c r="AM103" s="57">
        <f t="shared" si="59"/>
        <v>942.53434010677506</v>
      </c>
      <c r="AN103" s="57">
        <f ca="1">AVERAGE(OFFSET($AM$3,0,0,'Données projet'!$E$10+1,1))-AVERAGE(OFFSET($H$3,0,0,'Données projet'!$E$10+1,1))</f>
        <v>294.92430430387071</v>
      </c>
      <c r="AO103" s="57">
        <f t="shared" si="90"/>
        <v>181.52228471516497</v>
      </c>
      <c r="AP103" s="15">
        <f>IF(ISNA(VLOOKUP(A103,'Données projet'!$A$61:$I$81,3,0)),0,VLOOKUP(A103,'Données projet'!$A$61:$I$81,3,0))</f>
        <v>17</v>
      </c>
      <c r="AQ103" s="15">
        <f>IF(ISNA(VLOOKUP(A103,'Données projet'!$A$61:$I$81,4,0)),0,VLOOKUP(A103,'Données projet'!$A$61:$I$81,4,0))</f>
        <v>27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95.374147503020254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95.374147503020254</v>
      </c>
      <c r="AY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319</v>
      </c>
      <c r="BE103" s="13">
        <f>BD103*VLOOKUP('Données projet'!$B$11,Paramètres!$A$1:$I$89,3,0)*VLOOKUP('Données projet'!$B$11,Paramètres!$A$1:$I$89,5,0)</f>
        <v>258.77280000000002</v>
      </c>
      <c r="BF103" s="13">
        <f t="shared" si="91"/>
        <v>62.460716522234691</v>
      </c>
      <c r="BG103" s="20">
        <f t="shared" si="61"/>
        <v>559.48170794289206</v>
      </c>
      <c r="BH103" s="57">
        <f t="shared" si="62"/>
        <v>852.81504127622543</v>
      </c>
      <c r="BI103" s="57">
        <f ca="1">AVERAGE(OFFSET($BH$3,0,0,'Données projet'!$E$11+1,1))-AVERAGE(OFFSET($H$3,0,0,'Données projet'!$E$11+1,1))</f>
        <v>250.90550982248311</v>
      </c>
      <c r="BJ103" s="57">
        <f t="shared" si="92"/>
        <v>254.68874167908001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29.597898616380022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29.597898616380022</v>
      </c>
      <c r="BT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739.99999999999966</v>
      </c>
      <c r="BZ103" s="13">
        <f>BY103*VLOOKUP('Données projet'!$B$12,Paramètres!$A$1:$I$89,3,0)*VLOOKUP('Données projet'!$B$12,Paramètres!$A$1:$I$89,5,0)</f>
        <v>413.65999999999985</v>
      </c>
      <c r="CA103" s="13">
        <f t="shared" si="93"/>
        <v>94.540585122244352</v>
      </c>
      <c r="CB103" s="20">
        <f t="shared" si="64"/>
        <v>885.11601908790863</v>
      </c>
      <c r="CC103" s="57">
        <f t="shared" si="65"/>
        <v>1178.4493524212419</v>
      </c>
      <c r="CD103" s="57">
        <f ca="1">AVERAGE(OFFSET($CC$3,0,0,'Données projet'!$E$12+1,1))-AVERAGE(OFFSET($H$3,0,0,'Données projet'!$E$12+1,1))</f>
        <v>462.54745364638171</v>
      </c>
      <c r="CE103" s="57">
        <f t="shared" si="94"/>
        <v>571.50914830067313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55.926663601598456</v>
      </c>
      <c r="CL103" s="21">
        <f>EXP(-LN(2)/25)*CL102+(1-EXP(-LN(2)/25))/(LN(2)/25)*Calculateur!CG103*Calculateur!CI103*VLOOKUP('Données projet'!$B$12,Paramètres!$A$1:$I$89,3,0)*0.475*44/12</f>
        <v>8.2967113594090041</v>
      </c>
      <c r="CM103" s="21">
        <f>EXP(-LN(2)/2)*CM102+(1-EXP(-LN(2)/2))/(LN(2)/2)*CG103*CJ103*VLOOKUP('Données projet'!$B$12,Paramètres!$A$1:$I$89,3,0)*0.475*44/12</f>
        <v>2.4752323711840004E-11</v>
      </c>
      <c r="CN103" s="22">
        <f t="shared" si="66"/>
        <v>64.223374961032221</v>
      </c>
      <c r="CO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267</v>
      </c>
      <c r="CR103" s="12">
        <f>VLOOKUP(A103,'Données projet'!$A$139:$I$159,9,0)</f>
        <v>4.5999999999999996</v>
      </c>
      <c r="CS103" s="12">
        <f t="array" ref="CS103">INDEX(CR:CR,MIN(IF(ISNUMBER(CR103:CR299),ROW(CR103:CR299),"")))</f>
        <v>4.5999999999999996</v>
      </c>
      <c r="CT103" s="12">
        <f>IF('Données projet'!$A$140&gt;35,CT102+CS103-DB102,IF(A103&lt;'Données projet'!$A$140,$CQ$205^A103,IF(A103='Données projet'!$A$140,'Données projet'!$B$140,CT102+CS103-DB102)))</f>
        <v>267</v>
      </c>
      <c r="CU103" s="17">
        <f>CT103*VLOOKUP('Données projet'!$B$13,Paramètres!$A$1:$I$89,3,0)*VLOOKUP('Données projet'!$B$13,Paramètres!$A$1:$I$89,5,0)</f>
        <v>254.0772</v>
      </c>
      <c r="CV103" s="13">
        <f t="shared" si="95"/>
        <v>61.458188159552755</v>
      </c>
      <c r="CW103" s="20">
        <f t="shared" si="67"/>
        <v>549.55746771122097</v>
      </c>
      <c r="CX103" s="57">
        <f t="shared" si="68"/>
        <v>842.89080104455434</v>
      </c>
      <c r="CY103" s="57">
        <f ca="1">AVERAGE(OFFSET($CX$3,0,0,'Données projet'!$E$13+1,1))-AVERAGE(OFFSET($H$3,0,0,'Données projet'!$E$13+1,1))</f>
        <v>314.67680626853303</v>
      </c>
      <c r="CZ103" s="57">
        <f t="shared" si="96"/>
        <v>372.57247561536263</v>
      </c>
      <c r="DA103" s="15">
        <f>IF(ISNA(VLOOKUP(A103,'Données projet'!$A$139:$I$159,3,0)),0,VLOOKUP(A103,'Données projet'!$A$139:$I$159,3,0))</f>
        <v>19</v>
      </c>
      <c r="DB103" s="15">
        <f>IF(ISNA(VLOOKUP(A103,'Données projet'!$A$139:$I$159,4,0)),0,VLOOKUP(A103,'Données projet'!$A$139:$I$159,4,0))</f>
        <v>22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94.463135588883773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94.463135588883773</v>
      </c>
      <c r="DJ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319</v>
      </c>
      <c r="DP103" s="17">
        <f>DO103*VLOOKUP('Données projet'!$B$14,Paramètres!$A$1:$I$89,3,0)*VLOOKUP('Données projet'!$B$14,Paramètres!$A$1:$I$89,5,0)</f>
        <v>209.00879999999998</v>
      </c>
      <c r="DQ103" s="13">
        <f t="shared" si="97"/>
        <v>51.718923953824202</v>
      </c>
      <c r="DR103" s="20">
        <f t="shared" si="70"/>
        <v>454.10078588624373</v>
      </c>
      <c r="DS103" s="57">
        <f t="shared" si="71"/>
        <v>747.43411921957704</v>
      </c>
      <c r="DT103" s="57">
        <f ca="1">AVERAGE(OFFSET($DS$3,0,0,'Données projet'!$E$14+1,1))-AVERAGE(OFFSET($H$3,0,0,'Données projet'!$E$14+1,1))</f>
        <v>188.80259324758066</v>
      </c>
      <c r="DU103" s="57">
        <f t="shared" si="98"/>
        <v>195.48048518255354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23.905995036306951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23.905995036306951</v>
      </c>
      <c r="EE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319</v>
      </c>
      <c r="EK103" s="17">
        <f>EJ103*VLOOKUP('Données projet'!$B$15,Paramètres!$A$1:$I$89,3,0)*VLOOKUP('Données projet'!$B$15,Paramètres!$A$1:$I$89,5,0)</f>
        <v>258.77280000000002</v>
      </c>
      <c r="EL103" s="13">
        <f t="shared" si="99"/>
        <v>62.460716522234691</v>
      </c>
      <c r="EM103" s="20">
        <f t="shared" si="73"/>
        <v>559.48170794289206</v>
      </c>
      <c r="EN103" s="57">
        <f t="shared" si="74"/>
        <v>852.81504127622543</v>
      </c>
      <c r="EO103" s="57">
        <f ca="1">AVERAGE(OFFSET($EN$3,0,0,'Données projet'!$E$15+1,1))-AVERAGE(OFFSET($H$3,0,0,'Données projet'!$E$15+1,1))</f>
        <v>250.90550982248311</v>
      </c>
      <c r="EP103" s="57">
        <f t="shared" si="100"/>
        <v>254.68874167908001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29.597898616380022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29.597898616380022</v>
      </c>
      <c r="EZ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7" t="e">
        <f t="shared" si="77"/>
        <v>#N/A</v>
      </c>
      <c r="FJ103" s="57" t="e">
        <f ca="1">AVERAGE(OFFSET($FI$3,0,0,'Données projet'!$E$16+1,1))-AVERAGE(OFFSET($H$3,0,0,'Données projet'!$E$16+1,1))</f>
        <v>#N/A</v>
      </c>
      <c r="FK103" s="57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7" t="e">
        <f t="shared" si="80"/>
        <v>#N/A</v>
      </c>
      <c r="GE103" s="57" t="e">
        <f ca="1">AVERAGE(OFFSET($GD$3,0,0,'Données projet'!$E$17+1,1))-AVERAGE(OFFSET($H$3,0,0,'Données projet'!$E$17+1,1))</f>
        <v>#N/A</v>
      </c>
      <c r="GF103" s="57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7" t="e">
        <f t="shared" si="83"/>
        <v>#N/A</v>
      </c>
      <c r="GZ103" s="57" t="e">
        <f ca="1">AVERAGE(OFFSET($GY$3,0,0,'Données projet'!$E$18+1,1))-AVERAGE(OFFSET($H$3,0,0,'Données projet'!$E$18+1,1))</f>
        <v>#N/A</v>
      </c>
      <c r="HA103" s="57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0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4">
        <f t="shared" si="56"/>
        <v>489.04846017976024</v>
      </c>
      <c r="I104" s="6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262.32336000000004</v>
      </c>
      <c r="P104" s="13">
        <f t="shared" si="87"/>
        <v>63.217367706132244</v>
      </c>
      <c r="Q104" s="20">
        <f t="shared" si="107"/>
        <v>566.98343408818027</v>
      </c>
      <c r="R104" s="57">
        <f t="shared" si="55"/>
        <v>860.31676742151353</v>
      </c>
      <c r="S104" s="57">
        <f ca="1">AVERAGE(OFFSET($R$3,0,0,'Données projet'!$E$9+1,1))-AVERAGE(OFFSET($H$3,0,0,'Données projet'!$E$9+1,1))</f>
        <v>267.44861001389006</v>
      </c>
      <c r="T104" s="57">
        <f t="shared" si="88"/>
        <v>165.25921510802965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87.055372529663529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87.055372529663529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5.4</v>
      </c>
      <c r="AI104" s="13">
        <f>IF('Données projet'!$A$62&gt;35,AI103+AH104-AQ103,IF(A104&lt;'Données projet'!$A$62,$AF$205^A104,IF(A104='Données projet'!$A$62,'Données projet'!$B$62,AI103+AH104-AQ103)))</f>
        <v>311.39999999999998</v>
      </c>
      <c r="AJ104" s="13">
        <f>AI104*VLOOKUP('Données projet'!$B$10,Paramètres!$A$1:$I$89,3,0)*VLOOKUP('Données projet'!$B$10,Paramètres!$A$1:$I$89,5,0)</f>
        <v>281.75471999999996</v>
      </c>
      <c r="AK104" s="13">
        <f t="shared" si="89"/>
        <v>67.337696723120317</v>
      </c>
      <c r="AL104" s="20">
        <f t="shared" si="58"/>
        <v>608.00262579276773</v>
      </c>
      <c r="AM104" s="57">
        <f t="shared" si="59"/>
        <v>901.33595912610099</v>
      </c>
      <c r="AN104" s="57">
        <f ca="1">AVERAGE(OFFSET($AM$3,0,0,'Données projet'!$E$10+1,1))-AVERAGE(OFFSET($H$3,0,0,'Données projet'!$E$10+1,1))</f>
        <v>294.92430430387071</v>
      </c>
      <c r="AO104" s="57">
        <f t="shared" si="90"/>
        <v>181.52228471516497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93.503918642971954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93.503918642971954</v>
      </c>
      <c r="AY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319</v>
      </c>
      <c r="BE104" s="13">
        <f>BD104*VLOOKUP('Données projet'!$B$11,Paramètres!$A$1:$I$89,3,0)*VLOOKUP('Données projet'!$B$11,Paramètres!$A$1:$I$89,5,0)</f>
        <v>258.77280000000002</v>
      </c>
      <c r="BF104" s="13">
        <f t="shared" si="91"/>
        <v>62.460716522234691</v>
      </c>
      <c r="BG104" s="20">
        <f t="shared" si="61"/>
        <v>559.48170794289206</v>
      </c>
      <c r="BH104" s="57">
        <f t="shared" si="62"/>
        <v>852.81504127622543</v>
      </c>
      <c r="BI104" s="57">
        <f ca="1">AVERAGE(OFFSET($BH$3,0,0,'Données projet'!$E$11+1,1))-AVERAGE(OFFSET($H$3,0,0,'Données projet'!$E$11+1,1))</f>
        <v>250.90550982248311</v>
      </c>
      <c r="BJ104" s="57">
        <f t="shared" si="92"/>
        <v>254.68874167908001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29.017501877448385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29.017501877448385</v>
      </c>
      <c r="BT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739.99999999999966</v>
      </c>
      <c r="BZ104" s="13">
        <f>BY104*VLOOKUP('Données projet'!$B$12,Paramètres!$A$1:$I$89,3,0)*VLOOKUP('Données projet'!$B$12,Paramètres!$A$1:$I$89,5,0)</f>
        <v>413.65999999999985</v>
      </c>
      <c r="CA104" s="13">
        <f t="shared" si="93"/>
        <v>94.540585122244352</v>
      </c>
      <c r="CB104" s="20">
        <f t="shared" si="64"/>
        <v>885.11601908790863</v>
      </c>
      <c r="CC104" s="57">
        <f t="shared" si="65"/>
        <v>1178.4493524212419</v>
      </c>
      <c r="CD104" s="57">
        <f ca="1">AVERAGE(OFFSET($CC$3,0,0,'Données projet'!$E$12+1,1))-AVERAGE(OFFSET($H$3,0,0,'Données projet'!$E$12+1,1))</f>
        <v>462.54745364638171</v>
      </c>
      <c r="CE104" s="57">
        <f t="shared" si="94"/>
        <v>571.50914830067313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54.829975840267636</v>
      </c>
      <c r="CL104" s="21">
        <f>EXP(-LN(2)/25)*CL103+(1-EXP(-LN(2)/25))/(LN(2)/25)*Calculateur!CG104*Calculateur!CI104*VLOOKUP('Données projet'!$B$12,Paramètres!$A$1:$I$89,3,0)*0.475*44/12</f>
        <v>8.0698373509808761</v>
      </c>
      <c r="CM104" s="21">
        <f>EXP(-LN(2)/2)*CM103+(1-EXP(-LN(2)/2))/(LN(2)/2)*CG104*CJ104*VLOOKUP('Données projet'!$B$12,Paramètres!$A$1:$I$89,3,0)*0.475*44/12</f>
        <v>1.7502535946766641E-11</v>
      </c>
      <c r="CN104" s="22">
        <f t="shared" si="66"/>
        <v>62.899813191266013</v>
      </c>
      <c r="CO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4.4000000000000004</v>
      </c>
      <c r="CT104" s="12">
        <f>IF('Données projet'!$A$140&gt;35,CT103+CS104-DB103,IF(A104&lt;'Données projet'!$A$140,$CQ$205^A104,IF(A104='Données projet'!$A$140,'Données projet'!$B$140,CT103+CS104-DB103)))</f>
        <v>249.39999999999998</v>
      </c>
      <c r="CU104" s="17">
        <f>CT104*VLOOKUP('Données projet'!$B$13,Paramètres!$A$1:$I$89,3,0)*VLOOKUP('Données projet'!$B$13,Paramètres!$A$1:$I$89,5,0)</f>
        <v>237.32903999999999</v>
      </c>
      <c r="CV104" s="13">
        <f t="shared" si="95"/>
        <v>57.864486657972002</v>
      </c>
      <c r="CW104" s="20">
        <f t="shared" si="67"/>
        <v>514.12872559596781</v>
      </c>
      <c r="CX104" s="57">
        <f t="shared" si="68"/>
        <v>807.46205892930107</v>
      </c>
      <c r="CY104" s="57">
        <f ca="1">AVERAGE(OFFSET($CX$3,0,0,'Données projet'!$E$13+1,1))-AVERAGE(OFFSET($H$3,0,0,'Données projet'!$E$13+1,1))</f>
        <v>314.67680626853303</v>
      </c>
      <c r="CZ104" s="57">
        <f t="shared" si="96"/>
        <v>372.57247561536263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92.610771116809289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92.610771116809289</v>
      </c>
      <c r="DJ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319</v>
      </c>
      <c r="DP104" s="17">
        <f>DO104*VLOOKUP('Données projet'!$B$14,Paramètres!$A$1:$I$89,3,0)*VLOOKUP('Données projet'!$B$14,Paramètres!$A$1:$I$89,5,0)</f>
        <v>209.00879999999998</v>
      </c>
      <c r="DQ104" s="13">
        <f t="shared" si="97"/>
        <v>51.718923953824202</v>
      </c>
      <c r="DR104" s="20">
        <f t="shared" si="70"/>
        <v>454.10078588624373</v>
      </c>
      <c r="DS104" s="57">
        <f t="shared" si="71"/>
        <v>747.43411921957704</v>
      </c>
      <c r="DT104" s="57">
        <f ca="1">AVERAGE(OFFSET($DS$3,0,0,'Données projet'!$E$14+1,1))-AVERAGE(OFFSET($H$3,0,0,'Données projet'!$E$14+1,1))</f>
        <v>188.80259324758066</v>
      </c>
      <c r="DU104" s="57">
        <f t="shared" si="98"/>
        <v>195.48048518255354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23.43721305486217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23.43721305486217</v>
      </c>
      <c r="EE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319</v>
      </c>
      <c r="EK104" s="17">
        <f>EJ104*VLOOKUP('Données projet'!$B$15,Paramètres!$A$1:$I$89,3,0)*VLOOKUP('Données projet'!$B$15,Paramètres!$A$1:$I$89,5,0)</f>
        <v>258.77280000000002</v>
      </c>
      <c r="EL104" s="13">
        <f t="shared" si="99"/>
        <v>62.460716522234691</v>
      </c>
      <c r="EM104" s="20">
        <f t="shared" si="73"/>
        <v>559.48170794289206</v>
      </c>
      <c r="EN104" s="57">
        <f t="shared" si="74"/>
        <v>852.81504127622543</v>
      </c>
      <c r="EO104" s="57">
        <f ca="1">AVERAGE(OFFSET($EN$3,0,0,'Données projet'!$E$15+1,1))-AVERAGE(OFFSET($H$3,0,0,'Données projet'!$E$15+1,1))</f>
        <v>250.90550982248311</v>
      </c>
      <c r="EP104" s="57">
        <f t="shared" si="100"/>
        <v>254.68874167908001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29.017501877448385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29.017501877448385</v>
      </c>
      <c r="EZ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7" t="e">
        <f t="shared" si="77"/>
        <v>#N/A</v>
      </c>
      <c r="FJ104" s="57" t="e">
        <f ca="1">AVERAGE(OFFSET($FI$3,0,0,'Données projet'!$E$16+1,1))-AVERAGE(OFFSET($H$3,0,0,'Données projet'!$E$16+1,1))</f>
        <v>#N/A</v>
      </c>
      <c r="FK104" s="57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7" t="e">
        <f t="shared" si="80"/>
        <v>#N/A</v>
      </c>
      <c r="GE104" s="57" t="e">
        <f ca="1">AVERAGE(OFFSET($GD$3,0,0,'Données projet'!$E$17+1,1))-AVERAGE(OFFSET($H$3,0,0,'Données projet'!$E$17+1,1))</f>
        <v>#N/A</v>
      </c>
      <c r="GF104" s="57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7" t="e">
        <f t="shared" si="83"/>
        <v>#N/A</v>
      </c>
      <c r="GZ104" s="57" t="e">
        <f ca="1">AVERAGE(OFFSET($GY$3,0,0,'Données projet'!$E$18+1,1))-AVERAGE(OFFSET($H$3,0,0,'Données projet'!$E$18+1,1))</f>
        <v>#N/A</v>
      </c>
      <c r="HA104" s="57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0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4">
        <f t="shared" si="56"/>
        <v>490.93757063733278</v>
      </c>
      <c r="I105" s="6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266.87231999999995</v>
      </c>
      <c r="P105" s="13">
        <f t="shared" si="87"/>
        <v>64.185047205393062</v>
      </c>
      <c r="Q105" s="20">
        <f t="shared" si="107"/>
        <v>576.59158121605947</v>
      </c>
      <c r="R105" s="57">
        <f t="shared" si="55"/>
        <v>869.92491454939272</v>
      </c>
      <c r="S105" s="57">
        <f ca="1">AVERAGE(OFFSET($R$3,0,0,'Données projet'!$E$9+1,1))-AVERAGE(OFFSET($H$3,0,0,'Données projet'!$E$9+1,1))</f>
        <v>267.44861001389006</v>
      </c>
      <c r="T105" s="57">
        <f t="shared" si="88"/>
        <v>165.25921510802965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85.34826977289103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85.34826977289103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5.4</v>
      </c>
      <c r="AI105" s="13">
        <f>IF('Données projet'!$A$62&gt;35,AI104+AH105-AQ104,IF(A105&lt;'Données projet'!$A$62,$AF$205^A105,IF(A105='Données projet'!$A$62,'Données projet'!$B$62,AI104+AH105-AQ104)))</f>
        <v>316.79999999999995</v>
      </c>
      <c r="AJ105" s="13">
        <f>AI105*VLOOKUP('Données projet'!$B$10,Paramètres!$A$1:$I$89,3,0)*VLOOKUP('Données projet'!$B$10,Paramètres!$A$1:$I$89,5,0)</f>
        <v>286.64063999999996</v>
      </c>
      <c r="AK105" s="13">
        <f t="shared" si="89"/>
        <v>68.368446832003599</v>
      </c>
      <c r="AL105" s="20">
        <f t="shared" si="58"/>
        <v>618.30749289907283</v>
      </c>
      <c r="AM105" s="57">
        <f t="shared" si="59"/>
        <v>911.6408262324062</v>
      </c>
      <c r="AN105" s="57">
        <f ca="1">AVERAGE(OFFSET($AM$3,0,0,'Données projet'!$E$10+1,1))-AVERAGE(OFFSET($H$3,0,0,'Données projet'!$E$10+1,1))</f>
        <v>294.92430430387071</v>
      </c>
      <c r="AO105" s="57">
        <f t="shared" si="90"/>
        <v>181.52228471516497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91.670363830142222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91.670363830142222</v>
      </c>
      <c r="AY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319</v>
      </c>
      <c r="BE105" s="13">
        <f>BD105*VLOOKUP('Données projet'!$B$11,Paramètres!$A$1:$I$89,3,0)*VLOOKUP('Données projet'!$B$11,Paramètres!$A$1:$I$89,5,0)</f>
        <v>258.77280000000002</v>
      </c>
      <c r="BF105" s="13">
        <f t="shared" si="91"/>
        <v>62.460716522234691</v>
      </c>
      <c r="BG105" s="20">
        <f t="shared" si="61"/>
        <v>559.48170794289206</v>
      </c>
      <c r="BH105" s="57">
        <f t="shared" si="62"/>
        <v>852.81504127622543</v>
      </c>
      <c r="BI105" s="57">
        <f ca="1">AVERAGE(OFFSET($BH$3,0,0,'Données projet'!$E$11+1,1))-AVERAGE(OFFSET($H$3,0,0,'Données projet'!$E$11+1,1))</f>
        <v>250.90550982248311</v>
      </c>
      <c r="BJ105" s="57">
        <f t="shared" si="92"/>
        <v>254.68874167908001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28.448486364560143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28.448486364560143</v>
      </c>
      <c r="BT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739.99999999999966</v>
      </c>
      <c r="BZ105" s="13">
        <f>BY105*VLOOKUP('Données projet'!$B$12,Paramètres!$A$1:$I$89,3,0)*VLOOKUP('Données projet'!$B$12,Paramètres!$A$1:$I$89,5,0)</f>
        <v>413.65999999999985</v>
      </c>
      <c r="CA105" s="13">
        <f t="shared" si="93"/>
        <v>94.540585122244352</v>
      </c>
      <c r="CB105" s="20">
        <f t="shared" si="64"/>
        <v>885.11601908790863</v>
      </c>
      <c r="CC105" s="57">
        <f t="shared" si="65"/>
        <v>1178.4493524212419</v>
      </c>
      <c r="CD105" s="57">
        <f ca="1">AVERAGE(OFFSET($CC$3,0,0,'Données projet'!$E$12+1,1))-AVERAGE(OFFSET($H$3,0,0,'Données projet'!$E$12+1,1))</f>
        <v>462.54745364638171</v>
      </c>
      <c r="CE105" s="57">
        <f t="shared" si="94"/>
        <v>571.50914830067313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53.754793457023027</v>
      </c>
      <c r="CL105" s="21">
        <f>EXP(-LN(2)/25)*CL104+(1-EXP(-LN(2)/25))/(LN(2)/25)*Calculateur!CG105*Calculateur!CI105*VLOOKUP('Données projet'!$B$12,Paramètres!$A$1:$I$89,3,0)*0.475*44/12</f>
        <v>7.8491672242440016</v>
      </c>
      <c r="CM105" s="21">
        <f>EXP(-LN(2)/2)*CM104+(1-EXP(-LN(2)/2))/(LN(2)/2)*CG105*CJ105*VLOOKUP('Données projet'!$B$12,Paramètres!$A$1:$I$89,3,0)*0.475*44/12</f>
        <v>1.2376161855920002E-11</v>
      </c>
      <c r="CN105" s="22">
        <f t="shared" si="66"/>
        <v>61.603960681279403</v>
      </c>
      <c r="CO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4.4000000000000004</v>
      </c>
      <c r="CT105" s="12">
        <f>IF('Données projet'!$A$140&gt;35,CT104+CS105-DB104,IF(A105&lt;'Données projet'!$A$140,$CQ$205^A105,IF(A105='Données projet'!$A$140,'Données projet'!$B$140,CT104+CS105-DB104)))</f>
        <v>253.79999999999998</v>
      </c>
      <c r="CU105" s="17">
        <f>CT105*VLOOKUP('Données projet'!$B$13,Paramètres!$A$1:$I$89,3,0)*VLOOKUP('Données projet'!$B$13,Paramètres!$A$1:$I$89,5,0)</f>
        <v>241.51607999999999</v>
      </c>
      <c r="CV105" s="13">
        <f t="shared" si="95"/>
        <v>58.765602836317846</v>
      </c>
      <c r="CW105" s="20">
        <f t="shared" si="67"/>
        <v>522.9905976065869</v>
      </c>
      <c r="CX105" s="57">
        <f t="shared" si="68"/>
        <v>816.32393093992027</v>
      </c>
      <c r="CY105" s="57">
        <f ca="1">AVERAGE(OFFSET($CX$3,0,0,'Données projet'!$E$13+1,1))-AVERAGE(OFFSET($H$3,0,0,'Données projet'!$E$13+1,1))</f>
        <v>314.67680626853303</v>
      </c>
      <c r="CZ105" s="57">
        <f t="shared" si="96"/>
        <v>372.57247561536263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90.794730382201408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90.794730382201408</v>
      </c>
      <c r="DJ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319</v>
      </c>
      <c r="DP105" s="17">
        <f>DO105*VLOOKUP('Données projet'!$B$14,Paramètres!$A$1:$I$89,3,0)*VLOOKUP('Données projet'!$B$14,Paramètres!$A$1:$I$89,5,0)</f>
        <v>209.00879999999998</v>
      </c>
      <c r="DQ105" s="13">
        <f t="shared" si="97"/>
        <v>51.718923953824202</v>
      </c>
      <c r="DR105" s="20">
        <f t="shared" si="70"/>
        <v>454.10078588624373</v>
      </c>
      <c r="DS105" s="57">
        <f t="shared" si="71"/>
        <v>747.43411921957704</v>
      </c>
      <c r="DT105" s="57">
        <f ca="1">AVERAGE(OFFSET($DS$3,0,0,'Données projet'!$E$14+1,1))-AVERAGE(OFFSET($H$3,0,0,'Données projet'!$E$14+1,1))</f>
        <v>188.80259324758066</v>
      </c>
      <c r="DU105" s="57">
        <f t="shared" si="98"/>
        <v>195.48048518255354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22.977623602144742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22.977623602144742</v>
      </c>
      <c r="EE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319</v>
      </c>
      <c r="EK105" s="17">
        <f>EJ105*VLOOKUP('Données projet'!$B$15,Paramètres!$A$1:$I$89,3,0)*VLOOKUP('Données projet'!$B$15,Paramètres!$A$1:$I$89,5,0)</f>
        <v>258.77280000000002</v>
      </c>
      <c r="EL105" s="13">
        <f t="shared" si="99"/>
        <v>62.460716522234691</v>
      </c>
      <c r="EM105" s="20">
        <f t="shared" si="73"/>
        <v>559.48170794289206</v>
      </c>
      <c r="EN105" s="57">
        <f t="shared" si="74"/>
        <v>852.81504127622543</v>
      </c>
      <c r="EO105" s="57">
        <f ca="1">AVERAGE(OFFSET($EN$3,0,0,'Données projet'!$E$15+1,1))-AVERAGE(OFFSET($H$3,0,0,'Données projet'!$E$15+1,1))</f>
        <v>250.90550982248311</v>
      </c>
      <c r="EP105" s="57">
        <f t="shared" si="100"/>
        <v>254.68874167908001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28.448486364560143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28.448486364560143</v>
      </c>
      <c r="EZ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7" t="e">
        <f t="shared" si="77"/>
        <v>#N/A</v>
      </c>
      <c r="FJ105" s="57" t="e">
        <f ca="1">AVERAGE(OFFSET($FI$3,0,0,'Données projet'!$E$16+1,1))-AVERAGE(OFFSET($H$3,0,0,'Données projet'!$E$16+1,1))</f>
        <v>#N/A</v>
      </c>
      <c r="FK105" s="57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7" t="e">
        <f t="shared" si="80"/>
        <v>#N/A</v>
      </c>
      <c r="GE105" s="57" t="e">
        <f ca="1">AVERAGE(OFFSET($GD$3,0,0,'Données projet'!$E$17+1,1))-AVERAGE(OFFSET($H$3,0,0,'Données projet'!$E$17+1,1))</f>
        <v>#N/A</v>
      </c>
      <c r="GF105" s="57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7" t="e">
        <f t="shared" si="83"/>
        <v>#N/A</v>
      </c>
      <c r="GZ105" s="57" t="e">
        <f ca="1">AVERAGE(OFFSET($GY$3,0,0,'Données projet'!$E$18+1,1))-AVERAGE(OFFSET($H$3,0,0,'Données projet'!$E$18+1,1))</f>
        <v>#N/A</v>
      </c>
      <c r="HA105" s="57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0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4">
        <f t="shared" si="56"/>
        <v>492.82626184148364</v>
      </c>
      <c r="I106" s="6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271.42127999999997</v>
      </c>
      <c r="P106" s="13">
        <f t="shared" si="87"/>
        <v>65.15080854578764</v>
      </c>
      <c r="Q106" s="20">
        <f t="shared" si="107"/>
        <v>586.19638755057997</v>
      </c>
      <c r="R106" s="57">
        <f t="shared" si="55"/>
        <v>879.52972088391334</v>
      </c>
      <c r="S106" s="57">
        <f ca="1">AVERAGE(OFFSET($R$3,0,0,'Données projet'!$E$9+1,1))-AVERAGE(OFFSET($H$3,0,0,'Données projet'!$E$9+1,1))</f>
        <v>267.44861001389006</v>
      </c>
      <c r="T106" s="57">
        <f t="shared" si="88"/>
        <v>165.25921510802965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83.674642259948968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83.674642259948968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5.4</v>
      </c>
      <c r="AI106" s="13">
        <f>IF('Données projet'!$A$62&gt;35,AI105+AH106-AQ105,IF(A106&lt;'Données projet'!$A$62,$AF$205^A106,IF(A106='Données projet'!$A$62,'Données projet'!$B$62,AI105+AH106-AQ105)))</f>
        <v>322.19999999999993</v>
      </c>
      <c r="AJ106" s="13">
        <f>AI106*VLOOKUP('Données projet'!$B$10,Paramètres!$A$1:$I$89,3,0)*VLOOKUP('Données projet'!$B$10,Paramètres!$A$1:$I$89,5,0)</f>
        <v>291.5265599999999</v>
      </c>
      <c r="AK106" s="13">
        <f t="shared" si="89"/>
        <v>69.397153761857183</v>
      </c>
      <c r="AL106" s="20">
        <f t="shared" si="58"/>
        <v>628.60880146856778</v>
      </c>
      <c r="AM106" s="57">
        <f t="shared" si="59"/>
        <v>921.94213480190115</v>
      </c>
      <c r="AN106" s="57">
        <f ca="1">AVERAGE(OFFSET($AM$3,0,0,'Données projet'!$E$10+1,1))-AVERAGE(OFFSET($H$3,0,0,'Données projet'!$E$10+1,1))</f>
        <v>294.92430430387071</v>
      </c>
      <c r="AO106" s="57">
        <f t="shared" si="90"/>
        <v>181.52228471516497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89.872763908834074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89.872763908834074</v>
      </c>
      <c r="AY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319</v>
      </c>
      <c r="BE106" s="13">
        <f>BD106*VLOOKUP('Données projet'!$B$11,Paramètres!$A$1:$I$89,3,0)*VLOOKUP('Données projet'!$B$11,Paramètres!$A$1:$I$89,5,0)</f>
        <v>258.77280000000002</v>
      </c>
      <c r="BF106" s="13">
        <f t="shared" si="91"/>
        <v>62.460716522234691</v>
      </c>
      <c r="BG106" s="20">
        <f t="shared" si="61"/>
        <v>559.48170794289206</v>
      </c>
      <c r="BH106" s="57">
        <f t="shared" si="62"/>
        <v>852.81504127622543</v>
      </c>
      <c r="BI106" s="57">
        <f ca="1">AVERAGE(OFFSET($BH$3,0,0,'Données projet'!$E$11+1,1))-AVERAGE(OFFSET($H$3,0,0,'Données projet'!$E$11+1,1))</f>
        <v>250.90550982248311</v>
      </c>
      <c r="BJ106" s="57">
        <f t="shared" si="92"/>
        <v>254.68874167908001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27.890628898814448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27.890628898814448</v>
      </c>
      <c r="BT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739.99999999999966</v>
      </c>
      <c r="BZ106" s="13">
        <f>BY106*VLOOKUP('Données projet'!$B$12,Paramètres!$A$1:$I$89,3,0)*VLOOKUP('Données projet'!$B$12,Paramètres!$A$1:$I$89,5,0)</f>
        <v>413.65999999999985</v>
      </c>
      <c r="CA106" s="13">
        <f t="shared" si="93"/>
        <v>94.540585122244352</v>
      </c>
      <c r="CB106" s="20">
        <f t="shared" si="64"/>
        <v>885.11601908790863</v>
      </c>
      <c r="CC106" s="57">
        <f t="shared" si="65"/>
        <v>1178.4493524212419</v>
      </c>
      <c r="CD106" s="57">
        <f ca="1">AVERAGE(OFFSET($CC$3,0,0,'Données projet'!$E$12+1,1))-AVERAGE(OFFSET($H$3,0,0,'Données projet'!$E$12+1,1))</f>
        <v>462.54745364638171</v>
      </c>
      <c r="CE106" s="57">
        <f t="shared" si="94"/>
        <v>571.50914830067313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52.700694744517349</v>
      </c>
      <c r="CL106" s="21">
        <f>EXP(-LN(2)/25)*CL105+(1-EXP(-LN(2)/25))/(LN(2)/25)*Calculateur!CG106*Calculateur!CI106*VLOOKUP('Données projet'!$B$12,Paramètres!$A$1:$I$89,3,0)*0.475*44/12</f>
        <v>7.6345313337272849</v>
      </c>
      <c r="CM106" s="21">
        <f>EXP(-LN(2)/2)*CM105+(1-EXP(-LN(2)/2))/(LN(2)/2)*CG106*CJ106*VLOOKUP('Données projet'!$B$12,Paramètres!$A$1:$I$89,3,0)*0.475*44/12</f>
        <v>8.7512679733833205E-12</v>
      </c>
      <c r="CN106" s="22">
        <f t="shared" si="66"/>
        <v>60.335226078253385</v>
      </c>
      <c r="CO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4.4000000000000004</v>
      </c>
      <c r="CT106" s="12">
        <f>IF('Données projet'!$A$140&gt;35,CT105+CS106-DB105,IF(A106&lt;'Données projet'!$A$140,$CQ$205^A106,IF(A106='Données projet'!$A$140,'Données projet'!$B$140,CT105+CS106-DB105)))</f>
        <v>258.2</v>
      </c>
      <c r="CU106" s="17">
        <f>CT106*VLOOKUP('Données projet'!$B$13,Paramètres!$A$1:$I$89,3,0)*VLOOKUP('Données projet'!$B$13,Paramètres!$A$1:$I$89,5,0)</f>
        <v>245.70311999999998</v>
      </c>
      <c r="CV106" s="13">
        <f t="shared" si="95"/>
        <v>59.664902329356607</v>
      </c>
      <c r="CW106" s="20">
        <f t="shared" si="67"/>
        <v>531.84930555696269</v>
      </c>
      <c r="CX106" s="57">
        <f t="shared" si="68"/>
        <v>825.18263889029595</v>
      </c>
      <c r="CY106" s="57">
        <f ca="1">AVERAGE(OFFSET($CX$3,0,0,'Données projet'!$E$13+1,1))-AVERAGE(OFFSET($H$3,0,0,'Données projet'!$E$13+1,1))</f>
        <v>314.67680626853303</v>
      </c>
      <c r="CZ106" s="57">
        <f t="shared" si="96"/>
        <v>372.57247561536263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89.01430109872372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89.01430109872372</v>
      </c>
      <c r="DJ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319</v>
      </c>
      <c r="DP106" s="17">
        <f>DO106*VLOOKUP('Données projet'!$B$14,Paramètres!$A$1:$I$89,3,0)*VLOOKUP('Données projet'!$B$14,Paramètres!$A$1:$I$89,5,0)</f>
        <v>209.00879999999998</v>
      </c>
      <c r="DQ106" s="13">
        <f t="shared" si="97"/>
        <v>51.718923953824202</v>
      </c>
      <c r="DR106" s="20">
        <f t="shared" si="70"/>
        <v>454.10078588624373</v>
      </c>
      <c r="DS106" s="57">
        <f t="shared" si="71"/>
        <v>747.43411921957704</v>
      </c>
      <c r="DT106" s="57">
        <f ca="1">AVERAGE(OFFSET($DS$3,0,0,'Données projet'!$E$14+1,1))-AVERAGE(OFFSET($H$3,0,0,'Données projet'!$E$14+1,1))</f>
        <v>188.80259324758066</v>
      </c>
      <c r="DU106" s="57">
        <f t="shared" si="98"/>
        <v>195.48048518255354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22.527046418273219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22.527046418273219</v>
      </c>
      <c r="EE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319</v>
      </c>
      <c r="EK106" s="17">
        <f>EJ106*VLOOKUP('Données projet'!$B$15,Paramètres!$A$1:$I$89,3,0)*VLOOKUP('Données projet'!$B$15,Paramètres!$A$1:$I$89,5,0)</f>
        <v>258.77280000000002</v>
      </c>
      <c r="EL106" s="13">
        <f t="shared" si="99"/>
        <v>62.460716522234691</v>
      </c>
      <c r="EM106" s="20">
        <f t="shared" si="73"/>
        <v>559.48170794289206</v>
      </c>
      <c r="EN106" s="57">
        <f t="shared" si="74"/>
        <v>852.81504127622543</v>
      </c>
      <c r="EO106" s="57">
        <f ca="1">AVERAGE(OFFSET($EN$3,0,0,'Données projet'!$E$15+1,1))-AVERAGE(OFFSET($H$3,0,0,'Données projet'!$E$15+1,1))</f>
        <v>250.90550982248311</v>
      </c>
      <c r="EP106" s="57">
        <f t="shared" si="100"/>
        <v>254.68874167908001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27.890628898814448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27.890628898814448</v>
      </c>
      <c r="EZ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7" t="e">
        <f t="shared" si="77"/>
        <v>#N/A</v>
      </c>
      <c r="FJ106" s="57" t="e">
        <f ca="1">AVERAGE(OFFSET($FI$3,0,0,'Données projet'!$E$16+1,1))-AVERAGE(OFFSET($H$3,0,0,'Données projet'!$E$16+1,1))</f>
        <v>#N/A</v>
      </c>
      <c r="FK106" s="57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7" t="e">
        <f t="shared" si="80"/>
        <v>#N/A</v>
      </c>
      <c r="GE106" s="57" t="e">
        <f ca="1">AVERAGE(OFFSET($GD$3,0,0,'Données projet'!$E$17+1,1))-AVERAGE(OFFSET($H$3,0,0,'Données projet'!$E$17+1,1))</f>
        <v>#N/A</v>
      </c>
      <c r="GF106" s="57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7" t="e">
        <f t="shared" si="83"/>
        <v>#N/A</v>
      </c>
      <c r="GZ106" s="57" t="e">
        <f ca="1">AVERAGE(OFFSET($GY$3,0,0,'Données projet'!$E$18+1,1))-AVERAGE(OFFSET($H$3,0,0,'Données projet'!$E$18+1,1))</f>
        <v>#N/A</v>
      </c>
      <c r="HA106" s="57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0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4">
        <f t="shared" si="56"/>
        <v>494.71453833400813</v>
      </c>
      <c r="I107" s="6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275.97023999999993</v>
      </c>
      <c r="P107" s="13">
        <f t="shared" si="87"/>
        <v>66.114687585645072</v>
      </c>
      <c r="Q107" s="20">
        <f t="shared" si="107"/>
        <v>595.79791554499843</v>
      </c>
      <c r="R107" s="57">
        <f t="shared" si="55"/>
        <v>889.13124887833169</v>
      </c>
      <c r="S107" s="57">
        <f ca="1">AVERAGE(OFFSET($R$3,0,0,'Données projet'!$E$9+1,1))-AVERAGE(OFFSET($H$3,0,0,'Données projet'!$E$9+1,1))</f>
        <v>267.44861001389006</v>
      </c>
      <c r="T107" s="57">
        <f t="shared" si="88"/>
        <v>165.25921510802965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82.033833561723711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82.033833561723711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5.4</v>
      </c>
      <c r="AI107" s="13">
        <f>IF('Données projet'!$A$62&gt;35,AI106+AH107-AQ106,IF(A107&lt;'Données projet'!$A$62,$AF$205^A107,IF(A107='Données projet'!$A$62,'Données projet'!$B$62,AI106+AH107-AQ106)))</f>
        <v>327.59999999999991</v>
      </c>
      <c r="AJ107" s="13">
        <f>AI107*VLOOKUP('Données projet'!$B$10,Paramètres!$A$1:$I$89,3,0)*VLOOKUP('Données projet'!$B$10,Paramètres!$A$1:$I$89,5,0)</f>
        <v>296.4124799999999</v>
      </c>
      <c r="AK107" s="13">
        <f t="shared" si="89"/>
        <v>70.423855708154704</v>
      </c>
      <c r="AL107" s="20">
        <f t="shared" si="58"/>
        <v>638.90661802503598</v>
      </c>
      <c r="AM107" s="57">
        <f t="shared" si="59"/>
        <v>932.23995135836935</v>
      </c>
      <c r="AN107" s="57">
        <f ca="1">AVERAGE(OFFSET($AM$3,0,0,'Données projet'!$E$10+1,1))-AVERAGE(OFFSET($H$3,0,0,'Données projet'!$E$10+1,1))</f>
        <v>294.92430430387071</v>
      </c>
      <c r="AO107" s="57">
        <f t="shared" si="90"/>
        <v>181.52228471516497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88.110413825555099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88.110413825555099</v>
      </c>
      <c r="AY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319</v>
      </c>
      <c r="BE107" s="13">
        <f>BD107*VLOOKUP('Données projet'!$B$11,Paramètres!$A$1:$I$89,3,0)*VLOOKUP('Données projet'!$B$11,Paramètres!$A$1:$I$89,5,0)</f>
        <v>258.77280000000002</v>
      </c>
      <c r="BF107" s="13">
        <f t="shared" si="91"/>
        <v>62.460716522234691</v>
      </c>
      <c r="BG107" s="20">
        <f t="shared" si="61"/>
        <v>559.48170794289206</v>
      </c>
      <c r="BH107" s="57">
        <f t="shared" si="62"/>
        <v>852.81504127622543</v>
      </c>
      <c r="BI107" s="57">
        <f ca="1">AVERAGE(OFFSET($BH$3,0,0,'Données projet'!$E$11+1,1))-AVERAGE(OFFSET($H$3,0,0,'Données projet'!$E$11+1,1))</f>
        <v>250.90550982248311</v>
      </c>
      <c r="BJ107" s="57">
        <f t="shared" si="92"/>
        <v>254.68874167908001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27.343710677712568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27.343710677712568</v>
      </c>
      <c r="BT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739.99999999999966</v>
      </c>
      <c r="BZ107" s="13">
        <f>BY107*VLOOKUP('Données projet'!$B$12,Paramètres!$A$1:$I$89,3,0)*VLOOKUP('Données projet'!$B$12,Paramètres!$A$1:$I$89,5,0)</f>
        <v>413.65999999999985</v>
      </c>
      <c r="CA107" s="13">
        <f t="shared" si="93"/>
        <v>94.540585122244352</v>
      </c>
      <c r="CB107" s="20">
        <f t="shared" si="64"/>
        <v>885.11601908790863</v>
      </c>
      <c r="CC107" s="57">
        <f t="shared" si="65"/>
        <v>1178.4493524212419</v>
      </c>
      <c r="CD107" s="57">
        <f ca="1">AVERAGE(OFFSET($CC$3,0,0,'Données projet'!$E$12+1,1))-AVERAGE(OFFSET($H$3,0,0,'Données projet'!$E$12+1,1))</f>
        <v>462.54745364638171</v>
      </c>
      <c r="CE107" s="57">
        <f t="shared" si="94"/>
        <v>571.50914830067313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51.667266264827177</v>
      </c>
      <c r="CL107" s="21">
        <f>EXP(-LN(2)/25)*CL106+(1-EXP(-LN(2)/25))/(LN(2)/25)*Calculateur!CG107*Calculateur!CI107*VLOOKUP('Données projet'!$B$12,Paramètres!$A$1:$I$89,3,0)*0.475*44/12</f>
        <v>7.4257646729239584</v>
      </c>
      <c r="CM107" s="21">
        <f>EXP(-LN(2)/2)*CM106+(1-EXP(-LN(2)/2))/(LN(2)/2)*CG107*CJ107*VLOOKUP('Données projet'!$B$12,Paramètres!$A$1:$I$89,3,0)*0.475*44/12</f>
        <v>6.1880809279600009E-12</v>
      </c>
      <c r="CN107" s="22">
        <f t="shared" si="66"/>
        <v>59.093030937757327</v>
      </c>
      <c r="CO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4.4000000000000004</v>
      </c>
      <c r="CT107" s="12">
        <f>IF('Données projet'!$A$140&gt;35,CT106+CS107-DB106,IF(A107&lt;'Données projet'!$A$140,$CQ$205^A107,IF(A107='Données projet'!$A$140,'Données projet'!$B$140,CT106+CS107-DB106)))</f>
        <v>262.59999999999997</v>
      </c>
      <c r="CU107" s="17">
        <f>CT107*VLOOKUP('Données projet'!$B$13,Paramètres!$A$1:$I$89,3,0)*VLOOKUP('Données projet'!$B$13,Paramètres!$A$1:$I$89,5,0)</f>
        <v>249.89015999999998</v>
      </c>
      <c r="CV107" s="13">
        <f t="shared" si="95"/>
        <v>60.562419667970957</v>
      </c>
      <c r="CW107" s="20">
        <f t="shared" si="67"/>
        <v>540.70490958838275</v>
      </c>
      <c r="CX107" s="57">
        <f t="shared" si="68"/>
        <v>834.03824292171612</v>
      </c>
      <c r="CY107" s="57">
        <f ca="1">AVERAGE(OFFSET($CX$3,0,0,'Données projet'!$E$13+1,1))-AVERAGE(OFFSET($H$3,0,0,'Données projet'!$E$13+1,1))</f>
        <v>314.67680626853303</v>
      </c>
      <c r="CZ107" s="57">
        <f t="shared" si="96"/>
        <v>372.57247561536263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87.268784947540397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87.268784947540397</v>
      </c>
      <c r="DJ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319</v>
      </c>
      <c r="DP107" s="17">
        <f>DO107*VLOOKUP('Données projet'!$B$14,Paramètres!$A$1:$I$89,3,0)*VLOOKUP('Données projet'!$B$14,Paramètres!$A$1:$I$89,5,0)</f>
        <v>209.00879999999998</v>
      </c>
      <c r="DQ107" s="13">
        <f t="shared" si="97"/>
        <v>51.718923953824202</v>
      </c>
      <c r="DR107" s="20">
        <f t="shared" si="70"/>
        <v>454.10078588624373</v>
      </c>
      <c r="DS107" s="57">
        <f t="shared" si="71"/>
        <v>747.43411921957704</v>
      </c>
      <c r="DT107" s="57">
        <f ca="1">AVERAGE(OFFSET($DS$3,0,0,'Données projet'!$E$14+1,1))-AVERAGE(OFFSET($H$3,0,0,'Données projet'!$E$14+1,1))</f>
        <v>188.80259324758066</v>
      </c>
      <c r="DU107" s="57">
        <f t="shared" si="98"/>
        <v>195.48048518255354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22.085304778152469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22.085304778152469</v>
      </c>
      <c r="EE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319</v>
      </c>
      <c r="EK107" s="17">
        <f>EJ107*VLOOKUP('Données projet'!$B$15,Paramètres!$A$1:$I$89,3,0)*VLOOKUP('Données projet'!$B$15,Paramètres!$A$1:$I$89,5,0)</f>
        <v>258.77280000000002</v>
      </c>
      <c r="EL107" s="13">
        <f t="shared" si="99"/>
        <v>62.460716522234691</v>
      </c>
      <c r="EM107" s="20">
        <f t="shared" si="73"/>
        <v>559.48170794289206</v>
      </c>
      <c r="EN107" s="57">
        <f t="shared" si="74"/>
        <v>852.81504127622543</v>
      </c>
      <c r="EO107" s="57">
        <f ca="1">AVERAGE(OFFSET($EN$3,0,0,'Données projet'!$E$15+1,1))-AVERAGE(OFFSET($H$3,0,0,'Données projet'!$E$15+1,1))</f>
        <v>250.90550982248311</v>
      </c>
      <c r="EP107" s="57">
        <f t="shared" si="100"/>
        <v>254.68874167908001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27.343710677712568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27.343710677712568</v>
      </c>
      <c r="EZ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7" t="e">
        <f t="shared" si="77"/>
        <v>#N/A</v>
      </c>
      <c r="FJ107" s="57" t="e">
        <f ca="1">AVERAGE(OFFSET($FI$3,0,0,'Données projet'!$E$16+1,1))-AVERAGE(OFFSET($H$3,0,0,'Données projet'!$E$16+1,1))</f>
        <v>#N/A</v>
      </c>
      <c r="FK107" s="57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7" t="e">
        <f t="shared" si="80"/>
        <v>#N/A</v>
      </c>
      <c r="GE107" s="57" t="e">
        <f ca="1">AVERAGE(OFFSET($GD$3,0,0,'Données projet'!$E$17+1,1))-AVERAGE(OFFSET($H$3,0,0,'Données projet'!$E$17+1,1))</f>
        <v>#N/A</v>
      </c>
      <c r="GF107" s="57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7" t="e">
        <f t="shared" si="83"/>
        <v>#N/A</v>
      </c>
      <c r="GZ107" s="57" t="e">
        <f ca="1">AVERAGE(OFFSET($GY$3,0,0,'Données projet'!$E$18+1,1))-AVERAGE(OFFSET($H$3,0,0,'Données projet'!$E$18+1,1))</f>
        <v>#N/A</v>
      </c>
      <c r="HA107" s="57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0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4">
        <f t="shared" si="56"/>
        <v>496.60240456432325</v>
      </c>
      <c r="I108" s="6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280.5191999999999</v>
      </c>
      <c r="P108" s="13">
        <f t="shared" si="87"/>
        <v>67.076718933381159</v>
      </c>
      <c r="Q108" s="20">
        <f t="shared" si="107"/>
        <v>605.39622547563874</v>
      </c>
      <c r="R108" s="57">
        <f t="shared" si="55"/>
        <v>898.72955880897212</v>
      </c>
      <c r="S108" s="57">
        <f ca="1">AVERAGE(OFFSET($R$3,0,0,'Données projet'!$E$9+1,1))-AVERAGE(OFFSET($H$3,0,0,'Données projet'!$E$9+1,1))</f>
        <v>267.44861001389006</v>
      </c>
      <c r="T108" s="57">
        <f t="shared" si="88"/>
        <v>165.25921510802965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90.83655553076963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90.83655553076963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333</v>
      </c>
      <c r="AG108" s="12">
        <f>VLOOKUP(A108,'Données projet'!$A$61:$I$81,9,0)</f>
        <v>5.4</v>
      </c>
      <c r="AH108" s="12">
        <f t="array" ref="AH108">INDEX(AG:AG,MIN(IF(ISNUMBER(AG108:AG304),ROW(AG108:AG304),"")))</f>
        <v>5.4</v>
      </c>
      <c r="AI108" s="13">
        <f>IF('Données projet'!$A$62&gt;35,AI107+AH108-AQ107,IF(A108&lt;'Données projet'!$A$62,$AF$205^A108,IF(A108='Données projet'!$A$62,'Données projet'!$B$62,AI107+AH108-AQ107)))</f>
        <v>332.99999999999989</v>
      </c>
      <c r="AJ108" s="13">
        <f>AI108*VLOOKUP('Données projet'!$B$10,Paramètres!$A$1:$I$89,3,0)*VLOOKUP('Données projet'!$B$10,Paramètres!$A$1:$I$89,5,0)</f>
        <v>301.2983999999999</v>
      </c>
      <c r="AK108" s="13">
        <f t="shared" si="89"/>
        <v>71.448589534990518</v>
      </c>
      <c r="AL108" s="20">
        <f t="shared" si="58"/>
        <v>649.20100677344158</v>
      </c>
      <c r="AM108" s="57">
        <f t="shared" si="59"/>
        <v>942.53434010677483</v>
      </c>
      <c r="AN108" s="57">
        <f ca="1">AVERAGE(OFFSET($AM$3,0,0,'Données projet'!$E$10+1,1))-AVERAGE(OFFSET($H$3,0,0,'Données projet'!$E$10+1,1))</f>
        <v>294.92430430387071</v>
      </c>
      <c r="AO108" s="57">
        <f t="shared" si="90"/>
        <v>181.52228471516497</v>
      </c>
      <c r="AP108" s="15">
        <f>IF(ISNA(VLOOKUP(A108,'Données projet'!$A$61:$I$81,3,0)),0,VLOOKUP(A108,'Données projet'!$A$61:$I$81,3,0))</f>
        <v>18</v>
      </c>
      <c r="AQ108" s="15">
        <f>IF(ISNA(VLOOKUP(A108,'Données projet'!$A$61:$I$81,4,0)),0,VLOOKUP(A108,'Données projet'!$A$61:$I$81,4,0))</f>
        <v>26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97.565189273789613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97.565189273789613</v>
      </c>
      <c r="AY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319</v>
      </c>
      <c r="BE108" s="13">
        <f>BD108*VLOOKUP('Données projet'!$B$11,Paramètres!$A$1:$I$89,3,0)*VLOOKUP('Données projet'!$B$11,Paramètres!$A$1:$I$89,5,0)</f>
        <v>258.77280000000002</v>
      </c>
      <c r="BF108" s="13">
        <f t="shared" si="91"/>
        <v>62.460716522234691</v>
      </c>
      <c r="BG108" s="20">
        <f t="shared" si="61"/>
        <v>559.48170794289206</v>
      </c>
      <c r="BH108" s="57">
        <f t="shared" si="62"/>
        <v>852.81504127622543</v>
      </c>
      <c r="BI108" s="57">
        <f ca="1">AVERAGE(OFFSET($BH$3,0,0,'Données projet'!$E$11+1,1))-AVERAGE(OFFSET($H$3,0,0,'Données projet'!$E$11+1,1))</f>
        <v>250.90550982248311</v>
      </c>
      <c r="BJ108" s="57">
        <f t="shared" si="92"/>
        <v>254.68874167908001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26.807517189339322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26.807517189339322</v>
      </c>
      <c r="BT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739.99999999999966</v>
      </c>
      <c r="BZ108" s="13">
        <f>BY108*VLOOKUP('Données projet'!$B$12,Paramètres!$A$1:$I$89,3,0)*VLOOKUP('Données projet'!$B$12,Paramètres!$A$1:$I$89,5,0)</f>
        <v>413.65999999999985</v>
      </c>
      <c r="CA108" s="13">
        <f t="shared" si="93"/>
        <v>94.540585122244352</v>
      </c>
      <c r="CB108" s="20">
        <f t="shared" si="64"/>
        <v>885.11601908790863</v>
      </c>
      <c r="CC108" s="57">
        <f t="shared" si="65"/>
        <v>1178.4493524212419</v>
      </c>
      <c r="CD108" s="57">
        <f ca="1">AVERAGE(OFFSET($CC$3,0,0,'Données projet'!$E$12+1,1))-AVERAGE(OFFSET($H$3,0,0,'Données projet'!$E$12+1,1))</f>
        <v>462.54745364638171</v>
      </c>
      <c r="CE108" s="57">
        <f t="shared" si="94"/>
        <v>571.50914830067313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50.654102687294596</v>
      </c>
      <c r="CL108" s="21">
        <f>EXP(-LN(2)/25)*CL107+(1-EXP(-LN(2)/25))/(LN(2)/25)*Calculateur!CG108*Calculateur!CI108*VLOOKUP('Données projet'!$B$12,Paramètres!$A$1:$I$89,3,0)*0.475*44/12</f>
        <v>7.2227067474388607</v>
      </c>
      <c r="CM108" s="21">
        <f>EXP(-LN(2)/2)*CM107+(1-EXP(-LN(2)/2))/(LN(2)/2)*CG108*CJ108*VLOOKUP('Données projet'!$B$12,Paramètres!$A$1:$I$89,3,0)*0.475*44/12</f>
        <v>4.3756339866916602E-12</v>
      </c>
      <c r="CN108" s="22">
        <f t="shared" si="66"/>
        <v>57.876809434737837</v>
      </c>
      <c r="CO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267</v>
      </c>
      <c r="CR108" s="12">
        <f>VLOOKUP(A108,'Données projet'!$A$139:$I$159,9,0)</f>
        <v>4.4000000000000004</v>
      </c>
      <c r="CS108" s="12">
        <f t="array" ref="CS108">INDEX(CR:CR,MIN(IF(ISNUMBER(CR108:CR304),ROW(CR108:CR304),"")))</f>
        <v>4.4000000000000004</v>
      </c>
      <c r="CT108" s="12">
        <f>IF('Données projet'!$A$140&gt;35,CT107+CS108-DB107,IF(A108&lt;'Données projet'!$A$140,$CQ$205^A108,IF(A108='Données projet'!$A$140,'Données projet'!$B$140,CT107+CS108-DB107)))</f>
        <v>266.99999999999994</v>
      </c>
      <c r="CU108" s="17">
        <f>CT108*VLOOKUP('Données projet'!$B$13,Paramètres!$A$1:$I$89,3,0)*VLOOKUP('Données projet'!$B$13,Paramètres!$A$1:$I$89,5,0)</f>
        <v>254.07719999999992</v>
      </c>
      <c r="CV108" s="13">
        <f t="shared" si="95"/>
        <v>61.458188159552705</v>
      </c>
      <c r="CW108" s="20">
        <f t="shared" si="67"/>
        <v>549.55746771122074</v>
      </c>
      <c r="CX108" s="57">
        <f t="shared" si="68"/>
        <v>842.89080104455411</v>
      </c>
      <c r="CY108" s="57">
        <f ca="1">AVERAGE(OFFSET($CX$3,0,0,'Données projet'!$E$13+1,1))-AVERAGE(OFFSET($H$3,0,0,'Données projet'!$E$13+1,1))</f>
        <v>314.67680626853303</v>
      </c>
      <c r="CZ108" s="57">
        <f t="shared" si="96"/>
        <v>372.57247561536263</v>
      </c>
      <c r="DA108" s="15">
        <f>IF(ISNA(VLOOKUP(A108,'Données projet'!$A$139:$I$159,3,0)),0,VLOOKUP(A108,'Données projet'!$A$139:$I$159,3,0))</f>
        <v>20</v>
      </c>
      <c r="DB108" s="15">
        <f>IF(ISNA(VLOOKUP(A108,'Données projet'!$A$139:$I$159,4,0)),0,VLOOKUP(A108,'Données projet'!$A$139:$I$159,4,0))</f>
        <v>21</v>
      </c>
      <c r="DC108" s="16">
        <f>IF(ISNA(VLOOKUP(A108,'Données projet'!$A$139:$I$159,5,0)),0%,VLOOKUP(A108,'Données projet'!$A$139:$I$159,5,0)*VLOOKUP('Données projet'!$B$13,Paramètres!$A$1:$I$89,7,0))</f>
        <v>0.43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95.056746790288955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95.056746790288955</v>
      </c>
      <c r="DJ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319</v>
      </c>
      <c r="DP108" s="17">
        <f>DO108*VLOOKUP('Données projet'!$B$14,Paramètres!$A$1:$I$89,3,0)*VLOOKUP('Données projet'!$B$14,Paramètres!$A$1:$I$89,5,0)</f>
        <v>209.00879999999998</v>
      </c>
      <c r="DQ108" s="13">
        <f t="shared" si="97"/>
        <v>51.718923953824202</v>
      </c>
      <c r="DR108" s="20">
        <f t="shared" si="70"/>
        <v>454.10078588624373</v>
      </c>
      <c r="DS108" s="57">
        <f t="shared" si="71"/>
        <v>747.43411921957704</v>
      </c>
      <c r="DT108" s="57">
        <f ca="1">AVERAGE(OFFSET($DS$3,0,0,'Données projet'!$E$14+1,1))-AVERAGE(OFFSET($H$3,0,0,'Données projet'!$E$14+1,1))</f>
        <v>188.80259324758066</v>
      </c>
      <c r="DU108" s="57">
        <f t="shared" si="98"/>
        <v>195.48048518255354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21.652225422158693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21.652225422158693</v>
      </c>
      <c r="EE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319</v>
      </c>
      <c r="EK108" s="17">
        <f>EJ108*VLOOKUP('Données projet'!$B$15,Paramètres!$A$1:$I$89,3,0)*VLOOKUP('Données projet'!$B$15,Paramètres!$A$1:$I$89,5,0)</f>
        <v>258.77280000000002</v>
      </c>
      <c r="EL108" s="13">
        <f t="shared" si="99"/>
        <v>62.460716522234691</v>
      </c>
      <c r="EM108" s="20">
        <f t="shared" si="73"/>
        <v>559.48170794289206</v>
      </c>
      <c r="EN108" s="57">
        <f t="shared" si="74"/>
        <v>852.81504127622543</v>
      </c>
      <c r="EO108" s="57">
        <f ca="1">AVERAGE(OFFSET($EN$3,0,0,'Données projet'!$E$15+1,1))-AVERAGE(OFFSET($H$3,0,0,'Données projet'!$E$15+1,1))</f>
        <v>250.90550982248311</v>
      </c>
      <c r="EP108" s="57">
        <f t="shared" si="100"/>
        <v>254.68874167908001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26.807517189339322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26.807517189339322</v>
      </c>
      <c r="EZ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7" t="e">
        <f t="shared" si="77"/>
        <v>#N/A</v>
      </c>
      <c r="FJ108" s="57" t="e">
        <f ca="1">AVERAGE(OFFSET($FI$3,0,0,'Données projet'!$E$16+1,1))-AVERAGE(OFFSET($H$3,0,0,'Données projet'!$E$16+1,1))</f>
        <v>#N/A</v>
      </c>
      <c r="FK108" s="57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7" t="e">
        <f t="shared" si="80"/>
        <v>#N/A</v>
      </c>
      <c r="GE108" s="57" t="e">
        <f ca="1">AVERAGE(OFFSET($GD$3,0,0,'Données projet'!$E$17+1,1))-AVERAGE(OFFSET($H$3,0,0,'Données projet'!$E$17+1,1))</f>
        <v>#N/A</v>
      </c>
      <c r="GF108" s="57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7" t="e">
        <f t="shared" si="83"/>
        <v>#N/A</v>
      </c>
      <c r="GZ108" s="57" t="e">
        <f ca="1">AVERAGE(OFFSET($GY$3,0,0,'Données projet'!$E$18+1,1))-AVERAGE(OFFSET($H$3,0,0,'Données projet'!$E$18+1,1))</f>
        <v>#N/A</v>
      </c>
      <c r="HA108" s="57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0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4">
        <f t="shared" si="56"/>
        <v>498.48986489220857</v>
      </c>
      <c r="I109" s="6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262.82879999999994</v>
      </c>
      <c r="P109" s="13">
        <f t="shared" si="87"/>
        <v>63.324983518559428</v>
      </c>
      <c r="Q109" s="20">
        <f t="shared" si="107"/>
        <v>568.05117296149081</v>
      </c>
      <c r="R109" s="57">
        <f t="shared" si="55"/>
        <v>861.38450629482418</v>
      </c>
      <c r="S109" s="57">
        <f ca="1">AVERAGE(OFFSET($R$3,0,0,'Données projet'!$E$9+1,1))-AVERAGE(OFFSET($H$3,0,0,'Données projet'!$E$9+1,1))</f>
        <v>267.44861001389006</v>
      </c>
      <c r="T109" s="57">
        <f t="shared" si="88"/>
        <v>165.25921510802965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89.055306081639344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89.055306081639344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</v>
      </c>
      <c r="AI109" s="13">
        <f>IF('Données projet'!$A$62&gt;35,AI108+AH109-AQ108,IF(A109&lt;'Données projet'!$A$62,$AF$205^A109,IF(A109='Données projet'!$A$62,'Données projet'!$B$62,AI108+AH109-AQ108)))</f>
        <v>311.99999999999989</v>
      </c>
      <c r="AJ109" s="13">
        <f>AI109*VLOOKUP('Données projet'!$B$10,Paramètres!$A$1:$I$89,3,0)*VLOOKUP('Données projet'!$B$10,Paramètres!$A$1:$I$89,5,0)</f>
        <v>282.29759999999987</v>
      </c>
      <c r="AK109" s="13">
        <f t="shared" si="89"/>
        <v>67.452326629470178</v>
      </c>
      <c r="AL109" s="20">
        <f t="shared" si="58"/>
        <v>609.14778887966042</v>
      </c>
      <c r="AM109" s="57">
        <f t="shared" si="59"/>
        <v>902.4811222129938</v>
      </c>
      <c r="AN109" s="57">
        <f ca="1">AVERAGE(OFFSET($AM$3,0,0,'Données projet'!$E$10+1,1))-AVERAGE(OFFSET($H$3,0,0,'Données projet'!$E$10+1,1))</f>
        <v>294.92430430387071</v>
      </c>
      <c r="AO109" s="57">
        <f t="shared" si="90"/>
        <v>181.52228471516497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95.651995421020047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95.651995421020047</v>
      </c>
      <c r="AY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319</v>
      </c>
      <c r="BE109" s="13">
        <f>BD109*VLOOKUP('Données projet'!$B$11,Paramètres!$A$1:$I$89,3,0)*VLOOKUP('Données projet'!$B$11,Paramètres!$A$1:$I$89,5,0)</f>
        <v>258.77280000000002</v>
      </c>
      <c r="BF109" s="13">
        <f t="shared" si="91"/>
        <v>62.460716522234691</v>
      </c>
      <c r="BG109" s="20">
        <f t="shared" si="61"/>
        <v>559.48170794289206</v>
      </c>
      <c r="BH109" s="57">
        <f t="shared" si="62"/>
        <v>852.81504127622543</v>
      </c>
      <c r="BI109" s="57">
        <f ca="1">AVERAGE(OFFSET($BH$3,0,0,'Données projet'!$E$11+1,1))-AVERAGE(OFFSET($H$3,0,0,'Données projet'!$E$11+1,1))</f>
        <v>250.90550982248311</v>
      </c>
      <c r="BJ109" s="57">
        <f t="shared" si="92"/>
        <v>254.68874167908001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26.281838128227339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26.281838128227339</v>
      </c>
      <c r="BT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739.99999999999966</v>
      </c>
      <c r="BZ109" s="13">
        <f>BY109*VLOOKUP('Données projet'!$B$12,Paramètres!$A$1:$I$89,3,0)*VLOOKUP('Données projet'!$B$12,Paramètres!$A$1:$I$89,5,0)</f>
        <v>413.65999999999985</v>
      </c>
      <c r="CA109" s="13">
        <f t="shared" si="93"/>
        <v>94.540585122244352</v>
      </c>
      <c r="CB109" s="20">
        <f t="shared" si="64"/>
        <v>885.11601908790863</v>
      </c>
      <c r="CC109" s="57">
        <f t="shared" si="65"/>
        <v>1178.4493524212419</v>
      </c>
      <c r="CD109" s="57">
        <f ca="1">AVERAGE(OFFSET($CC$3,0,0,'Données projet'!$E$12+1,1))-AVERAGE(OFFSET($H$3,0,0,'Données projet'!$E$12+1,1))</f>
        <v>462.54745364638171</v>
      </c>
      <c r="CE109" s="57">
        <f t="shared" si="94"/>
        <v>571.50914830067313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49.660806629548667</v>
      </c>
      <c r="CL109" s="21">
        <f>EXP(-LN(2)/25)*CL108+(1-EXP(-LN(2)/25))/(LN(2)/25)*Calculateur!CG109*Calculateur!CI109*VLOOKUP('Données projet'!$B$12,Paramètres!$A$1:$I$89,3,0)*0.475*44/12</f>
        <v>7.0252014516045049</v>
      </c>
      <c r="CM109" s="21">
        <f>EXP(-LN(2)/2)*CM108+(1-EXP(-LN(2)/2))/(LN(2)/2)*CG109*CJ109*VLOOKUP('Données projet'!$B$12,Paramètres!$A$1:$I$89,3,0)*0.475*44/12</f>
        <v>3.0940404639800005E-12</v>
      </c>
      <c r="CN109" s="22">
        <f t="shared" si="66"/>
        <v>56.68600808115626</v>
      </c>
      <c r="CO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245.99999999999994</v>
      </c>
      <c r="CU109" s="17">
        <f>CT109*VLOOKUP('Données projet'!$B$13,Paramètres!$A$1:$I$89,3,0)*VLOOKUP('Données projet'!$B$13,Paramètres!$A$1:$I$89,5,0)</f>
        <v>234.09359999999998</v>
      </c>
      <c r="CV109" s="13">
        <f t="shared" si="95"/>
        <v>57.166902703920208</v>
      </c>
      <c r="CW109" s="20">
        <f t="shared" si="67"/>
        <v>507.27870887599425</v>
      </c>
      <c r="CX109" s="57">
        <f t="shared" si="68"/>
        <v>800.61204220932757</v>
      </c>
      <c r="CY109" s="57">
        <f ca="1">AVERAGE(OFFSET($CX$3,0,0,'Données projet'!$E$13+1,1))-AVERAGE(OFFSET($H$3,0,0,'Données projet'!$E$13+1,1))</f>
        <v>314.67680626853303</v>
      </c>
      <c r="CZ109" s="57">
        <f t="shared" si="96"/>
        <v>372.57247561536263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93.192741964621987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93.192741964621987</v>
      </c>
      <c r="DJ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319</v>
      </c>
      <c r="DP109" s="17">
        <f>DO109*VLOOKUP('Données projet'!$B$14,Paramètres!$A$1:$I$89,3,0)*VLOOKUP('Données projet'!$B$14,Paramètres!$A$1:$I$89,5,0)</f>
        <v>209.00879999999998</v>
      </c>
      <c r="DQ109" s="13">
        <f t="shared" si="97"/>
        <v>51.718923953824202</v>
      </c>
      <c r="DR109" s="20">
        <f t="shared" si="70"/>
        <v>454.10078588624373</v>
      </c>
      <c r="DS109" s="57">
        <f t="shared" si="71"/>
        <v>747.43411921957704</v>
      </c>
      <c r="DT109" s="57">
        <f ca="1">AVERAGE(OFFSET($DS$3,0,0,'Données projet'!$E$14+1,1))-AVERAGE(OFFSET($H$3,0,0,'Données projet'!$E$14+1,1))</f>
        <v>188.80259324758066</v>
      </c>
      <c r="DU109" s="57">
        <f t="shared" si="98"/>
        <v>195.48048518255354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21.227638488183629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21.227638488183629</v>
      </c>
      <c r="EE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319</v>
      </c>
      <c r="EK109" s="17">
        <f>EJ109*VLOOKUP('Données projet'!$B$15,Paramètres!$A$1:$I$89,3,0)*VLOOKUP('Données projet'!$B$15,Paramètres!$A$1:$I$89,5,0)</f>
        <v>258.77280000000002</v>
      </c>
      <c r="EL109" s="13">
        <f t="shared" si="99"/>
        <v>62.460716522234691</v>
      </c>
      <c r="EM109" s="20">
        <f t="shared" si="73"/>
        <v>559.48170794289206</v>
      </c>
      <c r="EN109" s="57">
        <f t="shared" si="74"/>
        <v>852.81504127622543</v>
      </c>
      <c r="EO109" s="57">
        <f ca="1">AVERAGE(OFFSET($EN$3,0,0,'Données projet'!$E$15+1,1))-AVERAGE(OFFSET($H$3,0,0,'Données projet'!$E$15+1,1))</f>
        <v>250.90550982248311</v>
      </c>
      <c r="EP109" s="57">
        <f t="shared" si="100"/>
        <v>254.68874167908001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26.281838128227339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26.281838128227339</v>
      </c>
      <c r="EZ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7" t="e">
        <f t="shared" si="77"/>
        <v>#N/A</v>
      </c>
      <c r="FJ109" s="57" t="e">
        <f ca="1">AVERAGE(OFFSET($FI$3,0,0,'Données projet'!$E$16+1,1))-AVERAGE(OFFSET($H$3,0,0,'Données projet'!$E$16+1,1))</f>
        <v>#N/A</v>
      </c>
      <c r="FK109" s="57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7" t="e">
        <f t="shared" si="80"/>
        <v>#N/A</v>
      </c>
      <c r="GE109" s="57" t="e">
        <f ca="1">AVERAGE(OFFSET($GD$3,0,0,'Données projet'!$E$17+1,1))-AVERAGE(OFFSET($H$3,0,0,'Données projet'!$E$17+1,1))</f>
        <v>#N/A</v>
      </c>
      <c r="GF109" s="57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7" t="e">
        <f t="shared" si="83"/>
        <v>#N/A</v>
      </c>
      <c r="GZ109" s="57" t="e">
        <f ca="1">AVERAGE(OFFSET($GY$3,0,0,'Données projet'!$E$18+1,1))-AVERAGE(OFFSET($H$3,0,0,'Données projet'!$E$18+1,1))</f>
        <v>#N/A</v>
      </c>
      <c r="HA109" s="57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0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4">
        <f t="shared" si="56"/>
        <v>500.37692359044013</v>
      </c>
      <c r="I110" s="6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267.04079999999993</v>
      </c>
      <c r="P110" s="13">
        <f t="shared" si="87"/>
        <v>64.220850124833518</v>
      </c>
      <c r="Q110" s="20">
        <f t="shared" si="107"/>
        <v>576.94737396741823</v>
      </c>
      <c r="R110" s="57">
        <f t="shared" si="55"/>
        <v>870.2807073007516</v>
      </c>
      <c r="S110" s="57">
        <f ca="1">AVERAGE(OFFSET($R$3,0,0,'Données projet'!$E$9+1,1))-AVERAGE(OFFSET($H$3,0,0,'Données projet'!$E$9+1,1))</f>
        <v>267.44861001389006</v>
      </c>
      <c r="T110" s="57">
        <f t="shared" si="88"/>
        <v>165.25921510802965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87.308985847751615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87.308985847751615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</v>
      </c>
      <c r="AI110" s="13">
        <f>IF('Données projet'!$A$62&gt;35,AI109+AH110-AQ109,IF(A110&lt;'Données projet'!$A$62,$AF$205^A110,IF(A110='Données projet'!$A$62,'Données projet'!$B$62,AI109+AH110-AQ109)))</f>
        <v>316.99999999999989</v>
      </c>
      <c r="AJ110" s="13">
        <f>AI110*VLOOKUP('Données projet'!$B$10,Paramètres!$A$1:$I$89,3,0)*VLOOKUP('Données projet'!$B$10,Paramètres!$A$1:$I$89,5,0)</f>
        <v>286.82159999999988</v>
      </c>
      <c r="AK110" s="13">
        <f t="shared" si="89"/>
        <v>68.406583284351413</v>
      </c>
      <c r="AL110" s="20">
        <f t="shared" si="58"/>
        <v>618.68908588691181</v>
      </c>
      <c r="AM110" s="57">
        <f t="shared" si="59"/>
        <v>912.02241922024518</v>
      </c>
      <c r="AN110" s="57">
        <f ca="1">AVERAGE(OFFSET($AM$3,0,0,'Données projet'!$E$10+1,1))-AVERAGE(OFFSET($H$3,0,0,'Données projet'!$E$10+1,1))</f>
        <v>294.92430430387071</v>
      </c>
      <c r="AO110" s="57">
        <f t="shared" si="90"/>
        <v>181.52228471516497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93.776318132770257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93.776318132770257</v>
      </c>
      <c r="AY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319</v>
      </c>
      <c r="BE110" s="13">
        <f>BD110*VLOOKUP('Données projet'!$B$11,Paramètres!$A$1:$I$89,3,0)*VLOOKUP('Données projet'!$B$11,Paramètres!$A$1:$I$89,5,0)</f>
        <v>258.77280000000002</v>
      </c>
      <c r="BF110" s="13">
        <f t="shared" si="91"/>
        <v>62.460716522234691</v>
      </c>
      <c r="BG110" s="20">
        <f t="shared" si="61"/>
        <v>559.48170794289206</v>
      </c>
      <c r="BH110" s="57">
        <f t="shared" si="62"/>
        <v>852.81504127622543</v>
      </c>
      <c r="BI110" s="57">
        <f ca="1">AVERAGE(OFFSET($BH$3,0,0,'Données projet'!$E$11+1,1))-AVERAGE(OFFSET($H$3,0,0,'Données projet'!$E$11+1,1))</f>
        <v>250.90550982248311</v>
      </c>
      <c r="BJ110" s="57">
        <f t="shared" si="92"/>
        <v>254.68874167908001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25.766467312871193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25.766467312871193</v>
      </c>
      <c r="BT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739.99999999999966</v>
      </c>
      <c r="BZ110" s="13">
        <f>BY110*VLOOKUP('Données projet'!$B$12,Paramètres!$A$1:$I$89,3,0)*VLOOKUP('Données projet'!$B$12,Paramètres!$A$1:$I$89,5,0)</f>
        <v>413.65999999999985</v>
      </c>
      <c r="CA110" s="13">
        <f t="shared" si="93"/>
        <v>94.540585122244352</v>
      </c>
      <c r="CB110" s="20">
        <f t="shared" si="64"/>
        <v>885.11601908790863</v>
      </c>
      <c r="CC110" s="57">
        <f t="shared" si="65"/>
        <v>1178.4493524212419</v>
      </c>
      <c r="CD110" s="57">
        <f ca="1">AVERAGE(OFFSET($CC$3,0,0,'Données projet'!$E$12+1,1))-AVERAGE(OFFSET($H$3,0,0,'Données projet'!$E$12+1,1))</f>
        <v>462.54745364638171</v>
      </c>
      <c r="CE110" s="57">
        <f t="shared" si="94"/>
        <v>571.50914830067313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48.686988501644365</v>
      </c>
      <c r="CL110" s="21">
        <f>EXP(-LN(2)/25)*CL109+(1-EXP(-LN(2)/25))/(LN(2)/25)*Calculateur!CG110*Calculateur!CI110*VLOOKUP('Données projet'!$B$12,Paramètres!$A$1:$I$89,3,0)*0.475*44/12</f>
        <v>6.8330969484710913</v>
      </c>
      <c r="CM110" s="21">
        <f>EXP(-LN(2)/2)*CM109+(1-EXP(-LN(2)/2))/(LN(2)/2)*CG110*CJ110*VLOOKUP('Données projet'!$B$12,Paramètres!$A$1:$I$89,3,0)*0.475*44/12</f>
        <v>2.1878169933458301E-12</v>
      </c>
      <c r="CN110" s="22">
        <f t="shared" si="66"/>
        <v>55.520085450117648</v>
      </c>
      <c r="CO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245.99999999999994</v>
      </c>
      <c r="CU110" s="17">
        <f>CT110*VLOOKUP('Données projet'!$B$13,Paramètres!$A$1:$I$89,3,0)*VLOOKUP('Données projet'!$B$13,Paramètres!$A$1:$I$89,5,0)</f>
        <v>234.09359999999998</v>
      </c>
      <c r="CV110" s="13">
        <f t="shared" si="95"/>
        <v>57.166902703920208</v>
      </c>
      <c r="CW110" s="20">
        <f t="shared" si="67"/>
        <v>507.27870887599425</v>
      </c>
      <c r="CX110" s="57">
        <f t="shared" si="68"/>
        <v>800.61204220932757</v>
      </c>
      <c r="CY110" s="57">
        <f ca="1">AVERAGE(OFFSET($CX$3,0,0,'Données projet'!$E$13+1,1))-AVERAGE(OFFSET($H$3,0,0,'Données projet'!$E$13+1,1))</f>
        <v>314.67680626853303</v>
      </c>
      <c r="CZ110" s="57">
        <f t="shared" si="96"/>
        <v>372.57247561536263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91.365289136655676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91.365289136655676</v>
      </c>
      <c r="DJ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319</v>
      </c>
      <c r="DP110" s="17">
        <f>DO110*VLOOKUP('Données projet'!$B$14,Paramètres!$A$1:$I$89,3,0)*VLOOKUP('Données projet'!$B$14,Paramètres!$A$1:$I$89,5,0)</f>
        <v>209.00879999999998</v>
      </c>
      <c r="DQ110" s="13">
        <f t="shared" si="97"/>
        <v>51.718923953824202</v>
      </c>
      <c r="DR110" s="20">
        <f t="shared" si="70"/>
        <v>454.10078588624373</v>
      </c>
      <c r="DS110" s="57">
        <f t="shared" si="71"/>
        <v>747.43411921957704</v>
      </c>
      <c r="DT110" s="57">
        <f ca="1">AVERAGE(OFFSET($DS$3,0,0,'Données projet'!$E$14+1,1))-AVERAGE(OFFSET($H$3,0,0,'Données projet'!$E$14+1,1))</f>
        <v>188.80259324758066</v>
      </c>
      <c r="DU110" s="57">
        <f t="shared" si="98"/>
        <v>195.48048518255354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20.81137744501136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20.81137744501136</v>
      </c>
      <c r="EE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319</v>
      </c>
      <c r="EK110" s="17">
        <f>EJ110*VLOOKUP('Données projet'!$B$15,Paramètres!$A$1:$I$89,3,0)*VLOOKUP('Données projet'!$B$15,Paramètres!$A$1:$I$89,5,0)</f>
        <v>258.77280000000002</v>
      </c>
      <c r="EL110" s="13">
        <f t="shared" si="99"/>
        <v>62.460716522234691</v>
      </c>
      <c r="EM110" s="20">
        <f t="shared" si="73"/>
        <v>559.48170794289206</v>
      </c>
      <c r="EN110" s="57">
        <f t="shared" si="74"/>
        <v>852.81504127622543</v>
      </c>
      <c r="EO110" s="57">
        <f ca="1">AVERAGE(OFFSET($EN$3,0,0,'Données projet'!$E$15+1,1))-AVERAGE(OFFSET($H$3,0,0,'Données projet'!$E$15+1,1))</f>
        <v>250.90550982248311</v>
      </c>
      <c r="EP110" s="57">
        <f t="shared" si="100"/>
        <v>254.68874167908001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25.766467312871193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25.766467312871193</v>
      </c>
      <c r="EZ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7" t="e">
        <f t="shared" si="77"/>
        <v>#N/A</v>
      </c>
      <c r="FJ110" s="57" t="e">
        <f ca="1">AVERAGE(OFFSET($FI$3,0,0,'Données projet'!$E$16+1,1))-AVERAGE(OFFSET($H$3,0,0,'Données projet'!$E$16+1,1))</f>
        <v>#N/A</v>
      </c>
      <c r="FK110" s="57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7" t="e">
        <f t="shared" si="80"/>
        <v>#N/A</v>
      </c>
      <c r="GE110" s="57" t="e">
        <f ca="1">AVERAGE(OFFSET($GD$3,0,0,'Données projet'!$E$17+1,1))-AVERAGE(OFFSET($H$3,0,0,'Données projet'!$E$17+1,1))</f>
        <v>#N/A</v>
      </c>
      <c r="GF110" s="57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7" t="e">
        <f t="shared" si="83"/>
        <v>#N/A</v>
      </c>
      <c r="GZ110" s="57" t="e">
        <f ca="1">AVERAGE(OFFSET($GY$3,0,0,'Données projet'!$E$18+1,1))-AVERAGE(OFFSET($H$3,0,0,'Données projet'!$E$18+1,1))</f>
        <v>#N/A</v>
      </c>
      <c r="HA110" s="57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0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4">
        <f t="shared" si="56"/>
        <v>502.26358484732305</v>
      </c>
      <c r="I111" s="6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271.25279999999992</v>
      </c>
      <c r="P111" s="13">
        <f t="shared" si="87"/>
        <v>65.115073390838859</v>
      </c>
      <c r="Q111" s="20">
        <f t="shared" si="107"/>
        <v>585.84071282237755</v>
      </c>
      <c r="R111" s="57">
        <f t="shared" si="55"/>
        <v>879.17404615571081</v>
      </c>
      <c r="S111" s="57">
        <f ca="1">AVERAGE(OFFSET($R$3,0,0,'Données projet'!$E$9+1,1))-AVERAGE(OFFSET($H$3,0,0,'Données projet'!$E$9+1,1))</f>
        <v>267.44861001389006</v>
      </c>
      <c r="T111" s="57">
        <f t="shared" si="88"/>
        <v>165.25921510802965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85.59690988850025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85.59690988850025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</v>
      </c>
      <c r="AI111" s="13">
        <f>IF('Données projet'!$A$62&gt;35,AI110+AH111-AQ110,IF(A111&lt;'Données projet'!$A$62,$AF$205^A111,IF(A111='Données projet'!$A$62,'Données projet'!$B$62,AI110+AH111-AQ110)))</f>
        <v>321.99999999999989</v>
      </c>
      <c r="AJ111" s="13">
        <f>AI111*VLOOKUP('Données projet'!$B$10,Paramètres!$A$1:$I$89,3,0)*VLOOKUP('Données projet'!$B$10,Paramètres!$A$1:$I$89,5,0)</f>
        <v>291.34559999999993</v>
      </c>
      <c r="AK111" s="13">
        <f t="shared" si="89"/>
        <v>69.359089490698707</v>
      </c>
      <c r="AL111" s="20">
        <f t="shared" si="58"/>
        <v>628.22733419630015</v>
      </c>
      <c r="AM111" s="57">
        <f t="shared" si="59"/>
        <v>921.56066752963352</v>
      </c>
      <c r="AN111" s="57">
        <f ca="1">AVERAGE(OFFSET($AM$3,0,0,'Données projet'!$E$10+1,1))-AVERAGE(OFFSET($H$3,0,0,'Données projet'!$E$10+1,1))</f>
        <v>294.92430430387071</v>
      </c>
      <c r="AO111" s="57">
        <f t="shared" si="90"/>
        <v>181.52228471516497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91.937421732092872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91.937421732092872</v>
      </c>
      <c r="AY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319</v>
      </c>
      <c r="BE111" s="13">
        <f>BD111*VLOOKUP('Données projet'!$B$11,Paramètres!$A$1:$I$89,3,0)*VLOOKUP('Données projet'!$B$11,Paramètres!$A$1:$I$89,5,0)</f>
        <v>258.77280000000002</v>
      </c>
      <c r="BF111" s="13">
        <f t="shared" si="91"/>
        <v>62.460716522234691</v>
      </c>
      <c r="BG111" s="20">
        <f t="shared" si="61"/>
        <v>559.48170794289206</v>
      </c>
      <c r="BH111" s="57">
        <f t="shared" si="62"/>
        <v>852.81504127622543</v>
      </c>
      <c r="BI111" s="57">
        <f ca="1">AVERAGE(OFFSET($BH$3,0,0,'Données projet'!$E$11+1,1))-AVERAGE(OFFSET($H$3,0,0,'Données projet'!$E$11+1,1))</f>
        <v>250.90550982248311</v>
      </c>
      <c r="BJ111" s="57">
        <f t="shared" si="92"/>
        <v>254.68874167908001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25.261202604859022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25.261202604859022</v>
      </c>
      <c r="BT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739.99999999999966</v>
      </c>
      <c r="BZ111" s="13">
        <f>BY111*VLOOKUP('Données projet'!$B$12,Paramètres!$A$1:$I$89,3,0)*VLOOKUP('Données projet'!$B$12,Paramètres!$A$1:$I$89,5,0)</f>
        <v>413.65999999999985</v>
      </c>
      <c r="CA111" s="13">
        <f t="shared" si="93"/>
        <v>94.540585122244352</v>
      </c>
      <c r="CB111" s="20">
        <f t="shared" si="64"/>
        <v>885.11601908790863</v>
      </c>
      <c r="CC111" s="57">
        <f t="shared" si="65"/>
        <v>1178.4493524212419</v>
      </c>
      <c r="CD111" s="57">
        <f ca="1">AVERAGE(OFFSET($CC$3,0,0,'Données projet'!$E$12+1,1))-AVERAGE(OFFSET($H$3,0,0,'Données projet'!$E$12+1,1))</f>
        <v>462.54745364638171</v>
      </c>
      <c r="CE111" s="57">
        <f t="shared" si="94"/>
        <v>571.50914830067313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47.732266353257856</v>
      </c>
      <c r="CL111" s="21">
        <f>EXP(-LN(2)/25)*CL110+(1-EXP(-LN(2)/25))/(LN(2)/25)*Calculateur!CG111*Calculateur!CI111*VLOOKUP('Données projet'!$B$12,Paramètres!$A$1:$I$89,3,0)*0.475*44/12</f>
        <v>6.6462455530781979</v>
      </c>
      <c r="CM111" s="21">
        <f>EXP(-LN(2)/2)*CM110+(1-EXP(-LN(2)/2))/(LN(2)/2)*CG111*CJ111*VLOOKUP('Données projet'!$B$12,Paramètres!$A$1:$I$89,3,0)*0.475*44/12</f>
        <v>1.5470202319900002E-12</v>
      </c>
      <c r="CN111" s="22">
        <f t="shared" si="66"/>
        <v>54.3785119063376</v>
      </c>
      <c r="CO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245.99999999999994</v>
      </c>
      <c r="CU111" s="17">
        <f>CT111*VLOOKUP('Données projet'!$B$13,Paramètres!$A$1:$I$89,3,0)*VLOOKUP('Données projet'!$B$13,Paramètres!$A$1:$I$89,5,0)</f>
        <v>234.09359999999998</v>
      </c>
      <c r="CV111" s="13">
        <f t="shared" si="95"/>
        <v>57.166902703920208</v>
      </c>
      <c r="CW111" s="20">
        <f t="shared" si="67"/>
        <v>507.27870887599425</v>
      </c>
      <c r="CX111" s="57">
        <f t="shared" si="68"/>
        <v>800.61204220932757</v>
      </c>
      <c r="CY111" s="57">
        <f ca="1">AVERAGE(OFFSET($CX$3,0,0,'Données projet'!$E$13+1,1))-AVERAGE(OFFSET($H$3,0,0,'Données projet'!$E$13+1,1))</f>
        <v>314.67680626853303</v>
      </c>
      <c r="CZ111" s="57">
        <f t="shared" si="96"/>
        <v>372.57247561536263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89.573671544009613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89.573671544009613</v>
      </c>
      <c r="DJ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319</v>
      </c>
      <c r="DP111" s="17">
        <f>DO111*VLOOKUP('Données projet'!$B$14,Paramètres!$A$1:$I$89,3,0)*VLOOKUP('Données projet'!$B$14,Paramètres!$A$1:$I$89,5,0)</f>
        <v>209.00879999999998</v>
      </c>
      <c r="DQ111" s="13">
        <f t="shared" si="97"/>
        <v>51.718923953824202</v>
      </c>
      <c r="DR111" s="20">
        <f t="shared" si="70"/>
        <v>454.10078588624373</v>
      </c>
      <c r="DS111" s="57">
        <f t="shared" si="71"/>
        <v>747.43411921957704</v>
      </c>
      <c r="DT111" s="57">
        <f ca="1">AVERAGE(OFFSET($DS$3,0,0,'Données projet'!$E$14+1,1))-AVERAGE(OFFSET($H$3,0,0,'Données projet'!$E$14+1,1))</f>
        <v>188.80259324758066</v>
      </c>
      <c r="DU111" s="57">
        <f t="shared" si="98"/>
        <v>195.48048518255354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20.403279027001531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20.403279027001531</v>
      </c>
      <c r="EE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319</v>
      </c>
      <c r="EK111" s="17">
        <f>EJ111*VLOOKUP('Données projet'!$B$15,Paramètres!$A$1:$I$89,3,0)*VLOOKUP('Données projet'!$B$15,Paramètres!$A$1:$I$89,5,0)</f>
        <v>258.77280000000002</v>
      </c>
      <c r="EL111" s="13">
        <f t="shared" si="99"/>
        <v>62.460716522234691</v>
      </c>
      <c r="EM111" s="20">
        <f t="shared" si="73"/>
        <v>559.48170794289206</v>
      </c>
      <c r="EN111" s="57">
        <f t="shared" si="74"/>
        <v>852.81504127622543</v>
      </c>
      <c r="EO111" s="57">
        <f ca="1">AVERAGE(OFFSET($EN$3,0,0,'Données projet'!$E$15+1,1))-AVERAGE(OFFSET($H$3,0,0,'Données projet'!$E$15+1,1))</f>
        <v>250.90550982248311</v>
      </c>
      <c r="EP111" s="57">
        <f t="shared" si="100"/>
        <v>254.68874167908001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25.261202604859022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25.261202604859022</v>
      </c>
      <c r="EZ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7" t="e">
        <f t="shared" si="77"/>
        <v>#N/A</v>
      </c>
      <c r="FJ111" s="57" t="e">
        <f ca="1">AVERAGE(OFFSET($FI$3,0,0,'Données projet'!$E$16+1,1))-AVERAGE(OFFSET($H$3,0,0,'Données projet'!$E$16+1,1))</f>
        <v>#N/A</v>
      </c>
      <c r="FK111" s="57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7" t="e">
        <f t="shared" si="80"/>
        <v>#N/A</v>
      </c>
      <c r="GE111" s="57" t="e">
        <f ca="1">AVERAGE(OFFSET($GD$3,0,0,'Données projet'!$E$17+1,1))-AVERAGE(OFFSET($H$3,0,0,'Données projet'!$E$17+1,1))</f>
        <v>#N/A</v>
      </c>
      <c r="GF111" s="57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7" t="e">
        <f t="shared" si="83"/>
        <v>#N/A</v>
      </c>
      <c r="GZ111" s="57" t="e">
        <f ca="1">AVERAGE(OFFSET($GY$3,0,0,'Données projet'!$E$18+1,1))-AVERAGE(OFFSET($H$3,0,0,'Données projet'!$E$18+1,1))</f>
        <v>#N/A</v>
      </c>
      <c r="HA111" s="57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0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4">
        <f t="shared" si="56"/>
        <v>504.1498527691279</v>
      </c>
      <c r="I112" s="6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275.46479999999997</v>
      </c>
      <c r="P112" s="13">
        <f t="shared" si="87"/>
        <v>66.007681781116673</v>
      </c>
      <c r="Q112" s="20">
        <f t="shared" si="107"/>
        <v>594.73123910211143</v>
      </c>
      <c r="R112" s="57">
        <f t="shared" si="55"/>
        <v>888.06457243544469</v>
      </c>
      <c r="S112" s="57">
        <f ca="1">AVERAGE(OFFSET($R$3,0,0,'Données projet'!$E$9+1,1))-AVERAGE(OFFSET($H$3,0,0,'Données projet'!$E$9+1,1))</f>
        <v>267.44861001389006</v>
      </c>
      <c r="T112" s="57">
        <f t="shared" si="88"/>
        <v>165.25921510802965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83.91840669454659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83.91840669454659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</v>
      </c>
      <c r="AI112" s="13">
        <f>IF('Données projet'!$A$62&gt;35,AI111+AH112-AQ111,IF(A112&lt;'Données projet'!$A$62,$AF$205^A112,IF(A112='Données projet'!$A$62,'Données projet'!$B$62,AI111+AH112-AQ111)))</f>
        <v>326.99999999999989</v>
      </c>
      <c r="AJ112" s="13">
        <f>AI112*VLOOKUP('Données projet'!$B$10,Paramètres!$A$1:$I$89,3,0)*VLOOKUP('Données projet'!$B$10,Paramètres!$A$1:$I$89,5,0)</f>
        <v>295.86959999999988</v>
      </c>
      <c r="AK112" s="13">
        <f t="shared" si="89"/>
        <v>70.309875568291218</v>
      </c>
      <c r="AL112" s="20">
        <f t="shared" si="58"/>
        <v>637.76258661477357</v>
      </c>
      <c r="AM112" s="57">
        <f t="shared" si="59"/>
        <v>931.09591994810694</v>
      </c>
      <c r="AN112" s="57">
        <f ca="1">AVERAGE(OFFSET($AM$3,0,0,'Données projet'!$E$10+1,1))-AVERAGE(OFFSET($H$3,0,0,'Données projet'!$E$10+1,1))</f>
        <v>294.92430430387071</v>
      </c>
      <c r="AO112" s="57">
        <f t="shared" si="90"/>
        <v>181.52228471516497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90.134584968216714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90.134584968216714</v>
      </c>
      <c r="AY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319</v>
      </c>
      <c r="BE112" s="13">
        <f>BD112*VLOOKUP('Données projet'!$B$11,Paramètres!$A$1:$I$89,3,0)*VLOOKUP('Données projet'!$B$11,Paramètres!$A$1:$I$89,5,0)</f>
        <v>258.77280000000002</v>
      </c>
      <c r="BF112" s="13">
        <f t="shared" si="91"/>
        <v>62.460716522234691</v>
      </c>
      <c r="BG112" s="20">
        <f t="shared" si="61"/>
        <v>559.48170794289206</v>
      </c>
      <c r="BH112" s="57">
        <f t="shared" si="62"/>
        <v>852.81504127622543</v>
      </c>
      <c r="BI112" s="57">
        <f ca="1">AVERAGE(OFFSET($BH$3,0,0,'Données projet'!$E$11+1,1))-AVERAGE(OFFSET($H$3,0,0,'Données projet'!$E$11+1,1))</f>
        <v>250.90550982248311</v>
      </c>
      <c r="BJ112" s="57">
        <f t="shared" si="92"/>
        <v>254.68874167908001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24.765845829589932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24.765845829589932</v>
      </c>
      <c r="BT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739.99999999999966</v>
      </c>
      <c r="BZ112" s="13">
        <f>BY112*VLOOKUP('Données projet'!$B$12,Paramètres!$A$1:$I$89,3,0)*VLOOKUP('Données projet'!$B$12,Paramètres!$A$1:$I$89,5,0)</f>
        <v>413.65999999999985</v>
      </c>
      <c r="CA112" s="13">
        <f t="shared" si="93"/>
        <v>94.540585122244352</v>
      </c>
      <c r="CB112" s="20">
        <f t="shared" si="64"/>
        <v>885.11601908790863</v>
      </c>
      <c r="CC112" s="57">
        <f t="shared" si="65"/>
        <v>1178.4493524212419</v>
      </c>
      <c r="CD112" s="57">
        <f ca="1">AVERAGE(OFFSET($CC$3,0,0,'Données projet'!$E$12+1,1))-AVERAGE(OFFSET($H$3,0,0,'Données projet'!$E$12+1,1))</f>
        <v>462.54745364638171</v>
      </c>
      <c r="CE112" s="57">
        <f t="shared" si="94"/>
        <v>571.50914830067313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46.796265723878193</v>
      </c>
      <c r="CL112" s="21">
        <f>EXP(-LN(2)/25)*CL111+(1-EXP(-LN(2)/25))/(LN(2)/25)*Calculateur!CG112*Calculateur!CI112*VLOOKUP('Données projet'!$B$12,Paramètres!$A$1:$I$89,3,0)*0.475*44/12</f>
        <v>6.4645036189184113</v>
      </c>
      <c r="CM112" s="21">
        <f>EXP(-LN(2)/2)*CM111+(1-EXP(-LN(2)/2))/(LN(2)/2)*CG112*CJ112*VLOOKUP('Données projet'!$B$12,Paramètres!$A$1:$I$89,3,0)*0.475*44/12</f>
        <v>1.0939084966729151E-12</v>
      </c>
      <c r="CN112" s="22">
        <f t="shared" si="66"/>
        <v>53.260769342797701</v>
      </c>
      <c r="CO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245.99999999999994</v>
      </c>
      <c r="CU112" s="17">
        <f>CT112*VLOOKUP('Données projet'!$B$13,Paramètres!$A$1:$I$89,3,0)*VLOOKUP('Données projet'!$B$13,Paramètres!$A$1:$I$89,5,0)</f>
        <v>234.09359999999998</v>
      </c>
      <c r="CV112" s="13">
        <f t="shared" si="95"/>
        <v>57.166902703920208</v>
      </c>
      <c r="CW112" s="20">
        <f t="shared" si="67"/>
        <v>507.27870887599425</v>
      </c>
      <c r="CX112" s="57">
        <f t="shared" si="68"/>
        <v>800.61204220932757</v>
      </c>
      <c r="CY112" s="57">
        <f ca="1">AVERAGE(OFFSET($CX$3,0,0,'Données projet'!$E$13+1,1))-AVERAGE(OFFSET($H$3,0,0,'Données projet'!$E$13+1,1))</f>
        <v>314.67680626853303</v>
      </c>
      <c r="CZ112" s="57">
        <f t="shared" si="96"/>
        <v>372.57247561536263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87.81718647957652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87.81718647957652</v>
      </c>
      <c r="DJ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319</v>
      </c>
      <c r="DP112" s="17">
        <f>DO112*VLOOKUP('Données projet'!$B$14,Paramètres!$A$1:$I$89,3,0)*VLOOKUP('Données projet'!$B$14,Paramètres!$A$1:$I$89,5,0)</f>
        <v>209.00879999999998</v>
      </c>
      <c r="DQ112" s="13">
        <f t="shared" si="97"/>
        <v>51.718923953824202</v>
      </c>
      <c r="DR112" s="20">
        <f t="shared" si="70"/>
        <v>454.10078588624373</v>
      </c>
      <c r="DS112" s="57">
        <f t="shared" si="71"/>
        <v>747.43411921957704</v>
      </c>
      <c r="DT112" s="57">
        <f ca="1">AVERAGE(OFFSET($DS$3,0,0,'Données projet'!$E$14+1,1))-AVERAGE(OFFSET($H$3,0,0,'Données projet'!$E$14+1,1))</f>
        <v>188.80259324758066</v>
      </c>
      <c r="DU112" s="57">
        <f t="shared" si="98"/>
        <v>195.48048518255354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20.003183170053418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20.003183170053418</v>
      </c>
      <c r="EE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319</v>
      </c>
      <c r="EK112" s="17">
        <f>EJ112*VLOOKUP('Données projet'!$B$15,Paramètres!$A$1:$I$89,3,0)*VLOOKUP('Données projet'!$B$15,Paramètres!$A$1:$I$89,5,0)</f>
        <v>258.77280000000002</v>
      </c>
      <c r="EL112" s="13">
        <f t="shared" si="99"/>
        <v>62.460716522234691</v>
      </c>
      <c r="EM112" s="20">
        <f t="shared" si="73"/>
        <v>559.48170794289206</v>
      </c>
      <c r="EN112" s="57">
        <f t="shared" si="74"/>
        <v>852.81504127622543</v>
      </c>
      <c r="EO112" s="57">
        <f ca="1">AVERAGE(OFFSET($EN$3,0,0,'Données projet'!$E$15+1,1))-AVERAGE(OFFSET($H$3,0,0,'Données projet'!$E$15+1,1))</f>
        <v>250.90550982248311</v>
      </c>
      <c r="EP112" s="57">
        <f t="shared" si="100"/>
        <v>254.68874167908001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24.765845829589932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24.765845829589932</v>
      </c>
      <c r="EZ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7" t="e">
        <f t="shared" si="77"/>
        <v>#N/A</v>
      </c>
      <c r="FJ112" s="57" t="e">
        <f ca="1">AVERAGE(OFFSET($FI$3,0,0,'Données projet'!$E$16+1,1))-AVERAGE(OFFSET($H$3,0,0,'Données projet'!$E$16+1,1))</f>
        <v>#N/A</v>
      </c>
      <c r="FK112" s="57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7" t="e">
        <f t="shared" si="80"/>
        <v>#N/A</v>
      </c>
      <c r="GE112" s="57" t="e">
        <f ca="1">AVERAGE(OFFSET($GD$3,0,0,'Données projet'!$E$17+1,1))-AVERAGE(OFFSET($H$3,0,0,'Données projet'!$E$17+1,1))</f>
        <v>#N/A</v>
      </c>
      <c r="GF112" s="57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7" t="e">
        <f t="shared" si="83"/>
        <v>#N/A</v>
      </c>
      <c r="GZ112" s="57" t="e">
        <f ca="1">AVERAGE(OFFSET($GY$3,0,0,'Données projet'!$E$18+1,1))-AVERAGE(OFFSET($H$3,0,0,'Données projet'!$E$18+1,1))</f>
        <v>#N/A</v>
      </c>
      <c r="HA112" s="57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0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4">
        <f t="shared" si="56"/>
        <v>506.03573138243519</v>
      </c>
      <c r="I113" s="6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279.6767999999999</v>
      </c>
      <c r="P113" s="13">
        <f t="shared" si="87"/>
        <v>66.898702839783041</v>
      </c>
      <c r="Q113" s="20">
        <f t="shared" si="107"/>
        <v>603.61900077928851</v>
      </c>
      <c r="R113" s="57">
        <f t="shared" si="55"/>
        <v>896.95233411262188</v>
      </c>
      <c r="S113" s="57">
        <f ca="1">AVERAGE(OFFSET($R$3,0,0,'Données projet'!$E$9+1,1))-AVERAGE(OFFSET($H$3,0,0,'Données projet'!$E$9+1,1))</f>
        <v>267.44861001389006</v>
      </c>
      <c r="T113" s="57">
        <f t="shared" si="88"/>
        <v>165.25921510802965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92.283736587414992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92.283736587414992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332</v>
      </c>
      <c r="AG113" s="12">
        <f>VLOOKUP(A113,'Données projet'!$A$61:$I$81,9,0)</f>
        <v>5</v>
      </c>
      <c r="AH113" s="12">
        <f t="array" ref="AH113">INDEX(AG:AG,MIN(IF(ISNUMBER(AG113:AG309),ROW(AG113:AG309),"")))</f>
        <v>5</v>
      </c>
      <c r="AI113" s="13">
        <f>IF('Données projet'!$A$62&gt;35,AI112+AH113-AQ112,IF(A113&lt;'Données projet'!$A$62,$AF$205^A113,IF(A113='Données projet'!$A$62,'Données projet'!$B$62,AI112+AH113-AQ112)))</f>
        <v>331.99999999999989</v>
      </c>
      <c r="AJ113" s="13">
        <f>AI113*VLOOKUP('Données projet'!$B$10,Paramètres!$A$1:$I$89,3,0)*VLOOKUP('Données projet'!$B$10,Paramètres!$A$1:$I$89,5,0)</f>
        <v>300.39359999999988</v>
      </c>
      <c r="AK113" s="13">
        <f t="shared" si="89"/>
        <v>71.258970856492667</v>
      </c>
      <c r="AL113" s="20">
        <f t="shared" si="58"/>
        <v>647.29489424172459</v>
      </c>
      <c r="AM113" s="57">
        <f t="shared" si="59"/>
        <v>940.62822757505796</v>
      </c>
      <c r="AN113" s="57">
        <f ca="1">AVERAGE(OFFSET($AM$3,0,0,'Données projet'!$E$10+1,1))-AVERAGE(OFFSET($H$3,0,0,'Données projet'!$E$10+1,1))</f>
        <v>294.92430430387071</v>
      </c>
      <c r="AO113" s="57">
        <f t="shared" si="90"/>
        <v>181.52228471516497</v>
      </c>
      <c r="AP113" s="15">
        <f>IF(ISNA(VLOOKUP(A113,'Données projet'!$A$61:$I$81,3,0)),0,VLOOKUP(A113,'Données projet'!$A$61:$I$81,3,0))</f>
        <v>19</v>
      </c>
      <c r="AQ113" s="15">
        <f>IF(ISNA(VLOOKUP(A113,'Données projet'!$A$61:$I$81,4,0)),0,VLOOKUP(A113,'Données projet'!$A$61:$I$81,4,0))</f>
        <v>25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99.119568927223511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99.119568927223511</v>
      </c>
      <c r="AY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319</v>
      </c>
      <c r="BE113" s="13">
        <f>BD113*VLOOKUP('Données projet'!$B$11,Paramètres!$A$1:$I$89,3,0)*VLOOKUP('Données projet'!$B$11,Paramètres!$A$1:$I$89,5,0)</f>
        <v>258.77280000000002</v>
      </c>
      <c r="BF113" s="13">
        <f t="shared" si="91"/>
        <v>62.460716522234691</v>
      </c>
      <c r="BG113" s="20">
        <f t="shared" si="61"/>
        <v>559.48170794289206</v>
      </c>
      <c r="BH113" s="57">
        <f t="shared" si="62"/>
        <v>852.81504127622543</v>
      </c>
      <c r="BI113" s="57">
        <f ca="1">AVERAGE(OFFSET($BH$3,0,0,'Données projet'!$E$11+1,1))-AVERAGE(OFFSET($H$3,0,0,'Données projet'!$E$11+1,1))</f>
        <v>250.90550982248311</v>
      </c>
      <c r="BJ113" s="57">
        <f t="shared" si="92"/>
        <v>254.68874167908001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24.280202698546066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24.280202698546066</v>
      </c>
      <c r="BT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739.99999999999966</v>
      </c>
      <c r="BZ113" s="13">
        <f>BY113*VLOOKUP('Données projet'!$B$12,Paramètres!$A$1:$I$89,3,0)*VLOOKUP('Données projet'!$B$12,Paramètres!$A$1:$I$89,5,0)</f>
        <v>413.65999999999985</v>
      </c>
      <c r="CA113" s="13">
        <f t="shared" si="93"/>
        <v>94.540585122244352</v>
      </c>
      <c r="CB113" s="20">
        <f t="shared" si="64"/>
        <v>885.11601908790863</v>
      </c>
      <c r="CC113" s="57">
        <f t="shared" si="65"/>
        <v>1178.4493524212419</v>
      </c>
      <c r="CD113" s="57">
        <f ca="1">AVERAGE(OFFSET($CC$3,0,0,'Données projet'!$E$12+1,1))-AVERAGE(OFFSET($H$3,0,0,'Données projet'!$E$12+1,1))</f>
        <v>462.54745364638171</v>
      </c>
      <c r="CE113" s="57">
        <f t="shared" si="94"/>
        <v>571.50914830067313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45.878619495936654</v>
      </c>
      <c r="CL113" s="21">
        <f>EXP(-LN(2)/25)*CL112+(1-EXP(-LN(2)/25))/(LN(2)/25)*Calculateur!CG113*Calculateur!CI113*VLOOKUP('Données projet'!$B$12,Paramètres!$A$1:$I$89,3,0)*0.475*44/12</f>
        <v>6.2877314275056166</v>
      </c>
      <c r="CM113" s="21">
        <f>EXP(-LN(2)/2)*CM112+(1-EXP(-LN(2)/2))/(LN(2)/2)*CG113*CJ113*VLOOKUP('Données projet'!$B$12,Paramètres!$A$1:$I$89,3,0)*0.475*44/12</f>
        <v>7.7351011599500012E-13</v>
      </c>
      <c r="CN113" s="22">
        <f t="shared" si="66"/>
        <v>52.166350923443048</v>
      </c>
      <c r="CO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245.99999999999994</v>
      </c>
      <c r="CU113" s="17">
        <f>CT113*VLOOKUP('Données projet'!$B$13,Paramètres!$A$1:$I$89,3,0)*VLOOKUP('Données projet'!$B$13,Paramètres!$A$1:$I$89,5,0)</f>
        <v>234.09359999999998</v>
      </c>
      <c r="CV113" s="13">
        <f t="shared" si="95"/>
        <v>57.166902703920208</v>
      </c>
      <c r="CW113" s="20">
        <f t="shared" si="67"/>
        <v>507.27870887599425</v>
      </c>
      <c r="CX113" s="57">
        <f t="shared" si="68"/>
        <v>800.61204220932757</v>
      </c>
      <c r="CY113" s="57">
        <f ca="1">AVERAGE(OFFSET($CX$3,0,0,'Données projet'!$E$13+1,1))-AVERAGE(OFFSET($H$3,0,0,'Données projet'!$E$13+1,1))</f>
        <v>314.67680626853303</v>
      </c>
      <c r="CZ113" s="57">
        <f t="shared" si="96"/>
        <v>372.57247561536263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86.095145015906851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86.095145015906851</v>
      </c>
      <c r="DJ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319</v>
      </c>
      <c r="DP113" s="17">
        <f>DO113*VLOOKUP('Données projet'!$B$14,Paramètres!$A$1:$I$89,3,0)*VLOOKUP('Données projet'!$B$14,Paramètres!$A$1:$I$89,5,0)</f>
        <v>209.00879999999998</v>
      </c>
      <c r="DQ113" s="13">
        <f t="shared" si="97"/>
        <v>51.718923953824202</v>
      </c>
      <c r="DR113" s="20">
        <f t="shared" si="70"/>
        <v>454.10078588624373</v>
      </c>
      <c r="DS113" s="57">
        <f t="shared" si="71"/>
        <v>747.43411921957704</v>
      </c>
      <c r="DT113" s="57">
        <f ca="1">AVERAGE(OFFSET($DS$3,0,0,'Données projet'!$E$14+1,1))-AVERAGE(OFFSET($H$3,0,0,'Données projet'!$E$14+1,1))</f>
        <v>188.80259324758066</v>
      </c>
      <c r="DU113" s="57">
        <f t="shared" si="98"/>
        <v>195.48048518255354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19.610932948825681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19.610932948825681</v>
      </c>
      <c r="EE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319</v>
      </c>
      <c r="EK113" s="17">
        <f>EJ113*VLOOKUP('Données projet'!$B$15,Paramètres!$A$1:$I$89,3,0)*VLOOKUP('Données projet'!$B$15,Paramètres!$A$1:$I$89,5,0)</f>
        <v>258.77280000000002</v>
      </c>
      <c r="EL113" s="13">
        <f t="shared" si="99"/>
        <v>62.460716522234691</v>
      </c>
      <c r="EM113" s="20">
        <f t="shared" si="73"/>
        <v>559.48170794289206</v>
      </c>
      <c r="EN113" s="57">
        <f t="shared" si="74"/>
        <v>852.81504127622543</v>
      </c>
      <c r="EO113" s="57">
        <f ca="1">AVERAGE(OFFSET($EN$3,0,0,'Données projet'!$E$15+1,1))-AVERAGE(OFFSET($H$3,0,0,'Données projet'!$E$15+1,1))</f>
        <v>250.90550982248311</v>
      </c>
      <c r="EP113" s="57">
        <f t="shared" si="100"/>
        <v>254.68874167908001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24.280202698546066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24.280202698546066</v>
      </c>
      <c r="EZ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7" t="e">
        <f t="shared" si="77"/>
        <v>#N/A</v>
      </c>
      <c r="FJ113" s="57" t="e">
        <f ca="1">AVERAGE(OFFSET($FI$3,0,0,'Données projet'!$E$16+1,1))-AVERAGE(OFFSET($H$3,0,0,'Données projet'!$E$16+1,1))</f>
        <v>#N/A</v>
      </c>
      <c r="FK113" s="57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7" t="e">
        <f t="shared" si="80"/>
        <v>#N/A</v>
      </c>
      <c r="GE113" s="57" t="e">
        <f ca="1">AVERAGE(OFFSET($GD$3,0,0,'Données projet'!$E$17+1,1))-AVERAGE(OFFSET($H$3,0,0,'Données projet'!$E$17+1,1))</f>
        <v>#N/A</v>
      </c>
      <c r="GF113" s="57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7" t="e">
        <f t="shared" si="83"/>
        <v>#N/A</v>
      </c>
      <c r="GZ113" s="57" t="e">
        <f ca="1">AVERAGE(OFFSET($GY$3,0,0,'Données projet'!$E$18+1,1))-AVERAGE(OFFSET($H$3,0,0,'Données projet'!$E$18+1,1))</f>
        <v>#N/A</v>
      </c>
      <c r="HA113" s="57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0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4">
        <f t="shared" si="56"/>
        <v>507.92122463639157</v>
      </c>
      <c r="I114" s="6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262.66031999999996</v>
      </c>
      <c r="P114" s="13">
        <f t="shared" si="87"/>
        <v>63.289114259938891</v>
      </c>
      <c r="Q114" s="20">
        <f t="shared" si="107"/>
        <v>567.6952646693934</v>
      </c>
      <c r="R114" s="57">
        <f t="shared" si="55"/>
        <v>861.02859800272677</v>
      </c>
      <c r="S114" s="57">
        <f ca="1">AVERAGE(OFFSET($R$3,0,0,'Données projet'!$E$9+1,1))-AVERAGE(OFFSET($H$3,0,0,'Données projet'!$E$9+1,1))</f>
        <v>267.44861001389006</v>
      </c>
      <c r="T114" s="57">
        <f t="shared" si="88"/>
        <v>165.25921510802965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90.474108800457174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90.474108800457174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4.8</v>
      </c>
      <c r="AI114" s="13">
        <f>IF('Données projet'!$A$62&gt;35,AI113+AH114-AQ113,IF(A114&lt;'Données projet'!$A$62,$AF$205^A114,IF(A114='Données projet'!$A$62,'Données projet'!$B$62,AI113+AH114-AQ113)))</f>
        <v>311.7999999999999</v>
      </c>
      <c r="AJ114" s="13">
        <f>AI114*VLOOKUP('Données projet'!$B$10,Paramètres!$A$1:$I$89,3,0)*VLOOKUP('Données projet'!$B$10,Paramètres!$A$1:$I$89,5,0)</f>
        <v>282.1166399999999</v>
      </c>
      <c r="AK114" s="13">
        <f t="shared" si="89"/>
        <v>67.414119514142243</v>
      </c>
      <c r="AL114" s="20">
        <f t="shared" si="58"/>
        <v>608.76607282046416</v>
      </c>
      <c r="AM114" s="57">
        <f t="shared" si="59"/>
        <v>902.09940615379742</v>
      </c>
      <c r="AN114" s="57">
        <f ca="1">AVERAGE(OFFSET($AM$3,0,0,'Données projet'!$E$10+1,1))-AVERAGE(OFFSET($H$3,0,0,'Données projet'!$E$10+1,1))</f>
        <v>294.92430430387071</v>
      </c>
      <c r="AO114" s="57">
        <f t="shared" si="90"/>
        <v>181.52228471516497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97.175894637528074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97.175894637528074</v>
      </c>
      <c r="AY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319</v>
      </c>
      <c r="BE114" s="13">
        <f>BD114*VLOOKUP('Données projet'!$B$11,Paramètres!$A$1:$I$89,3,0)*VLOOKUP('Données projet'!$B$11,Paramètres!$A$1:$I$89,5,0)</f>
        <v>258.77280000000002</v>
      </c>
      <c r="BF114" s="13">
        <f t="shared" si="91"/>
        <v>62.460716522234691</v>
      </c>
      <c r="BG114" s="20">
        <f t="shared" si="61"/>
        <v>559.48170794289206</v>
      </c>
      <c r="BH114" s="57">
        <f t="shared" si="62"/>
        <v>852.81504127622543</v>
      </c>
      <c r="BI114" s="57">
        <f ca="1">AVERAGE(OFFSET($BH$3,0,0,'Données projet'!$E$11+1,1))-AVERAGE(OFFSET($H$3,0,0,'Données projet'!$E$11+1,1))</f>
        <v>250.90550982248311</v>
      </c>
      <c r="BJ114" s="57">
        <f t="shared" si="92"/>
        <v>254.68874167908001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23.804082733088912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23.804082733088912</v>
      </c>
      <c r="BT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739.99999999999966</v>
      </c>
      <c r="BZ114" s="13">
        <f>BY114*VLOOKUP('Données projet'!$B$12,Paramètres!$A$1:$I$89,3,0)*VLOOKUP('Données projet'!$B$12,Paramètres!$A$1:$I$89,5,0)</f>
        <v>413.65999999999985</v>
      </c>
      <c r="CA114" s="13">
        <f t="shared" si="93"/>
        <v>94.540585122244352</v>
      </c>
      <c r="CB114" s="20">
        <f t="shared" si="64"/>
        <v>885.11601908790863</v>
      </c>
      <c r="CC114" s="57">
        <f t="shared" si="65"/>
        <v>1178.4493524212419</v>
      </c>
      <c r="CD114" s="57">
        <f ca="1">AVERAGE(OFFSET($CC$3,0,0,'Données projet'!$E$12+1,1))-AVERAGE(OFFSET($H$3,0,0,'Données projet'!$E$12+1,1))</f>
        <v>462.54745364638171</v>
      </c>
      <c r="CE114" s="57">
        <f t="shared" si="94"/>
        <v>571.50914830067313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44.978967750816118</v>
      </c>
      <c r="CL114" s="21">
        <f>EXP(-LN(2)/25)*CL113+(1-EXP(-LN(2)/25))/(LN(2)/25)*Calculateur!CG114*Calculateur!CI114*VLOOKUP('Données projet'!$B$12,Paramètres!$A$1:$I$89,3,0)*0.475*44/12</f>
        <v>6.1157930809630505</v>
      </c>
      <c r="CM114" s="21">
        <f>EXP(-LN(2)/2)*CM113+(1-EXP(-LN(2)/2))/(LN(2)/2)*CG114*CJ114*VLOOKUP('Données projet'!$B$12,Paramètres!$A$1:$I$89,3,0)*0.475*44/12</f>
        <v>5.4695424833645753E-13</v>
      </c>
      <c r="CN114" s="22">
        <f t="shared" si="66"/>
        <v>51.094760831779716</v>
      </c>
      <c r="CO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245.99999999999994</v>
      </c>
      <c r="CU114" s="17">
        <f>CT114*VLOOKUP('Données projet'!$B$13,Paramètres!$A$1:$I$89,3,0)*VLOOKUP('Données projet'!$B$13,Paramètres!$A$1:$I$89,5,0)</f>
        <v>234.09359999999998</v>
      </c>
      <c r="CV114" s="13">
        <f t="shared" si="95"/>
        <v>57.166902703920208</v>
      </c>
      <c r="CW114" s="20">
        <f t="shared" si="67"/>
        <v>507.27870887599425</v>
      </c>
      <c r="CX114" s="57">
        <f t="shared" si="68"/>
        <v>800.61204220932757</v>
      </c>
      <c r="CY114" s="57">
        <f ca="1">AVERAGE(OFFSET($CX$3,0,0,'Données projet'!$E$13+1,1))-AVERAGE(OFFSET($H$3,0,0,'Données projet'!$E$13+1,1))</f>
        <v>314.67680626853303</v>
      </c>
      <c r="CZ114" s="57">
        <f t="shared" si="96"/>
        <v>372.57247561536263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84.406871734998163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84.406871734998163</v>
      </c>
      <c r="DJ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319</v>
      </c>
      <c r="DP114" s="17">
        <f>DO114*VLOOKUP('Données projet'!$B$14,Paramètres!$A$1:$I$89,3,0)*VLOOKUP('Données projet'!$B$14,Paramètres!$A$1:$I$89,5,0)</f>
        <v>209.00879999999998</v>
      </c>
      <c r="DQ114" s="13">
        <f t="shared" si="97"/>
        <v>51.718923953824202</v>
      </c>
      <c r="DR114" s="20">
        <f t="shared" si="70"/>
        <v>454.10078588624373</v>
      </c>
      <c r="DS114" s="57">
        <f t="shared" si="71"/>
        <v>747.43411921957704</v>
      </c>
      <c r="DT114" s="57">
        <f ca="1">AVERAGE(OFFSET($DS$3,0,0,'Données projet'!$E$14+1,1))-AVERAGE(OFFSET($H$3,0,0,'Données projet'!$E$14+1,1))</f>
        <v>188.80259324758066</v>
      </c>
      <c r="DU114" s="57">
        <f t="shared" si="98"/>
        <v>195.48048518255354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19.22637451518721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19.22637451518721</v>
      </c>
      <c r="EE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319</v>
      </c>
      <c r="EK114" s="17">
        <f>EJ114*VLOOKUP('Données projet'!$B$15,Paramètres!$A$1:$I$89,3,0)*VLOOKUP('Données projet'!$B$15,Paramètres!$A$1:$I$89,5,0)</f>
        <v>258.77280000000002</v>
      </c>
      <c r="EL114" s="13">
        <f t="shared" si="99"/>
        <v>62.460716522234691</v>
      </c>
      <c r="EM114" s="20">
        <f t="shared" si="73"/>
        <v>559.48170794289206</v>
      </c>
      <c r="EN114" s="57">
        <f t="shared" si="74"/>
        <v>852.81504127622543</v>
      </c>
      <c r="EO114" s="57">
        <f ca="1">AVERAGE(OFFSET($EN$3,0,0,'Données projet'!$E$15+1,1))-AVERAGE(OFFSET($H$3,0,0,'Données projet'!$E$15+1,1))</f>
        <v>250.90550982248311</v>
      </c>
      <c r="EP114" s="57">
        <f t="shared" si="100"/>
        <v>254.68874167908001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23.804082733088912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23.804082733088912</v>
      </c>
      <c r="EZ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7" t="e">
        <f t="shared" si="77"/>
        <v>#N/A</v>
      </c>
      <c r="FJ114" s="57" t="e">
        <f ca="1">AVERAGE(OFFSET($FI$3,0,0,'Données projet'!$E$16+1,1))-AVERAGE(OFFSET($H$3,0,0,'Données projet'!$E$16+1,1))</f>
        <v>#N/A</v>
      </c>
      <c r="FK114" s="57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7" t="e">
        <f t="shared" si="80"/>
        <v>#N/A</v>
      </c>
      <c r="GE114" s="57" t="e">
        <f ca="1">AVERAGE(OFFSET($GD$3,0,0,'Données projet'!$E$17+1,1))-AVERAGE(OFFSET($H$3,0,0,'Données projet'!$E$17+1,1))</f>
        <v>#N/A</v>
      </c>
      <c r="GF114" s="57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7" t="e">
        <f t="shared" si="83"/>
        <v>#N/A</v>
      </c>
      <c r="GZ114" s="57" t="e">
        <f ca="1">AVERAGE(OFFSET($GY$3,0,0,'Données projet'!$E$18+1,1))-AVERAGE(OFFSET($H$3,0,0,'Données projet'!$E$18+1,1))</f>
        <v>#N/A</v>
      </c>
      <c r="HA114" s="57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0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4">
        <f t="shared" si="56"/>
        <v>509.80633640488338</v>
      </c>
      <c r="I115" s="6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266.70383999999996</v>
      </c>
      <c r="P115" s="13">
        <f t="shared" si="87"/>
        <v>64.14924165488371</v>
      </c>
      <c r="Q115" s="20">
        <f t="shared" si="107"/>
        <v>576.23578388225576</v>
      </c>
      <c r="R115" s="57">
        <f t="shared" si="55"/>
        <v>869.56911721558913</v>
      </c>
      <c r="S115" s="57">
        <f ca="1">AVERAGE(OFFSET($R$3,0,0,'Données projet'!$E$9+1,1))-AVERAGE(OFFSET($H$3,0,0,'Données projet'!$E$9+1,1))</f>
        <v>267.44861001389006</v>
      </c>
      <c r="T115" s="57">
        <f t="shared" si="88"/>
        <v>165.25921510802965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88.699966710637639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88.699966710637639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4.8</v>
      </c>
      <c r="AI115" s="13">
        <f>IF('Données projet'!$A$62&gt;35,AI114+AH115-AQ114,IF(A115&lt;'Données projet'!$A$62,$AF$205^A115,IF(A115='Données projet'!$A$62,'Données projet'!$B$62,AI114+AH115-AQ114)))</f>
        <v>316.59999999999991</v>
      </c>
      <c r="AJ115" s="13">
        <f>AI115*VLOOKUP('Données projet'!$B$10,Paramètres!$A$1:$I$89,3,0)*VLOOKUP('Données projet'!$B$10,Paramètres!$A$1:$I$89,5,0)</f>
        <v>286.45967999999988</v>
      </c>
      <c r="AK115" s="13">
        <f t="shared" si="89"/>
        <v>68.330307577101138</v>
      </c>
      <c r="AL115" s="20">
        <f t="shared" si="58"/>
        <v>617.92589503011754</v>
      </c>
      <c r="AM115" s="57">
        <f t="shared" si="59"/>
        <v>911.2592283634508</v>
      </c>
      <c r="AN115" s="57">
        <f ca="1">AVERAGE(OFFSET($AM$3,0,0,'Données projet'!$E$10+1,1))-AVERAGE(OFFSET($H$3,0,0,'Données projet'!$E$10+1,1))</f>
        <v>294.92430430387071</v>
      </c>
      <c r="AO115" s="57">
        <f t="shared" si="90"/>
        <v>181.52228471516497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95.270334615129315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95.270334615129315</v>
      </c>
      <c r="AY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319</v>
      </c>
      <c r="BE115" s="13">
        <f>BD115*VLOOKUP('Données projet'!$B$11,Paramètres!$A$1:$I$89,3,0)*VLOOKUP('Données projet'!$B$11,Paramètres!$A$1:$I$89,5,0)</f>
        <v>258.77280000000002</v>
      </c>
      <c r="BF115" s="13">
        <f t="shared" si="91"/>
        <v>62.460716522234691</v>
      </c>
      <c r="BG115" s="20">
        <f t="shared" si="61"/>
        <v>559.48170794289206</v>
      </c>
      <c r="BH115" s="57">
        <f t="shared" si="62"/>
        <v>852.81504127622543</v>
      </c>
      <c r="BI115" s="57">
        <f ca="1">AVERAGE(OFFSET($BH$3,0,0,'Données projet'!$E$11+1,1))-AVERAGE(OFFSET($H$3,0,0,'Données projet'!$E$11+1,1))</f>
        <v>250.90550982248311</v>
      </c>
      <c r="BJ115" s="57">
        <f t="shared" si="92"/>
        <v>254.68874167908001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23.337299189749867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23.337299189749867</v>
      </c>
      <c r="BT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739.99999999999966</v>
      </c>
      <c r="BZ115" s="13">
        <f>BY115*VLOOKUP('Données projet'!$B$12,Paramètres!$A$1:$I$89,3,0)*VLOOKUP('Données projet'!$B$12,Paramètres!$A$1:$I$89,5,0)</f>
        <v>413.65999999999985</v>
      </c>
      <c r="CA115" s="13">
        <f t="shared" si="93"/>
        <v>94.540585122244352</v>
      </c>
      <c r="CB115" s="20">
        <f t="shared" si="64"/>
        <v>885.11601908790863</v>
      </c>
      <c r="CC115" s="57">
        <f t="shared" si="65"/>
        <v>1178.4493524212419</v>
      </c>
      <c r="CD115" s="57">
        <f ca="1">AVERAGE(OFFSET($CC$3,0,0,'Données projet'!$E$12+1,1))-AVERAGE(OFFSET($H$3,0,0,'Données projet'!$E$12+1,1))</f>
        <v>462.54745364638171</v>
      </c>
      <c r="CE115" s="57">
        <f t="shared" si="94"/>
        <v>571.50914830067313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44.096957627684013</v>
      </c>
      <c r="CL115" s="21">
        <f>EXP(-LN(2)/25)*CL114+(1-EXP(-LN(2)/25))/(LN(2)/25)*Calculateur!CG115*Calculateur!CI115*VLOOKUP('Données projet'!$B$12,Paramètres!$A$1:$I$89,3,0)*0.475*44/12</f>
        <v>5.9485563975485354</v>
      </c>
      <c r="CM115" s="21">
        <f>EXP(-LN(2)/2)*CM114+(1-EXP(-LN(2)/2))/(LN(2)/2)*CG115*CJ115*VLOOKUP('Données projet'!$B$12,Paramètres!$A$1:$I$89,3,0)*0.475*44/12</f>
        <v>3.8675505799750006E-13</v>
      </c>
      <c r="CN115" s="22">
        <f t="shared" si="66"/>
        <v>50.045514025232933</v>
      </c>
      <c r="CO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245.99999999999994</v>
      </c>
      <c r="CU115" s="17">
        <f>CT115*VLOOKUP('Données projet'!$B$13,Paramètres!$A$1:$I$89,3,0)*VLOOKUP('Données projet'!$B$13,Paramètres!$A$1:$I$89,5,0)</f>
        <v>234.09359999999998</v>
      </c>
      <c r="CV115" s="13">
        <f t="shared" si="95"/>
        <v>57.166902703920208</v>
      </c>
      <c r="CW115" s="20">
        <f t="shared" si="67"/>
        <v>507.27870887599425</v>
      </c>
      <c r="CX115" s="57">
        <f t="shared" si="68"/>
        <v>800.61204220932757</v>
      </c>
      <c r="CY115" s="57">
        <f ca="1">AVERAGE(OFFSET($CX$3,0,0,'Données projet'!$E$13+1,1))-AVERAGE(OFFSET($H$3,0,0,'Données projet'!$E$13+1,1))</f>
        <v>314.67680626853303</v>
      </c>
      <c r="CZ115" s="57">
        <f t="shared" si="96"/>
        <v>372.57247561536263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82.751704463383078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82.751704463383078</v>
      </c>
      <c r="DJ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319</v>
      </c>
      <c r="DP115" s="17">
        <f>DO115*VLOOKUP('Données projet'!$B$14,Paramètres!$A$1:$I$89,3,0)*VLOOKUP('Données projet'!$B$14,Paramètres!$A$1:$I$89,5,0)</f>
        <v>209.00879999999998</v>
      </c>
      <c r="DQ115" s="13">
        <f t="shared" si="97"/>
        <v>51.718923953824202</v>
      </c>
      <c r="DR115" s="20">
        <f t="shared" si="70"/>
        <v>454.10078588624373</v>
      </c>
      <c r="DS115" s="57">
        <f t="shared" si="71"/>
        <v>747.43411921957704</v>
      </c>
      <c r="DT115" s="57">
        <f ca="1">AVERAGE(OFFSET($DS$3,0,0,'Données projet'!$E$14+1,1))-AVERAGE(OFFSET($H$3,0,0,'Données projet'!$E$14+1,1))</f>
        <v>188.80259324758066</v>
      </c>
      <c r="DU115" s="57">
        <f t="shared" si="98"/>
        <v>195.48048518255354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18.849357037874906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18.849357037874906</v>
      </c>
      <c r="EE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319</v>
      </c>
      <c r="EK115" s="17">
        <f>EJ115*VLOOKUP('Données projet'!$B$15,Paramètres!$A$1:$I$89,3,0)*VLOOKUP('Données projet'!$B$15,Paramètres!$A$1:$I$89,5,0)</f>
        <v>258.77280000000002</v>
      </c>
      <c r="EL115" s="13">
        <f t="shared" si="99"/>
        <v>62.460716522234691</v>
      </c>
      <c r="EM115" s="20">
        <f t="shared" si="73"/>
        <v>559.48170794289206</v>
      </c>
      <c r="EN115" s="57">
        <f t="shared" si="74"/>
        <v>852.81504127622543</v>
      </c>
      <c r="EO115" s="57">
        <f ca="1">AVERAGE(OFFSET($EN$3,0,0,'Données projet'!$E$15+1,1))-AVERAGE(OFFSET($H$3,0,0,'Données projet'!$E$15+1,1))</f>
        <v>250.90550982248311</v>
      </c>
      <c r="EP115" s="57">
        <f t="shared" si="100"/>
        <v>254.68874167908001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23.337299189749867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23.337299189749867</v>
      </c>
      <c r="EZ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7" t="e">
        <f t="shared" si="77"/>
        <v>#N/A</v>
      </c>
      <c r="FJ115" s="57" t="e">
        <f ca="1">AVERAGE(OFFSET($FI$3,0,0,'Données projet'!$E$16+1,1))-AVERAGE(OFFSET($H$3,0,0,'Données projet'!$E$16+1,1))</f>
        <v>#N/A</v>
      </c>
      <c r="FK115" s="57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7" t="e">
        <f t="shared" si="80"/>
        <v>#N/A</v>
      </c>
      <c r="GE115" s="57" t="e">
        <f ca="1">AVERAGE(OFFSET($GD$3,0,0,'Données projet'!$E$17+1,1))-AVERAGE(OFFSET($H$3,0,0,'Données projet'!$E$17+1,1))</f>
        <v>#N/A</v>
      </c>
      <c r="GF115" s="57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7" t="e">
        <f t="shared" si="83"/>
        <v>#N/A</v>
      </c>
      <c r="GZ115" s="57" t="e">
        <f ca="1">AVERAGE(OFFSET($GY$3,0,0,'Données projet'!$E$18+1,1))-AVERAGE(OFFSET($H$3,0,0,'Données projet'!$E$18+1,1))</f>
        <v>#N/A</v>
      </c>
      <c r="HA115" s="57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0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4">
        <f t="shared" si="56"/>
        <v>511.69107048862929</v>
      </c>
      <c r="I116" s="6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270.74735999999996</v>
      </c>
      <c r="P116" s="13">
        <f t="shared" si="87"/>
        <v>65.007852416747113</v>
      </c>
      <c r="Q116" s="20">
        <f t="shared" si="107"/>
        <v>584.77366162583451</v>
      </c>
      <c r="R116" s="57">
        <f t="shared" si="55"/>
        <v>878.10699495916788</v>
      </c>
      <c r="S116" s="57">
        <f ca="1">AVERAGE(OFFSET($R$3,0,0,'Données projet'!$E$9+1,1))-AVERAGE(OFFSET($H$3,0,0,'Données projet'!$E$9+1,1))</f>
        <v>267.44861001389006</v>
      </c>
      <c r="T116" s="57">
        <f t="shared" si="88"/>
        <v>165.25921510802965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86.96061446507963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86.96061446507963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4.8</v>
      </c>
      <c r="AI116" s="13">
        <f>IF('Données projet'!$A$62&gt;35,AI115+AH116-AQ115,IF(A116&lt;'Données projet'!$A$62,$AF$205^A116,IF(A116='Données projet'!$A$62,'Données projet'!$B$62,AI115+AH116-AQ115)))</f>
        <v>321.39999999999992</v>
      </c>
      <c r="AJ116" s="13">
        <f>AI116*VLOOKUP('Données projet'!$B$10,Paramètres!$A$1:$I$89,3,0)*VLOOKUP('Données projet'!$B$10,Paramètres!$A$1:$I$89,5,0)</f>
        <v>290.80271999999991</v>
      </c>
      <c r="AK116" s="13">
        <f t="shared" si="89"/>
        <v>69.244880157128961</v>
      </c>
      <c r="AL116" s="20">
        <f t="shared" si="58"/>
        <v>627.08290360699937</v>
      </c>
      <c r="AM116" s="57">
        <f t="shared" si="59"/>
        <v>920.41623694033274</v>
      </c>
      <c r="AN116" s="57">
        <f ca="1">AVERAGE(OFFSET($AM$3,0,0,'Données projet'!$E$10+1,1))-AVERAGE(OFFSET($H$3,0,0,'Données projet'!$E$10+1,1))</f>
        <v>294.92430430387071</v>
      </c>
      <c r="AO116" s="57">
        <f t="shared" si="90"/>
        <v>181.52228471516497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93.402141462492935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93.402141462492935</v>
      </c>
      <c r="AY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319</v>
      </c>
      <c r="BE116" s="13">
        <f>BD116*VLOOKUP('Données projet'!$B$11,Paramètres!$A$1:$I$89,3,0)*VLOOKUP('Données projet'!$B$11,Paramètres!$A$1:$I$89,5,0)</f>
        <v>258.77280000000002</v>
      </c>
      <c r="BF116" s="13">
        <f t="shared" si="91"/>
        <v>62.460716522234691</v>
      </c>
      <c r="BG116" s="20">
        <f t="shared" si="61"/>
        <v>559.48170794289206</v>
      </c>
      <c r="BH116" s="57">
        <f t="shared" si="62"/>
        <v>852.81504127622543</v>
      </c>
      <c r="BI116" s="57">
        <f ca="1">AVERAGE(OFFSET($BH$3,0,0,'Données projet'!$E$11+1,1))-AVERAGE(OFFSET($H$3,0,0,'Données projet'!$E$11+1,1))</f>
        <v>250.90550982248311</v>
      </c>
      <c r="BJ116" s="57">
        <f t="shared" si="92"/>
        <v>254.68874167908001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22.879668986985852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22.879668986985852</v>
      </c>
      <c r="BT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739.99999999999966</v>
      </c>
      <c r="BZ116" s="13">
        <f>BY116*VLOOKUP('Données projet'!$B$12,Paramètres!$A$1:$I$89,3,0)*VLOOKUP('Données projet'!$B$12,Paramètres!$A$1:$I$89,5,0)</f>
        <v>413.65999999999985</v>
      </c>
      <c r="CA116" s="13">
        <f t="shared" si="93"/>
        <v>94.540585122244352</v>
      </c>
      <c r="CB116" s="20">
        <f t="shared" si="64"/>
        <v>885.11601908790863</v>
      </c>
      <c r="CC116" s="57">
        <f t="shared" si="65"/>
        <v>1178.4493524212419</v>
      </c>
      <c r="CD116" s="57">
        <f ca="1">AVERAGE(OFFSET($CC$3,0,0,'Données projet'!$E$12+1,1))-AVERAGE(OFFSET($H$3,0,0,'Données projet'!$E$12+1,1))</f>
        <v>462.54745364638171</v>
      </c>
      <c r="CE116" s="57">
        <f t="shared" si="94"/>
        <v>571.50914830067313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43.232243185093473</v>
      </c>
      <c r="CL116" s="21">
        <f>EXP(-LN(2)/25)*CL115+(1-EXP(-LN(2)/25))/(LN(2)/25)*Calculateur!CG116*Calculateur!CI116*VLOOKUP('Données projet'!$B$12,Paramètres!$A$1:$I$89,3,0)*0.475*44/12</f>
        <v>5.785892810036585</v>
      </c>
      <c r="CM116" s="21">
        <f>EXP(-LN(2)/2)*CM115+(1-EXP(-LN(2)/2))/(LN(2)/2)*CG116*CJ116*VLOOKUP('Données projet'!$B$12,Paramètres!$A$1:$I$89,3,0)*0.475*44/12</f>
        <v>2.7347712416822877E-13</v>
      </c>
      <c r="CN116" s="22">
        <f t="shared" si="66"/>
        <v>49.018135995130329</v>
      </c>
      <c r="CO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245.99999999999994</v>
      </c>
      <c r="CU116" s="17">
        <f>CT116*VLOOKUP('Données projet'!$B$13,Paramètres!$A$1:$I$89,3,0)*VLOOKUP('Données projet'!$B$13,Paramètres!$A$1:$I$89,5,0)</f>
        <v>234.09359999999998</v>
      </c>
      <c r="CV116" s="13">
        <f t="shared" si="95"/>
        <v>57.166902703920208</v>
      </c>
      <c r="CW116" s="20">
        <f t="shared" si="67"/>
        <v>507.27870887599425</v>
      </c>
      <c r="CX116" s="57">
        <f t="shared" si="68"/>
        <v>800.61204220932757</v>
      </c>
      <c r="CY116" s="57">
        <f ca="1">AVERAGE(OFFSET($CX$3,0,0,'Données projet'!$E$13+1,1))-AVERAGE(OFFSET($H$3,0,0,'Données projet'!$E$13+1,1))</f>
        <v>314.67680626853303</v>
      </c>
      <c r="CZ116" s="57">
        <f t="shared" si="96"/>
        <v>372.57247561536263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81.128994012412008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81.128994012412008</v>
      </c>
      <c r="DJ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319</v>
      </c>
      <c r="DP116" s="17">
        <f>DO116*VLOOKUP('Données projet'!$B$14,Paramètres!$A$1:$I$89,3,0)*VLOOKUP('Données projet'!$B$14,Paramètres!$A$1:$I$89,5,0)</f>
        <v>209.00879999999998</v>
      </c>
      <c r="DQ116" s="13">
        <f t="shared" si="97"/>
        <v>51.718923953824202</v>
      </c>
      <c r="DR116" s="20">
        <f t="shared" si="70"/>
        <v>454.10078588624373</v>
      </c>
      <c r="DS116" s="57">
        <f t="shared" si="71"/>
        <v>747.43411921957704</v>
      </c>
      <c r="DT116" s="57">
        <f ca="1">AVERAGE(OFFSET($DS$3,0,0,'Données projet'!$E$14+1,1))-AVERAGE(OFFSET($H$3,0,0,'Données projet'!$E$14+1,1))</f>
        <v>188.80259324758066</v>
      </c>
      <c r="DU116" s="57">
        <f t="shared" si="98"/>
        <v>195.48048518255354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18.479732643334742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18.479732643334742</v>
      </c>
      <c r="EE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319</v>
      </c>
      <c r="EK116" s="17">
        <f>EJ116*VLOOKUP('Données projet'!$B$15,Paramètres!$A$1:$I$89,3,0)*VLOOKUP('Données projet'!$B$15,Paramètres!$A$1:$I$89,5,0)</f>
        <v>258.77280000000002</v>
      </c>
      <c r="EL116" s="13">
        <f t="shared" si="99"/>
        <v>62.460716522234691</v>
      </c>
      <c r="EM116" s="20">
        <f t="shared" si="73"/>
        <v>559.48170794289206</v>
      </c>
      <c r="EN116" s="57">
        <f t="shared" si="74"/>
        <v>852.81504127622543</v>
      </c>
      <c r="EO116" s="57">
        <f ca="1">AVERAGE(OFFSET($EN$3,0,0,'Données projet'!$E$15+1,1))-AVERAGE(OFFSET($H$3,0,0,'Données projet'!$E$15+1,1))</f>
        <v>250.90550982248311</v>
      </c>
      <c r="EP116" s="57">
        <f t="shared" si="100"/>
        <v>254.68874167908001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22.879668986985852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22.879668986985852</v>
      </c>
      <c r="EZ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7" t="e">
        <f t="shared" si="77"/>
        <v>#N/A</v>
      </c>
      <c r="FJ116" s="57" t="e">
        <f ca="1">AVERAGE(OFFSET($FI$3,0,0,'Données projet'!$E$16+1,1))-AVERAGE(OFFSET($H$3,0,0,'Données projet'!$E$16+1,1))</f>
        <v>#N/A</v>
      </c>
      <c r="FK116" s="57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7" t="e">
        <f t="shared" si="80"/>
        <v>#N/A</v>
      </c>
      <c r="GE116" s="57" t="e">
        <f ca="1">AVERAGE(OFFSET($GD$3,0,0,'Données projet'!$E$17+1,1))-AVERAGE(OFFSET($H$3,0,0,'Données projet'!$E$17+1,1))</f>
        <v>#N/A</v>
      </c>
      <c r="GF116" s="57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7" t="e">
        <f t="shared" si="83"/>
        <v>#N/A</v>
      </c>
      <c r="GZ116" s="57" t="e">
        <f ca="1">AVERAGE(OFFSET($GY$3,0,0,'Données projet'!$E$18+1,1))-AVERAGE(OFFSET($H$3,0,0,'Données projet'!$E$18+1,1))</f>
        <v>#N/A</v>
      </c>
      <c r="HA116" s="57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0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4">
        <f t="shared" si="56"/>
        <v>513.5754306171973</v>
      </c>
      <c r="I117" s="6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274.79087999999996</v>
      </c>
      <c r="P117" s="13">
        <f t="shared" si="87"/>
        <v>65.86497181236102</v>
      </c>
      <c r="Q117" s="20">
        <f t="shared" si="107"/>
        <v>593.30894190652873</v>
      </c>
      <c r="R117" s="57">
        <f t="shared" si="55"/>
        <v>886.6422752398621</v>
      </c>
      <c r="S117" s="57">
        <f ca="1">AVERAGE(OFFSET($R$3,0,0,'Données projet'!$E$9+1,1))-AVERAGE(OFFSET($H$3,0,0,'Données projet'!$E$9+1,1))</f>
        <v>267.44861001389006</v>
      </c>
      <c r="T117" s="57">
        <f t="shared" si="88"/>
        <v>165.25921510802965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85.255369856156904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85.255369856156904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4.8</v>
      </c>
      <c r="AI117" s="13">
        <f>IF('Données projet'!$A$62&gt;35,AI116+AH117-AQ116,IF(A117&lt;'Données projet'!$A$62,$AF$205^A117,IF(A117='Données projet'!$A$62,'Données projet'!$B$62,AI116+AH117-AQ116)))</f>
        <v>326.19999999999993</v>
      </c>
      <c r="AJ117" s="13">
        <f>AI117*VLOOKUP('Données projet'!$B$10,Paramètres!$A$1:$I$89,3,0)*VLOOKUP('Données projet'!$B$10,Paramètres!$A$1:$I$89,5,0)</f>
        <v>295.14575999999994</v>
      </c>
      <c r="AK117" s="13">
        <f t="shared" si="89"/>
        <v>70.157864167878188</v>
      </c>
      <c r="AL117" s="20">
        <f t="shared" si="58"/>
        <v>636.237145425721</v>
      </c>
      <c r="AM117" s="57">
        <f t="shared" si="59"/>
        <v>929.57047875905437</v>
      </c>
      <c r="AN117" s="57">
        <f ca="1">AVERAGE(OFFSET($AM$3,0,0,'Données projet'!$E$10+1,1))-AVERAGE(OFFSET($H$3,0,0,'Données projet'!$E$10+1,1))</f>
        <v>294.92430430387071</v>
      </c>
      <c r="AO117" s="57">
        <f t="shared" si="90"/>
        <v>181.52228471516497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91.570582438094448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91.570582438094448</v>
      </c>
      <c r="AY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319</v>
      </c>
      <c r="BE117" s="13">
        <f>BD117*VLOOKUP('Données projet'!$B$11,Paramètres!$A$1:$I$89,3,0)*VLOOKUP('Données projet'!$B$11,Paramètres!$A$1:$I$89,5,0)</f>
        <v>258.77280000000002</v>
      </c>
      <c r="BF117" s="13">
        <f t="shared" si="91"/>
        <v>62.460716522234691</v>
      </c>
      <c r="BG117" s="20">
        <f t="shared" si="61"/>
        <v>559.48170794289206</v>
      </c>
      <c r="BH117" s="57">
        <f t="shared" si="62"/>
        <v>852.81504127622543</v>
      </c>
      <c r="BI117" s="57">
        <f ca="1">AVERAGE(OFFSET($BH$3,0,0,'Données projet'!$E$11+1,1))-AVERAGE(OFFSET($H$3,0,0,'Données projet'!$E$11+1,1))</f>
        <v>250.90550982248311</v>
      </c>
      <c r="BJ117" s="57">
        <f t="shared" si="92"/>
        <v>254.68874167908001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22.431012633371179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22.431012633371179</v>
      </c>
      <c r="BT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739.99999999999966</v>
      </c>
      <c r="BZ117" s="13">
        <f>BY117*VLOOKUP('Données projet'!$B$12,Paramètres!$A$1:$I$89,3,0)*VLOOKUP('Données projet'!$B$12,Paramètres!$A$1:$I$89,5,0)</f>
        <v>413.65999999999985</v>
      </c>
      <c r="CA117" s="13">
        <f t="shared" si="93"/>
        <v>94.540585122244352</v>
      </c>
      <c r="CB117" s="20">
        <f t="shared" si="64"/>
        <v>885.11601908790863</v>
      </c>
      <c r="CC117" s="57">
        <f t="shared" si="65"/>
        <v>1178.4493524212419</v>
      </c>
      <c r="CD117" s="57">
        <f ca="1">AVERAGE(OFFSET($CC$3,0,0,'Données projet'!$E$12+1,1))-AVERAGE(OFFSET($H$3,0,0,'Données projet'!$E$12+1,1))</f>
        <v>462.54745364638171</v>
      </c>
      <c r="CE117" s="57">
        <f t="shared" si="94"/>
        <v>571.50914830067313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42.384485265298402</v>
      </c>
      <c r="CL117" s="21">
        <f>EXP(-LN(2)/25)*CL116+(1-EXP(-LN(2)/25))/(LN(2)/25)*Calculateur!CG117*Calculateur!CI117*VLOOKUP('Données projet'!$B$12,Paramètres!$A$1:$I$89,3,0)*0.475*44/12</f>
        <v>5.6276772668792558</v>
      </c>
      <c r="CM117" s="21">
        <f>EXP(-LN(2)/2)*CM116+(1-EXP(-LN(2)/2))/(LN(2)/2)*CG117*CJ117*VLOOKUP('Données projet'!$B$12,Paramètres!$A$1:$I$89,3,0)*0.475*44/12</f>
        <v>1.9337752899875003E-13</v>
      </c>
      <c r="CN117" s="22">
        <f t="shared" si="66"/>
        <v>48.012162532177847</v>
      </c>
      <c r="CO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245.99999999999994</v>
      </c>
      <c r="CU117" s="17">
        <f>CT117*VLOOKUP('Données projet'!$B$13,Paramètres!$A$1:$I$89,3,0)*VLOOKUP('Données projet'!$B$13,Paramètres!$A$1:$I$89,5,0)</f>
        <v>234.09359999999998</v>
      </c>
      <c r="CV117" s="13">
        <f t="shared" si="95"/>
        <v>57.166902703920208</v>
      </c>
      <c r="CW117" s="20">
        <f t="shared" si="67"/>
        <v>507.27870887599425</v>
      </c>
      <c r="CX117" s="57">
        <f t="shared" si="68"/>
        <v>800.61204220932757</v>
      </c>
      <c r="CY117" s="57">
        <f ca="1">AVERAGE(OFFSET($CX$3,0,0,'Données projet'!$E$13+1,1))-AVERAGE(OFFSET($H$3,0,0,'Données projet'!$E$13+1,1))</f>
        <v>314.67680626853303</v>
      </c>
      <c r="CZ117" s="57">
        <f t="shared" si="96"/>
        <v>372.57247561536263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79.538103923628839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79.538103923628839</v>
      </c>
      <c r="DJ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319</v>
      </c>
      <c r="DP117" s="17">
        <f>DO117*VLOOKUP('Données projet'!$B$14,Paramètres!$A$1:$I$89,3,0)*VLOOKUP('Données projet'!$B$14,Paramètres!$A$1:$I$89,5,0)</f>
        <v>209.00879999999998</v>
      </c>
      <c r="DQ117" s="13">
        <f t="shared" si="97"/>
        <v>51.718923953824202</v>
      </c>
      <c r="DR117" s="20">
        <f t="shared" si="70"/>
        <v>454.10078588624373</v>
      </c>
      <c r="DS117" s="57">
        <f t="shared" si="71"/>
        <v>747.43411921957704</v>
      </c>
      <c r="DT117" s="57">
        <f ca="1">AVERAGE(OFFSET($DS$3,0,0,'Données projet'!$E$14+1,1))-AVERAGE(OFFSET($H$3,0,0,'Données projet'!$E$14+1,1))</f>
        <v>188.80259324758066</v>
      </c>
      <c r="DU117" s="57">
        <f t="shared" si="98"/>
        <v>195.48048518255354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18.11735635772289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18.11735635772289</v>
      </c>
      <c r="EE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319</v>
      </c>
      <c r="EK117" s="17">
        <f>EJ117*VLOOKUP('Données projet'!$B$15,Paramètres!$A$1:$I$89,3,0)*VLOOKUP('Données projet'!$B$15,Paramètres!$A$1:$I$89,5,0)</f>
        <v>258.77280000000002</v>
      </c>
      <c r="EL117" s="13">
        <f t="shared" si="99"/>
        <v>62.460716522234691</v>
      </c>
      <c r="EM117" s="20">
        <f t="shared" si="73"/>
        <v>559.48170794289206</v>
      </c>
      <c r="EN117" s="57">
        <f t="shared" si="74"/>
        <v>852.81504127622543</v>
      </c>
      <c r="EO117" s="57">
        <f ca="1">AVERAGE(OFFSET($EN$3,0,0,'Données projet'!$E$15+1,1))-AVERAGE(OFFSET($H$3,0,0,'Données projet'!$E$15+1,1))</f>
        <v>250.90550982248311</v>
      </c>
      <c r="EP117" s="57">
        <f t="shared" si="100"/>
        <v>254.68874167908001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22.431012633371179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22.431012633371179</v>
      </c>
      <c r="EZ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7" t="e">
        <f t="shared" si="77"/>
        <v>#N/A</v>
      </c>
      <c r="FJ117" s="57" t="e">
        <f ca="1">AVERAGE(OFFSET($FI$3,0,0,'Données projet'!$E$16+1,1))-AVERAGE(OFFSET($H$3,0,0,'Données projet'!$E$16+1,1))</f>
        <v>#N/A</v>
      </c>
      <c r="FK117" s="57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7" t="e">
        <f t="shared" si="80"/>
        <v>#N/A</v>
      </c>
      <c r="GE117" s="57" t="e">
        <f ca="1">AVERAGE(OFFSET($GD$3,0,0,'Données projet'!$E$17+1,1))-AVERAGE(OFFSET($H$3,0,0,'Données projet'!$E$17+1,1))</f>
        <v>#N/A</v>
      </c>
      <c r="GF117" s="57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7" t="e">
        <f t="shared" si="83"/>
        <v>#N/A</v>
      </c>
      <c r="GZ117" s="57" t="e">
        <f ca="1">AVERAGE(OFFSET($GY$3,0,0,'Données projet'!$E$18+1,1))-AVERAGE(OFFSET($H$3,0,0,'Données projet'!$E$18+1,1))</f>
        <v>#N/A</v>
      </c>
      <c r="HA117" s="57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0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4">
        <f t="shared" si="56"/>
        <v>515.45942045094944</v>
      </c>
      <c r="I118" s="6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278.83439999999996</v>
      </c>
      <c r="P118" s="13">
        <f t="shared" si="87"/>
        <v>66.720624322271249</v>
      </c>
      <c r="Q118" s="20">
        <f t="shared" si="107"/>
        <v>601.84166736128896</v>
      </c>
      <c r="R118" s="57">
        <f t="shared" si="55"/>
        <v>895.17500069462221</v>
      </c>
      <c r="S118" s="57">
        <f ca="1">AVERAGE(OFFSET($R$3,0,0,'Données projet'!$E$9+1,1))-AVERAGE(OFFSET($H$3,0,0,'Données projet'!$E$9+1,1))</f>
        <v>267.44861001389006</v>
      </c>
      <c r="T118" s="57">
        <f t="shared" si="88"/>
        <v>165.25921510802965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93.194045970374148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93.194045970374148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331</v>
      </c>
      <c r="AG118" s="12">
        <f>VLOOKUP(A118,'Données projet'!$A$61:$I$81,9,0)</f>
        <v>4.8</v>
      </c>
      <c r="AH118" s="12">
        <f t="array" ref="AH118">INDEX(AG:AG,MIN(IF(ISNUMBER(AG118:AG314),ROW(AG118:AG314),"")))</f>
        <v>4.8</v>
      </c>
      <c r="AI118" s="13">
        <f>IF('Données projet'!$A$62&gt;35,AI117+AH118-AQ117,IF(A118&lt;'Données projet'!$A$62,$AF$205^A118,IF(A118='Données projet'!$A$62,'Données projet'!$B$62,AI117+AH118-AQ117)))</f>
        <v>330.99999999999994</v>
      </c>
      <c r="AJ118" s="13">
        <f>AI118*VLOOKUP('Données projet'!$B$10,Paramètres!$A$1:$I$89,3,0)*VLOOKUP('Données projet'!$B$10,Paramètres!$A$1:$I$89,5,0)</f>
        <v>299.48879999999997</v>
      </c>
      <c r="AK118" s="13">
        <f t="shared" si="89"/>
        <v>71.069285685467293</v>
      </c>
      <c r="AL118" s="20">
        <f t="shared" si="58"/>
        <v>645.38866590218879</v>
      </c>
      <c r="AM118" s="57">
        <f t="shared" si="59"/>
        <v>938.72199923552216</v>
      </c>
      <c r="AN118" s="57">
        <f ca="1">AVERAGE(OFFSET($AM$3,0,0,'Données projet'!$E$10+1,1))-AVERAGE(OFFSET($H$3,0,0,'Données projet'!$E$10+1,1))</f>
        <v>294.92430430387071</v>
      </c>
      <c r="AO118" s="57">
        <f t="shared" si="90"/>
        <v>181.52228471516497</v>
      </c>
      <c r="AP118" s="15">
        <f>IF(ISNA(VLOOKUP(A118,'Données projet'!$A$61:$I$81,3,0)),0,VLOOKUP(A118,'Données projet'!$A$61:$I$81,3,0))</f>
        <v>20</v>
      </c>
      <c r="AQ118" s="15">
        <f>IF(ISNA(VLOOKUP(A118,'Données projet'!$A$61:$I$81,4,0)),0,VLOOKUP(A118,'Données projet'!$A$61:$I$81,4,0))</f>
        <v>24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100.09730863484631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100.09730863484631</v>
      </c>
      <c r="AY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319</v>
      </c>
      <c r="BE118" s="13">
        <f>BD118*VLOOKUP('Données projet'!$B$11,Paramètres!$A$1:$I$89,3,0)*VLOOKUP('Données projet'!$B$11,Paramètres!$A$1:$I$89,5,0)</f>
        <v>258.77280000000002</v>
      </c>
      <c r="BF118" s="13">
        <f t="shared" si="91"/>
        <v>62.460716522234691</v>
      </c>
      <c r="BG118" s="20">
        <f t="shared" si="61"/>
        <v>559.48170794289206</v>
      </c>
      <c r="BH118" s="57">
        <f t="shared" si="62"/>
        <v>852.81504127622543</v>
      </c>
      <c r="BI118" s="57">
        <f ca="1">AVERAGE(OFFSET($BH$3,0,0,'Données projet'!$E$11+1,1))-AVERAGE(OFFSET($H$3,0,0,'Données projet'!$E$11+1,1))</f>
        <v>250.90550982248311</v>
      </c>
      <c r="BJ118" s="57">
        <f t="shared" si="92"/>
        <v>254.68874167908001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21.991154157197535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21.991154157197535</v>
      </c>
      <c r="BT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739.99999999999966</v>
      </c>
      <c r="BZ118" s="13">
        <f>BY118*VLOOKUP('Données projet'!$B$12,Paramètres!$A$1:$I$89,3,0)*VLOOKUP('Données projet'!$B$12,Paramètres!$A$1:$I$89,5,0)</f>
        <v>413.65999999999985</v>
      </c>
      <c r="CA118" s="13">
        <f t="shared" si="93"/>
        <v>94.540585122244352</v>
      </c>
      <c r="CB118" s="20">
        <f t="shared" si="64"/>
        <v>885.11601908790863</v>
      </c>
      <c r="CC118" s="57">
        <f t="shared" si="65"/>
        <v>1178.4493524212419</v>
      </c>
      <c r="CD118" s="57">
        <f ca="1">AVERAGE(OFFSET($CC$3,0,0,'Données projet'!$E$12+1,1))-AVERAGE(OFFSET($H$3,0,0,'Données projet'!$E$12+1,1))</f>
        <v>462.54745364638171</v>
      </c>
      <c r="CE118" s="57">
        <f t="shared" si="94"/>
        <v>571.50914830067313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41.55335136122924</v>
      </c>
      <c r="CL118" s="21">
        <f>EXP(-LN(2)/25)*CL117+(1-EXP(-LN(2)/25))/(LN(2)/25)*Calculateur!CG118*Calculateur!CI118*VLOOKUP('Données projet'!$B$12,Paramètres!$A$1:$I$89,3,0)*0.475*44/12</f>
        <v>5.4737881360697571</v>
      </c>
      <c r="CM118" s="21">
        <f>EXP(-LN(2)/2)*CM117+(1-EXP(-LN(2)/2))/(LN(2)/2)*CG118*CJ118*VLOOKUP('Données projet'!$B$12,Paramètres!$A$1:$I$89,3,0)*0.475*44/12</f>
        <v>1.3673856208411438E-13</v>
      </c>
      <c r="CN118" s="22">
        <f t="shared" si="66"/>
        <v>47.027139497299132</v>
      </c>
      <c r="CO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245.99999999999994</v>
      </c>
      <c r="CU118" s="17">
        <f>CT118*VLOOKUP('Données projet'!$B$13,Paramètres!$A$1:$I$89,3,0)*VLOOKUP('Données projet'!$B$13,Paramètres!$A$1:$I$89,5,0)</f>
        <v>234.09359999999998</v>
      </c>
      <c r="CV118" s="13">
        <f t="shared" si="95"/>
        <v>57.166902703920208</v>
      </c>
      <c r="CW118" s="20">
        <f t="shared" si="67"/>
        <v>507.27870887599425</v>
      </c>
      <c r="CX118" s="57">
        <f t="shared" si="68"/>
        <v>800.61204220932757</v>
      </c>
      <c r="CY118" s="57">
        <f ca="1">AVERAGE(OFFSET($CX$3,0,0,'Données projet'!$E$13+1,1))-AVERAGE(OFFSET($H$3,0,0,'Données projet'!$E$13+1,1))</f>
        <v>314.67680626853303</v>
      </c>
      <c r="CZ118" s="57">
        <f t="shared" si="96"/>
        <v>372.57247561536263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77.978410219139562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77.978410219139562</v>
      </c>
      <c r="DJ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319</v>
      </c>
      <c r="DP118" s="17">
        <f>DO118*VLOOKUP('Données projet'!$B$14,Paramètres!$A$1:$I$89,3,0)*VLOOKUP('Données projet'!$B$14,Paramètres!$A$1:$I$89,5,0)</f>
        <v>209.00879999999998</v>
      </c>
      <c r="DQ118" s="13">
        <f t="shared" si="97"/>
        <v>51.718923953824202</v>
      </c>
      <c r="DR118" s="20">
        <f t="shared" si="70"/>
        <v>454.10078588624373</v>
      </c>
      <c r="DS118" s="57">
        <f t="shared" si="71"/>
        <v>747.43411921957704</v>
      </c>
      <c r="DT118" s="57">
        <f ca="1">AVERAGE(OFFSET($DS$3,0,0,'Données projet'!$E$14+1,1))-AVERAGE(OFFSET($H$3,0,0,'Données projet'!$E$14+1,1))</f>
        <v>188.80259324758066</v>
      </c>
      <c r="DU118" s="57">
        <f t="shared" si="98"/>
        <v>195.48048518255354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17.762086050044179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17.762086050044179</v>
      </c>
      <c r="EE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319</v>
      </c>
      <c r="EK118" s="17">
        <f>EJ118*VLOOKUP('Données projet'!$B$15,Paramètres!$A$1:$I$89,3,0)*VLOOKUP('Données projet'!$B$15,Paramètres!$A$1:$I$89,5,0)</f>
        <v>258.77280000000002</v>
      </c>
      <c r="EL118" s="13">
        <f t="shared" si="99"/>
        <v>62.460716522234691</v>
      </c>
      <c r="EM118" s="20">
        <f t="shared" si="73"/>
        <v>559.48170794289206</v>
      </c>
      <c r="EN118" s="57">
        <f t="shared" si="74"/>
        <v>852.81504127622543</v>
      </c>
      <c r="EO118" s="57">
        <f ca="1">AVERAGE(OFFSET($EN$3,0,0,'Données projet'!$E$15+1,1))-AVERAGE(OFFSET($H$3,0,0,'Données projet'!$E$15+1,1))</f>
        <v>250.90550982248311</v>
      </c>
      <c r="EP118" s="57">
        <f t="shared" si="100"/>
        <v>254.68874167908001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21.991154157197535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21.991154157197535</v>
      </c>
      <c r="EZ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7" t="e">
        <f t="shared" si="77"/>
        <v>#N/A</v>
      </c>
      <c r="FJ118" s="57" t="e">
        <f ca="1">AVERAGE(OFFSET($FI$3,0,0,'Données projet'!$E$16+1,1))-AVERAGE(OFFSET($H$3,0,0,'Données projet'!$E$16+1,1))</f>
        <v>#N/A</v>
      </c>
      <c r="FK118" s="57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7" t="e">
        <f t="shared" si="80"/>
        <v>#N/A</v>
      </c>
      <c r="GE118" s="57" t="e">
        <f ca="1">AVERAGE(OFFSET($GD$3,0,0,'Données projet'!$E$17+1,1))-AVERAGE(OFFSET($H$3,0,0,'Données projet'!$E$17+1,1))</f>
        <v>#N/A</v>
      </c>
      <c r="GF118" s="57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7" t="e">
        <f t="shared" si="83"/>
        <v>#N/A</v>
      </c>
      <c r="GZ118" s="57" t="e">
        <f ca="1">AVERAGE(OFFSET($GY$3,0,0,'Données projet'!$E$18+1,1))-AVERAGE(OFFSET($H$3,0,0,'Données projet'!$E$18+1,1))</f>
        <v>#N/A</v>
      </c>
      <c r="HA118" s="57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0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4">
        <f t="shared" si="56"/>
        <v>517.34304358291536</v>
      </c>
      <c r="I119" s="6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258.61679999999996</v>
      </c>
      <c r="P119" s="13">
        <f t="shared" si="87"/>
        <v>62.427444141032439</v>
      </c>
      <c r="Q119" s="20">
        <f t="shared" si="107"/>
        <v>559.15205854563135</v>
      </c>
      <c r="R119" s="57">
        <f t="shared" si="55"/>
        <v>852.48539187896472</v>
      </c>
      <c r="S119" s="57">
        <f ca="1">AVERAGE(OFFSET($R$3,0,0,'Données projet'!$E$9+1,1))-AVERAGE(OFFSET($H$3,0,0,'Données projet'!$E$9+1,1))</f>
        <v>267.44861001389006</v>
      </c>
      <c r="T119" s="57">
        <f t="shared" si="88"/>
        <v>165.25921510802965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91.366567571650393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91.366567571650393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306.99999999999994</v>
      </c>
      <c r="AJ119" s="13">
        <f>AI119*VLOOKUP('Données projet'!$B$10,Paramètres!$A$1:$I$89,3,0)*VLOOKUP('Données projet'!$B$10,Paramètres!$A$1:$I$89,5,0)</f>
        <v>277.77359999999993</v>
      </c>
      <c r="AK119" s="13">
        <f t="shared" si="89"/>
        <v>66.496288176842356</v>
      </c>
      <c r="AL119" s="20">
        <f t="shared" si="58"/>
        <v>599.60338857466706</v>
      </c>
      <c r="AM119" s="57">
        <f t="shared" si="59"/>
        <v>892.93672190800044</v>
      </c>
      <c r="AN119" s="57">
        <f ca="1">AVERAGE(OFFSET($AM$3,0,0,'Données projet'!$E$10+1,1))-AVERAGE(OFFSET($H$3,0,0,'Données projet'!$E$10+1,1))</f>
        <v>294.92430430387071</v>
      </c>
      <c r="AO119" s="57">
        <f t="shared" si="90"/>
        <v>181.52228471516497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98.134461465846726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98.134461465846726</v>
      </c>
      <c r="AY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319</v>
      </c>
      <c r="BE119" s="13">
        <f>BD119*VLOOKUP('Données projet'!$B$11,Paramètres!$A$1:$I$89,3,0)*VLOOKUP('Données projet'!$B$11,Paramètres!$A$1:$I$89,5,0)</f>
        <v>258.77280000000002</v>
      </c>
      <c r="BF119" s="13">
        <f t="shared" si="91"/>
        <v>62.460716522234691</v>
      </c>
      <c r="BG119" s="20">
        <f t="shared" si="61"/>
        <v>559.48170794289206</v>
      </c>
      <c r="BH119" s="57">
        <f t="shared" si="62"/>
        <v>852.81504127622543</v>
      </c>
      <c r="BI119" s="57">
        <f ca="1">AVERAGE(OFFSET($BH$3,0,0,'Données projet'!$E$11+1,1))-AVERAGE(OFFSET($H$3,0,0,'Données projet'!$E$11+1,1))</f>
        <v>250.90550982248311</v>
      </c>
      <c r="BJ119" s="57">
        <f t="shared" si="92"/>
        <v>254.68874167908001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21.559921037454476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21.559921037454476</v>
      </c>
      <c r="BT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739.99999999999966</v>
      </c>
      <c r="BZ119" s="13">
        <f>BY119*VLOOKUP('Données projet'!$B$12,Paramètres!$A$1:$I$89,3,0)*VLOOKUP('Données projet'!$B$12,Paramètres!$A$1:$I$89,5,0)</f>
        <v>413.65999999999985</v>
      </c>
      <c r="CA119" s="13">
        <f t="shared" si="93"/>
        <v>94.540585122244352</v>
      </c>
      <c r="CB119" s="20">
        <f t="shared" si="64"/>
        <v>885.11601908790863</v>
      </c>
      <c r="CC119" s="57">
        <f t="shared" si="65"/>
        <v>1178.4493524212419</v>
      </c>
      <c r="CD119" s="57">
        <f ca="1">AVERAGE(OFFSET($CC$3,0,0,'Données projet'!$E$12+1,1))-AVERAGE(OFFSET($H$3,0,0,'Données projet'!$E$12+1,1))</f>
        <v>462.54745364638171</v>
      </c>
      <c r="CE119" s="57">
        <f t="shared" si="94"/>
        <v>571.50914830067313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40.738515486077247</v>
      </c>
      <c r="CL119" s="21">
        <f>EXP(-LN(2)/25)*CL118+(1-EXP(-LN(2)/25))/(LN(2)/25)*Calculateur!CG119*Calculateur!CI119*VLOOKUP('Données projet'!$B$12,Paramètres!$A$1:$I$89,3,0)*0.475*44/12</f>
        <v>5.3241071116349223</v>
      </c>
      <c r="CM119" s="21">
        <f>EXP(-LN(2)/2)*CM118+(1-EXP(-LN(2)/2))/(LN(2)/2)*CG119*CJ119*VLOOKUP('Données projet'!$B$12,Paramètres!$A$1:$I$89,3,0)*0.475*44/12</f>
        <v>9.6688764499375015E-14</v>
      </c>
      <c r="CN119" s="22">
        <f t="shared" si="66"/>
        <v>46.06262259771227</v>
      </c>
      <c r="CO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245.99999999999994</v>
      </c>
      <c r="CU119" s="17">
        <f>CT119*VLOOKUP('Données projet'!$B$13,Paramètres!$A$1:$I$89,3,0)*VLOOKUP('Données projet'!$B$13,Paramètres!$A$1:$I$89,5,0)</f>
        <v>234.09359999999998</v>
      </c>
      <c r="CV119" s="13">
        <f t="shared" si="95"/>
        <v>57.166902703920208</v>
      </c>
      <c r="CW119" s="20">
        <f t="shared" si="67"/>
        <v>507.27870887599425</v>
      </c>
      <c r="CX119" s="57">
        <f t="shared" si="68"/>
        <v>800.61204220932757</v>
      </c>
      <c r="CY119" s="57">
        <f ca="1">AVERAGE(OFFSET($CX$3,0,0,'Données projet'!$E$13+1,1))-AVERAGE(OFFSET($H$3,0,0,'Données projet'!$E$13+1,1))</f>
        <v>314.67680626853303</v>
      </c>
      <c r="CZ119" s="57">
        <f t="shared" si="96"/>
        <v>372.57247561536263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76.449301156876103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76.449301156876103</v>
      </c>
      <c r="DJ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319</v>
      </c>
      <c r="DP119" s="17">
        <f>DO119*VLOOKUP('Données projet'!$B$14,Paramètres!$A$1:$I$89,3,0)*VLOOKUP('Données projet'!$B$14,Paramètres!$A$1:$I$89,5,0)</f>
        <v>209.00879999999998</v>
      </c>
      <c r="DQ119" s="13">
        <f t="shared" si="97"/>
        <v>51.718923953824202</v>
      </c>
      <c r="DR119" s="20">
        <f t="shared" si="70"/>
        <v>454.10078588624373</v>
      </c>
      <c r="DS119" s="57">
        <f t="shared" si="71"/>
        <v>747.43411921957704</v>
      </c>
      <c r="DT119" s="57">
        <f ca="1">AVERAGE(OFFSET($DS$3,0,0,'Données projet'!$E$14+1,1))-AVERAGE(OFFSET($H$3,0,0,'Données projet'!$E$14+1,1))</f>
        <v>188.80259324758066</v>
      </c>
      <c r="DU119" s="57">
        <f t="shared" si="98"/>
        <v>195.48048518255354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17.413782376405553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17.413782376405553</v>
      </c>
      <c r="EE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319</v>
      </c>
      <c r="EK119" s="17">
        <f>EJ119*VLOOKUP('Données projet'!$B$15,Paramètres!$A$1:$I$89,3,0)*VLOOKUP('Données projet'!$B$15,Paramètres!$A$1:$I$89,5,0)</f>
        <v>258.77280000000002</v>
      </c>
      <c r="EL119" s="13">
        <f t="shared" si="99"/>
        <v>62.460716522234691</v>
      </c>
      <c r="EM119" s="20">
        <f t="shared" si="73"/>
        <v>559.48170794289206</v>
      </c>
      <c r="EN119" s="57">
        <f t="shared" si="74"/>
        <v>852.81504127622543</v>
      </c>
      <c r="EO119" s="57">
        <f ca="1">AVERAGE(OFFSET($EN$3,0,0,'Données projet'!$E$15+1,1))-AVERAGE(OFFSET($H$3,0,0,'Données projet'!$E$15+1,1))</f>
        <v>250.90550982248311</v>
      </c>
      <c r="EP119" s="57">
        <f t="shared" si="100"/>
        <v>254.68874167908001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21.559921037454476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21.559921037454476</v>
      </c>
      <c r="EZ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7" t="e">
        <f t="shared" si="77"/>
        <v>#N/A</v>
      </c>
      <c r="FJ119" s="57" t="e">
        <f ca="1">AVERAGE(OFFSET($FI$3,0,0,'Données projet'!$E$16+1,1))-AVERAGE(OFFSET($H$3,0,0,'Données projet'!$E$16+1,1))</f>
        <v>#N/A</v>
      </c>
      <c r="FK119" s="57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7" t="e">
        <f t="shared" si="80"/>
        <v>#N/A</v>
      </c>
      <c r="GE119" s="57" t="e">
        <f ca="1">AVERAGE(OFFSET($GD$3,0,0,'Données projet'!$E$17+1,1))-AVERAGE(OFFSET($H$3,0,0,'Données projet'!$E$17+1,1))</f>
        <v>#N/A</v>
      </c>
      <c r="GF119" s="57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7" t="e">
        <f t="shared" si="83"/>
        <v>#N/A</v>
      </c>
      <c r="GZ119" s="57" t="e">
        <f ca="1">AVERAGE(OFFSET($GY$3,0,0,'Données projet'!$E$18+1,1))-AVERAGE(OFFSET($H$3,0,0,'Données projet'!$E$18+1,1))</f>
        <v>#N/A</v>
      </c>
      <c r="HA119" s="57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0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4">
        <f t="shared" si="56"/>
        <v>519.22630354060152</v>
      </c>
      <c r="I120" s="6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258.61679999999996</v>
      </c>
      <c r="P120" s="13">
        <f t="shared" si="87"/>
        <v>62.427444141032439</v>
      </c>
      <c r="Q120" s="20">
        <f t="shared" si="107"/>
        <v>559.15205854563135</v>
      </c>
      <c r="R120" s="57">
        <f t="shared" si="55"/>
        <v>852.48539187896472</v>
      </c>
      <c r="S120" s="57">
        <f ca="1">AVERAGE(OFFSET($R$3,0,0,'Données projet'!$E$9+1,1))-AVERAGE(OFFSET($H$3,0,0,'Données projet'!$E$9+1,1))</f>
        <v>267.44861001389006</v>
      </c>
      <c r="T120" s="57">
        <f t="shared" si="88"/>
        <v>165.25921510802965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89.574924909673854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89.574924909673854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306.99999999999994</v>
      </c>
      <c r="AJ120" s="13">
        <f>AI120*VLOOKUP('Données projet'!$B$10,Paramètres!$A$1:$I$89,3,0)*VLOOKUP('Données projet'!$B$10,Paramètres!$A$1:$I$89,5,0)</f>
        <v>277.77359999999993</v>
      </c>
      <c r="AK120" s="13">
        <f t="shared" si="89"/>
        <v>66.496288176842356</v>
      </c>
      <c r="AL120" s="20">
        <f t="shared" si="58"/>
        <v>599.60338857466706</v>
      </c>
      <c r="AM120" s="57">
        <f t="shared" si="59"/>
        <v>892.93672190800044</v>
      </c>
      <c r="AN120" s="57">
        <f ca="1">AVERAGE(OFFSET($AM$3,0,0,'Données projet'!$E$10+1,1))-AVERAGE(OFFSET($H$3,0,0,'Données projet'!$E$10+1,1))</f>
        <v>294.92430430387071</v>
      </c>
      <c r="AO120" s="57">
        <f t="shared" si="90"/>
        <v>181.52228471516497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96.210104532612661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96.210104532612661</v>
      </c>
      <c r="AY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319</v>
      </c>
      <c r="BE120" s="13">
        <f>BD120*VLOOKUP('Données projet'!$B$11,Paramètres!$A$1:$I$89,3,0)*VLOOKUP('Données projet'!$B$11,Paramètres!$A$1:$I$89,5,0)</f>
        <v>258.77280000000002</v>
      </c>
      <c r="BF120" s="13">
        <f t="shared" si="91"/>
        <v>62.460716522234691</v>
      </c>
      <c r="BG120" s="20">
        <f t="shared" si="61"/>
        <v>559.48170794289206</v>
      </c>
      <c r="BH120" s="57">
        <f t="shared" si="62"/>
        <v>852.81504127622543</v>
      </c>
      <c r="BI120" s="57">
        <f ca="1">AVERAGE(OFFSET($BH$3,0,0,'Données projet'!$E$11+1,1))-AVERAGE(OFFSET($H$3,0,0,'Données projet'!$E$11+1,1))</f>
        <v>250.90550982248311</v>
      </c>
      <c r="BJ120" s="57">
        <f t="shared" si="92"/>
        <v>254.68874167908001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21.137144136163347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21.137144136163347</v>
      </c>
      <c r="BT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739.99999999999966</v>
      </c>
      <c r="BZ120" s="13">
        <f>BY120*VLOOKUP('Données projet'!$B$12,Paramètres!$A$1:$I$89,3,0)*VLOOKUP('Données projet'!$B$12,Paramètres!$A$1:$I$89,5,0)</f>
        <v>413.65999999999985</v>
      </c>
      <c r="CA120" s="13">
        <f t="shared" si="93"/>
        <v>94.540585122244352</v>
      </c>
      <c r="CB120" s="20">
        <f t="shared" si="64"/>
        <v>885.11601908790863</v>
      </c>
      <c r="CC120" s="57">
        <f t="shared" si="65"/>
        <v>1178.4493524212419</v>
      </c>
      <c r="CD120" s="57">
        <f ca="1">AVERAGE(OFFSET($CC$3,0,0,'Données projet'!$E$12+1,1))-AVERAGE(OFFSET($H$3,0,0,'Données projet'!$E$12+1,1))</f>
        <v>462.54745364638171</v>
      </c>
      <c r="CE120" s="57">
        <f t="shared" si="94"/>
        <v>571.50914830067313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39.939658045436175</v>
      </c>
      <c r="CL120" s="21">
        <f>EXP(-LN(2)/25)*CL119+(1-EXP(-LN(2)/25))/(LN(2)/25)*Calculateur!CG120*Calculateur!CI120*VLOOKUP('Données projet'!$B$12,Paramètres!$A$1:$I$89,3,0)*0.475*44/12</f>
        <v>5.1785191226846408</v>
      </c>
      <c r="CM120" s="21">
        <f>EXP(-LN(2)/2)*CM119+(1-EXP(-LN(2)/2))/(LN(2)/2)*CG120*CJ120*VLOOKUP('Données projet'!$B$12,Paramètres!$A$1:$I$89,3,0)*0.475*44/12</f>
        <v>6.8369281042057191E-14</v>
      </c>
      <c r="CN120" s="22">
        <f t="shared" si="66"/>
        <v>45.118177168120887</v>
      </c>
      <c r="CO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245.99999999999994</v>
      </c>
      <c r="CU120" s="17">
        <f>CT120*VLOOKUP('Données projet'!$B$13,Paramètres!$A$1:$I$89,3,0)*VLOOKUP('Données projet'!$B$13,Paramètres!$A$1:$I$89,5,0)</f>
        <v>234.09359999999998</v>
      </c>
      <c r="CV120" s="13">
        <f t="shared" si="95"/>
        <v>57.166902703920208</v>
      </c>
      <c r="CW120" s="20">
        <f t="shared" si="67"/>
        <v>507.27870887599425</v>
      </c>
      <c r="CX120" s="57">
        <f t="shared" si="68"/>
        <v>800.61204220932757</v>
      </c>
      <c r="CY120" s="57">
        <f ca="1">AVERAGE(OFFSET($CX$3,0,0,'Données projet'!$E$13+1,1))-AVERAGE(OFFSET($H$3,0,0,'Données projet'!$E$13+1,1))</f>
        <v>314.67680626853303</v>
      </c>
      <c r="CZ120" s="57">
        <f t="shared" si="96"/>
        <v>372.57247561536263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74.950176990659187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74.950176990659187</v>
      </c>
      <c r="DJ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319</v>
      </c>
      <c r="DP120" s="17">
        <f>DO120*VLOOKUP('Données projet'!$B$14,Paramètres!$A$1:$I$89,3,0)*VLOOKUP('Données projet'!$B$14,Paramètres!$A$1:$I$89,5,0)</f>
        <v>209.00879999999998</v>
      </c>
      <c r="DQ120" s="13">
        <f t="shared" si="97"/>
        <v>51.718923953824202</v>
      </c>
      <c r="DR120" s="20">
        <f t="shared" si="70"/>
        <v>454.10078588624373</v>
      </c>
      <c r="DS120" s="57">
        <f t="shared" si="71"/>
        <v>747.43411921957704</v>
      </c>
      <c r="DT120" s="57">
        <f ca="1">AVERAGE(OFFSET($DS$3,0,0,'Données projet'!$E$14+1,1))-AVERAGE(OFFSET($H$3,0,0,'Données projet'!$E$14+1,1))</f>
        <v>188.80259324758066</v>
      </c>
      <c r="DU120" s="57">
        <f t="shared" si="98"/>
        <v>195.48048518255354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17.072308725362717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17.072308725362717</v>
      </c>
      <c r="EE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319</v>
      </c>
      <c r="EK120" s="17">
        <f>EJ120*VLOOKUP('Données projet'!$B$15,Paramètres!$A$1:$I$89,3,0)*VLOOKUP('Données projet'!$B$15,Paramètres!$A$1:$I$89,5,0)</f>
        <v>258.77280000000002</v>
      </c>
      <c r="EL120" s="13">
        <f t="shared" si="99"/>
        <v>62.460716522234691</v>
      </c>
      <c r="EM120" s="20">
        <f t="shared" si="73"/>
        <v>559.48170794289206</v>
      </c>
      <c r="EN120" s="57">
        <f t="shared" si="74"/>
        <v>852.81504127622543</v>
      </c>
      <c r="EO120" s="57">
        <f ca="1">AVERAGE(OFFSET($EN$3,0,0,'Données projet'!$E$15+1,1))-AVERAGE(OFFSET($H$3,0,0,'Données projet'!$E$15+1,1))</f>
        <v>250.90550982248311</v>
      </c>
      <c r="EP120" s="57">
        <f t="shared" si="100"/>
        <v>254.68874167908001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21.137144136163347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21.137144136163347</v>
      </c>
      <c r="EZ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7" t="e">
        <f t="shared" si="77"/>
        <v>#N/A</v>
      </c>
      <c r="FJ120" s="57" t="e">
        <f ca="1">AVERAGE(OFFSET($FI$3,0,0,'Données projet'!$E$16+1,1))-AVERAGE(OFFSET($H$3,0,0,'Données projet'!$E$16+1,1))</f>
        <v>#N/A</v>
      </c>
      <c r="FK120" s="57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7" t="e">
        <f t="shared" si="80"/>
        <v>#N/A</v>
      </c>
      <c r="GE120" s="57" t="e">
        <f ca="1">AVERAGE(OFFSET($GD$3,0,0,'Données projet'!$E$17+1,1))-AVERAGE(OFFSET($H$3,0,0,'Données projet'!$E$17+1,1))</f>
        <v>#N/A</v>
      </c>
      <c r="GF120" s="57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7" t="e">
        <f t="shared" si="83"/>
        <v>#N/A</v>
      </c>
      <c r="GZ120" s="57" t="e">
        <f ca="1">AVERAGE(OFFSET($GY$3,0,0,'Données projet'!$E$18+1,1))-AVERAGE(OFFSET($H$3,0,0,'Données projet'!$E$18+1,1))</f>
        <v>#N/A</v>
      </c>
      <c r="HA120" s="57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0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4">
        <f t="shared" si="56"/>
        <v>521.10920378773471</v>
      </c>
      <c r="I121" s="6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258.61679999999996</v>
      </c>
      <c r="P121" s="13">
        <f t="shared" si="87"/>
        <v>62.427444141032439</v>
      </c>
      <c r="Q121" s="20">
        <f t="shared" si="107"/>
        <v>559.15205854563135</v>
      </c>
      <c r="R121" s="57">
        <f t="shared" si="55"/>
        <v>852.48539187896472</v>
      </c>
      <c r="S121" s="57">
        <f ca="1">AVERAGE(OFFSET($R$3,0,0,'Données projet'!$E$9+1,1))-AVERAGE(OFFSET($H$3,0,0,'Données projet'!$E$9+1,1))</f>
        <v>267.44861001389006</v>
      </c>
      <c r="T121" s="57">
        <f t="shared" si="88"/>
        <v>165.25921510802965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87.818415267504562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87.818415267504562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306.99999999999994</v>
      </c>
      <c r="AJ121" s="13">
        <f>AI121*VLOOKUP('Données projet'!$B$10,Paramètres!$A$1:$I$89,3,0)*VLOOKUP('Données projet'!$B$10,Paramètres!$A$1:$I$89,5,0)</f>
        <v>277.77359999999993</v>
      </c>
      <c r="AK121" s="13">
        <f t="shared" si="89"/>
        <v>66.496288176842356</v>
      </c>
      <c r="AL121" s="20">
        <f t="shared" si="58"/>
        <v>599.60338857466706</v>
      </c>
      <c r="AM121" s="57">
        <f t="shared" si="59"/>
        <v>892.93672190800044</v>
      </c>
      <c r="AN121" s="57">
        <f ca="1">AVERAGE(OFFSET($AM$3,0,0,'Données projet'!$E$10+1,1))-AVERAGE(OFFSET($H$3,0,0,'Données projet'!$E$10+1,1))</f>
        <v>294.92430430387071</v>
      </c>
      <c r="AO121" s="57">
        <f t="shared" si="90"/>
        <v>181.52228471516497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94.323483065097491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94.323483065097491</v>
      </c>
      <c r="AY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319</v>
      </c>
      <c r="BE121" s="13">
        <f>BD121*VLOOKUP('Données projet'!$B$11,Paramètres!$A$1:$I$89,3,0)*VLOOKUP('Données projet'!$B$11,Paramètres!$A$1:$I$89,5,0)</f>
        <v>258.77280000000002</v>
      </c>
      <c r="BF121" s="13">
        <f t="shared" si="91"/>
        <v>62.460716522234691</v>
      </c>
      <c r="BG121" s="20">
        <f t="shared" si="61"/>
        <v>559.48170794289206</v>
      </c>
      <c r="BH121" s="57">
        <f t="shared" si="62"/>
        <v>852.81504127622543</v>
      </c>
      <c r="BI121" s="57">
        <f ca="1">AVERAGE(OFFSET($BH$3,0,0,'Données projet'!$E$11+1,1))-AVERAGE(OFFSET($H$3,0,0,'Données projet'!$E$11+1,1))</f>
        <v>250.90550982248311</v>
      </c>
      <c r="BJ121" s="57">
        <f t="shared" si="92"/>
        <v>254.68874167908001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20.722657632038089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20.722657632038089</v>
      </c>
      <c r="BT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739.99999999999966</v>
      </c>
      <c r="BZ121" s="13">
        <f>BY121*VLOOKUP('Données projet'!$B$12,Paramètres!$A$1:$I$89,3,0)*VLOOKUP('Données projet'!$B$12,Paramètres!$A$1:$I$89,5,0)</f>
        <v>413.65999999999985</v>
      </c>
      <c r="CA121" s="13">
        <f t="shared" si="93"/>
        <v>94.540585122244352</v>
      </c>
      <c r="CB121" s="20">
        <f t="shared" si="64"/>
        <v>885.11601908790863</v>
      </c>
      <c r="CC121" s="57">
        <f t="shared" si="65"/>
        <v>1178.4493524212419</v>
      </c>
      <c r="CD121" s="57">
        <f ca="1">AVERAGE(OFFSET($CC$3,0,0,'Données projet'!$E$12+1,1))-AVERAGE(OFFSET($H$3,0,0,'Données projet'!$E$12+1,1))</f>
        <v>462.54745364638171</v>
      </c>
      <c r="CE121" s="57">
        <f t="shared" si="94"/>
        <v>571.50914830067313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39.156465711951149</v>
      </c>
      <c r="CL121" s="21">
        <f>EXP(-LN(2)/25)*CL120+(1-EXP(-LN(2)/25))/(LN(2)/25)*Calculateur!CG121*Calculateur!CI121*VLOOKUP('Données projet'!$B$12,Paramètres!$A$1:$I$89,3,0)*0.475*44/12</f>
        <v>5.0369122449483443</v>
      </c>
      <c r="CM121" s="21">
        <f>EXP(-LN(2)/2)*CM120+(1-EXP(-LN(2)/2))/(LN(2)/2)*CG121*CJ121*VLOOKUP('Données projet'!$B$12,Paramètres!$A$1:$I$89,3,0)*0.475*44/12</f>
        <v>4.8344382249687507E-14</v>
      </c>
      <c r="CN121" s="22">
        <f t="shared" si="66"/>
        <v>44.193377956899546</v>
      </c>
      <c r="CO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245.99999999999994</v>
      </c>
      <c r="CU121" s="17">
        <f>CT121*VLOOKUP('Données projet'!$B$13,Paramètres!$A$1:$I$89,3,0)*VLOOKUP('Données projet'!$B$13,Paramètres!$A$1:$I$89,5,0)</f>
        <v>234.09359999999998</v>
      </c>
      <c r="CV121" s="13">
        <f t="shared" si="95"/>
        <v>57.166902703920208</v>
      </c>
      <c r="CW121" s="20">
        <f t="shared" si="67"/>
        <v>507.27870887599425</v>
      </c>
      <c r="CX121" s="57">
        <f t="shared" si="68"/>
        <v>800.61204220932757</v>
      </c>
      <c r="CY121" s="57">
        <f ca="1">AVERAGE(OFFSET($CX$3,0,0,'Données projet'!$E$13+1,1))-AVERAGE(OFFSET($H$3,0,0,'Données projet'!$E$13+1,1))</f>
        <v>314.67680626853303</v>
      </c>
      <c r="CZ121" s="57">
        <f t="shared" si="96"/>
        <v>372.57247561536263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73.480449734966328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73.480449734966328</v>
      </c>
      <c r="DJ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319</v>
      </c>
      <c r="DP121" s="17">
        <f>DO121*VLOOKUP('Données projet'!$B$14,Paramètres!$A$1:$I$89,3,0)*VLOOKUP('Données projet'!$B$14,Paramètres!$A$1:$I$89,5,0)</f>
        <v>209.00879999999998</v>
      </c>
      <c r="DQ121" s="13">
        <f t="shared" si="97"/>
        <v>51.718923953824202</v>
      </c>
      <c r="DR121" s="20">
        <f t="shared" si="70"/>
        <v>454.10078588624373</v>
      </c>
      <c r="DS121" s="57">
        <f t="shared" si="71"/>
        <v>747.43411921957704</v>
      </c>
      <c r="DT121" s="57">
        <f ca="1">AVERAGE(OFFSET($DS$3,0,0,'Données projet'!$E$14+1,1))-AVERAGE(OFFSET($H$3,0,0,'Données projet'!$E$14+1,1))</f>
        <v>188.80259324758066</v>
      </c>
      <c r="DU121" s="57">
        <f t="shared" si="98"/>
        <v>195.48048518255354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16.737531164338471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16.737531164338471</v>
      </c>
      <c r="EE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319</v>
      </c>
      <c r="EK121" s="17">
        <f>EJ121*VLOOKUP('Données projet'!$B$15,Paramètres!$A$1:$I$89,3,0)*VLOOKUP('Données projet'!$B$15,Paramètres!$A$1:$I$89,5,0)</f>
        <v>258.77280000000002</v>
      </c>
      <c r="EL121" s="13">
        <f t="shared" si="99"/>
        <v>62.460716522234691</v>
      </c>
      <c r="EM121" s="20">
        <f t="shared" si="73"/>
        <v>559.48170794289206</v>
      </c>
      <c r="EN121" s="57">
        <f t="shared" si="74"/>
        <v>852.81504127622543</v>
      </c>
      <c r="EO121" s="57">
        <f ca="1">AVERAGE(OFFSET($EN$3,0,0,'Données projet'!$E$15+1,1))-AVERAGE(OFFSET($H$3,0,0,'Données projet'!$E$15+1,1))</f>
        <v>250.90550982248311</v>
      </c>
      <c r="EP121" s="57">
        <f t="shared" si="100"/>
        <v>254.68874167908001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20.722657632038089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20.722657632038089</v>
      </c>
      <c r="EZ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7" t="e">
        <f t="shared" si="77"/>
        <v>#N/A</v>
      </c>
      <c r="FJ121" s="57" t="e">
        <f ca="1">AVERAGE(OFFSET($FI$3,0,0,'Données projet'!$E$16+1,1))-AVERAGE(OFFSET($H$3,0,0,'Données projet'!$E$16+1,1))</f>
        <v>#N/A</v>
      </c>
      <c r="FK121" s="57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7" t="e">
        <f t="shared" si="80"/>
        <v>#N/A</v>
      </c>
      <c r="GE121" s="57" t="e">
        <f ca="1">AVERAGE(OFFSET($GD$3,0,0,'Données projet'!$E$17+1,1))-AVERAGE(OFFSET($H$3,0,0,'Données projet'!$E$17+1,1))</f>
        <v>#N/A</v>
      </c>
      <c r="GF121" s="57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7" t="e">
        <f t="shared" si="83"/>
        <v>#N/A</v>
      </c>
      <c r="GZ121" s="57" t="e">
        <f ca="1">AVERAGE(OFFSET($GY$3,0,0,'Données projet'!$E$18+1,1))-AVERAGE(OFFSET($H$3,0,0,'Données projet'!$E$18+1,1))</f>
        <v>#N/A</v>
      </c>
      <c r="HA121" s="57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0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4">
        <f t="shared" si="56"/>
        <v>522.99174772594654</v>
      </c>
      <c r="I122" s="6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258.61679999999996</v>
      </c>
      <c r="P122" s="13">
        <f t="shared" si="87"/>
        <v>62.427444141032439</v>
      </c>
      <c r="Q122" s="20">
        <f t="shared" si="107"/>
        <v>559.15205854563135</v>
      </c>
      <c r="R122" s="57">
        <f t="shared" si="55"/>
        <v>852.48539187896472</v>
      </c>
      <c r="S122" s="57">
        <f ca="1">AVERAGE(OFFSET($R$3,0,0,'Données projet'!$E$9+1,1))-AVERAGE(OFFSET($H$3,0,0,'Données projet'!$E$9+1,1))</f>
        <v>267.44861001389006</v>
      </c>
      <c r="T122" s="57">
        <f t="shared" si="88"/>
        <v>165.25921510802965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86.096349708053111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86.096349708053111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306.99999999999994</v>
      </c>
      <c r="AJ122" s="13">
        <f>AI122*VLOOKUP('Données projet'!$B$10,Paramètres!$A$1:$I$89,3,0)*VLOOKUP('Données projet'!$B$10,Paramètres!$A$1:$I$89,5,0)</f>
        <v>277.77359999999993</v>
      </c>
      <c r="AK122" s="13">
        <f t="shared" si="89"/>
        <v>66.496288176842356</v>
      </c>
      <c r="AL122" s="20">
        <f t="shared" si="58"/>
        <v>599.60338857466706</v>
      </c>
      <c r="AM122" s="57">
        <f t="shared" si="59"/>
        <v>892.93672190800044</v>
      </c>
      <c r="AN122" s="57">
        <f ca="1">AVERAGE(OFFSET($AM$3,0,0,'Données projet'!$E$10+1,1))-AVERAGE(OFFSET($H$3,0,0,'Données projet'!$E$10+1,1))</f>
        <v>294.92430430387071</v>
      </c>
      <c r="AO122" s="57">
        <f t="shared" si="90"/>
        <v>181.52228471516497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92.473857093834823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92.473857093834823</v>
      </c>
      <c r="AY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319</v>
      </c>
      <c r="BE122" s="13">
        <f>BD122*VLOOKUP('Données projet'!$B$11,Paramètres!$A$1:$I$89,3,0)*VLOOKUP('Données projet'!$B$11,Paramètres!$A$1:$I$89,5,0)</f>
        <v>258.77280000000002</v>
      </c>
      <c r="BF122" s="13">
        <f t="shared" si="91"/>
        <v>62.460716522234691</v>
      </c>
      <c r="BG122" s="20">
        <f t="shared" si="61"/>
        <v>559.48170794289206</v>
      </c>
      <c r="BH122" s="57">
        <f t="shared" si="62"/>
        <v>852.81504127622543</v>
      </c>
      <c r="BI122" s="57">
        <f ca="1">AVERAGE(OFFSET($BH$3,0,0,'Données projet'!$E$11+1,1))-AVERAGE(OFFSET($H$3,0,0,'Données projet'!$E$11+1,1))</f>
        <v>250.90550982248311</v>
      </c>
      <c r="BJ122" s="57">
        <f t="shared" si="92"/>
        <v>254.68874167908001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20.316298955446925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20.316298955446925</v>
      </c>
      <c r="BT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739.99999999999966</v>
      </c>
      <c r="BZ122" s="13">
        <f>BY122*VLOOKUP('Données projet'!$B$12,Paramètres!$A$1:$I$89,3,0)*VLOOKUP('Données projet'!$B$12,Paramètres!$A$1:$I$89,5,0)</f>
        <v>413.65999999999985</v>
      </c>
      <c r="CA122" s="13">
        <f t="shared" si="93"/>
        <v>94.540585122244352</v>
      </c>
      <c r="CB122" s="20">
        <f t="shared" si="64"/>
        <v>885.11601908790863</v>
      </c>
      <c r="CC122" s="57">
        <f t="shared" si="65"/>
        <v>1178.4493524212419</v>
      </c>
      <c r="CD122" s="57">
        <f ca="1">AVERAGE(OFFSET($CC$3,0,0,'Données projet'!$E$12+1,1))-AVERAGE(OFFSET($H$3,0,0,'Données projet'!$E$12+1,1))</f>
        <v>462.54745364638171</v>
      </c>
      <c r="CE122" s="57">
        <f t="shared" si="94"/>
        <v>571.50914830067313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38.388631302425615</v>
      </c>
      <c r="CL122" s="21">
        <f>EXP(-LN(2)/25)*CL121+(1-EXP(-LN(2)/25))/(LN(2)/25)*Calculateur!CG122*Calculateur!CI122*VLOOKUP('Données projet'!$B$12,Paramètres!$A$1:$I$89,3,0)*0.475*44/12</f>
        <v>4.8991776147305286</v>
      </c>
      <c r="CM122" s="21">
        <f>EXP(-LN(2)/2)*CM121+(1-EXP(-LN(2)/2))/(LN(2)/2)*CG122*CJ122*VLOOKUP('Données projet'!$B$12,Paramètres!$A$1:$I$89,3,0)*0.475*44/12</f>
        <v>3.4184640521028596E-14</v>
      </c>
      <c r="CN122" s="22">
        <f t="shared" si="66"/>
        <v>43.287808917156177</v>
      </c>
      <c r="CO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245.99999999999994</v>
      </c>
      <c r="CU122" s="17">
        <f>CT122*VLOOKUP('Données projet'!$B$13,Paramètres!$A$1:$I$89,3,0)*VLOOKUP('Données projet'!$B$13,Paramètres!$A$1:$I$89,5,0)</f>
        <v>234.09359999999998</v>
      </c>
      <c r="CV122" s="13">
        <f t="shared" si="95"/>
        <v>57.166902703920208</v>
      </c>
      <c r="CW122" s="20">
        <f t="shared" si="67"/>
        <v>507.27870887599425</v>
      </c>
      <c r="CX122" s="57">
        <f t="shared" si="68"/>
        <v>800.61204220932757</v>
      </c>
      <c r="CY122" s="57">
        <f ca="1">AVERAGE(OFFSET($CX$3,0,0,'Données projet'!$E$13+1,1))-AVERAGE(OFFSET($H$3,0,0,'Données projet'!$E$13+1,1))</f>
        <v>314.67680626853303</v>
      </c>
      <c r="CZ122" s="57">
        <f t="shared" si="96"/>
        <v>372.57247561536263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72.039542934312507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72.039542934312507</v>
      </c>
      <c r="DJ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319</v>
      </c>
      <c r="DP122" s="17">
        <f>DO122*VLOOKUP('Données projet'!$B$14,Paramètres!$A$1:$I$89,3,0)*VLOOKUP('Données projet'!$B$14,Paramètres!$A$1:$I$89,5,0)</f>
        <v>209.00879999999998</v>
      </c>
      <c r="DQ122" s="13">
        <f t="shared" si="97"/>
        <v>51.718923953824202</v>
      </c>
      <c r="DR122" s="20">
        <f t="shared" si="70"/>
        <v>454.10078588624373</v>
      </c>
      <c r="DS122" s="57">
        <f t="shared" si="71"/>
        <v>747.43411921957704</v>
      </c>
      <c r="DT122" s="57">
        <f ca="1">AVERAGE(OFFSET($DS$3,0,0,'Données projet'!$E$14+1,1))-AVERAGE(OFFSET($H$3,0,0,'Données projet'!$E$14+1,1))</f>
        <v>188.80259324758066</v>
      </c>
      <c r="DU122" s="57">
        <f t="shared" si="98"/>
        <v>195.48048518255354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16.409318387091758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16.409318387091758</v>
      </c>
      <c r="EE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319</v>
      </c>
      <c r="EK122" s="17">
        <f>EJ122*VLOOKUP('Données projet'!$B$15,Paramètres!$A$1:$I$89,3,0)*VLOOKUP('Données projet'!$B$15,Paramètres!$A$1:$I$89,5,0)</f>
        <v>258.77280000000002</v>
      </c>
      <c r="EL122" s="13">
        <f t="shared" si="99"/>
        <v>62.460716522234691</v>
      </c>
      <c r="EM122" s="20">
        <f t="shared" si="73"/>
        <v>559.48170794289206</v>
      </c>
      <c r="EN122" s="57">
        <f t="shared" si="74"/>
        <v>852.81504127622543</v>
      </c>
      <c r="EO122" s="57">
        <f ca="1">AVERAGE(OFFSET($EN$3,0,0,'Données projet'!$E$15+1,1))-AVERAGE(OFFSET($H$3,0,0,'Données projet'!$E$15+1,1))</f>
        <v>250.90550982248311</v>
      </c>
      <c r="EP122" s="57">
        <f t="shared" si="100"/>
        <v>254.68874167908001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20.316298955446925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20.316298955446925</v>
      </c>
      <c r="EZ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7" t="e">
        <f t="shared" si="77"/>
        <v>#N/A</v>
      </c>
      <c r="FJ122" s="57" t="e">
        <f ca="1">AVERAGE(OFFSET($FI$3,0,0,'Données projet'!$E$16+1,1))-AVERAGE(OFFSET($H$3,0,0,'Données projet'!$E$16+1,1))</f>
        <v>#N/A</v>
      </c>
      <c r="FK122" s="57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7" t="e">
        <f t="shared" si="80"/>
        <v>#N/A</v>
      </c>
      <c r="GE122" s="57" t="e">
        <f ca="1">AVERAGE(OFFSET($GD$3,0,0,'Données projet'!$E$17+1,1))-AVERAGE(OFFSET($H$3,0,0,'Données projet'!$E$17+1,1))</f>
        <v>#N/A</v>
      </c>
      <c r="GF122" s="57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7" t="e">
        <f t="shared" si="83"/>
        <v>#N/A</v>
      </c>
      <c r="GZ122" s="57" t="e">
        <f ca="1">AVERAGE(OFFSET($GY$3,0,0,'Données projet'!$E$18+1,1))-AVERAGE(OFFSET($H$3,0,0,'Données projet'!$E$18+1,1))</f>
        <v>#N/A</v>
      </c>
      <c r="HA122" s="57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0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4">
        <f t="shared" si="56"/>
        <v>524.873938696398</v>
      </c>
      <c r="I123" s="6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258.61679999999996</v>
      </c>
      <c r="P123" s="13">
        <f t="shared" si="87"/>
        <v>62.427444141032439</v>
      </c>
      <c r="Q123" s="20">
        <f t="shared" si="107"/>
        <v>559.15205854563135</v>
      </c>
      <c r="R123" s="57">
        <f t="shared" si="55"/>
        <v>852.48539187896472</v>
      </c>
      <c r="S123" s="57">
        <f ca="1">AVERAGE(OFFSET($R$3,0,0,'Données projet'!$E$9+1,1))-AVERAGE(OFFSET($H$3,0,0,'Données projet'!$E$9+1,1))</f>
        <v>267.44861001389006</v>
      </c>
      <c r="T123" s="57">
        <f t="shared" si="88"/>
        <v>165.25921510802965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84.408052803866227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84.408052803866227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306.99999999999994</v>
      </c>
      <c r="AJ123" s="13">
        <f>AI123*VLOOKUP('Données projet'!$B$10,Paramètres!$A$1:$I$89,3,0)*VLOOKUP('Données projet'!$B$10,Paramètres!$A$1:$I$89,5,0)</f>
        <v>277.77359999999993</v>
      </c>
      <c r="AK123" s="13">
        <f t="shared" si="89"/>
        <v>66.496288176842356</v>
      </c>
      <c r="AL123" s="20">
        <f t="shared" si="58"/>
        <v>599.60338857466706</v>
      </c>
      <c r="AM123" s="57">
        <f t="shared" si="59"/>
        <v>892.93672190800044</v>
      </c>
      <c r="AN123" s="57">
        <f ca="1">AVERAGE(OFFSET($AM$3,0,0,'Données projet'!$E$10+1,1))-AVERAGE(OFFSET($H$3,0,0,'Données projet'!$E$10+1,1))</f>
        <v>294.92430430387071</v>
      </c>
      <c r="AO123" s="57">
        <f t="shared" si="90"/>
        <v>181.52228471516497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90.660501159708161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90.660501159708161</v>
      </c>
      <c r="AY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319</v>
      </c>
      <c r="BE123" s="13">
        <f>BD123*VLOOKUP('Données projet'!$B$11,Paramètres!$A$1:$I$89,3,0)*VLOOKUP('Données projet'!$B$11,Paramètres!$A$1:$I$89,5,0)</f>
        <v>258.77280000000002</v>
      </c>
      <c r="BF123" s="13">
        <f t="shared" si="91"/>
        <v>62.460716522234691</v>
      </c>
      <c r="BG123" s="20">
        <f t="shared" si="61"/>
        <v>559.48170794289206</v>
      </c>
      <c r="BH123" s="57">
        <f t="shared" si="62"/>
        <v>852.81504127622543</v>
      </c>
      <c r="BI123" s="57">
        <f ca="1">AVERAGE(OFFSET($BH$3,0,0,'Données projet'!$E$11+1,1))-AVERAGE(OFFSET($H$3,0,0,'Données projet'!$E$11+1,1))</f>
        <v>250.90550982248311</v>
      </c>
      <c r="BJ123" s="57">
        <f t="shared" si="92"/>
        <v>254.68874167908001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19.917908724649394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19.917908724649394</v>
      </c>
      <c r="BT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739.99999999999966</v>
      </c>
      <c r="BZ123" s="13">
        <f>BY123*VLOOKUP('Données projet'!$B$12,Paramètres!$A$1:$I$89,3,0)*VLOOKUP('Données projet'!$B$12,Paramètres!$A$1:$I$89,5,0)</f>
        <v>413.65999999999985</v>
      </c>
      <c r="CA123" s="13">
        <f t="shared" si="93"/>
        <v>94.540585122244352</v>
      </c>
      <c r="CB123" s="20">
        <f t="shared" si="64"/>
        <v>885.11601908790863</v>
      </c>
      <c r="CC123" s="57">
        <f t="shared" si="65"/>
        <v>1178.4493524212419</v>
      </c>
      <c r="CD123" s="57">
        <f ca="1">AVERAGE(OFFSET($CC$3,0,0,'Données projet'!$E$12+1,1))-AVERAGE(OFFSET($H$3,0,0,'Données projet'!$E$12+1,1))</f>
        <v>462.54745364638171</v>
      </c>
      <c r="CE123" s="57">
        <f t="shared" si="94"/>
        <v>571.50914830067313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37.635853657338131</v>
      </c>
      <c r="CL123" s="21">
        <f>EXP(-LN(2)/25)*CL122+(1-EXP(-LN(2)/25))/(LN(2)/25)*Calculateur!CG123*Calculateur!CI123*VLOOKUP('Données projet'!$B$12,Paramètres!$A$1:$I$89,3,0)*0.475*44/12</f>
        <v>4.7652093452191684</v>
      </c>
      <c r="CM123" s="21">
        <f>EXP(-LN(2)/2)*CM122+(1-EXP(-LN(2)/2))/(LN(2)/2)*CG123*CJ123*VLOOKUP('Données projet'!$B$12,Paramètres!$A$1:$I$89,3,0)*0.475*44/12</f>
        <v>2.4172191124843754E-14</v>
      </c>
      <c r="CN123" s="22">
        <f t="shared" si="66"/>
        <v>42.401063002557322</v>
      </c>
      <c r="CO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245.99999999999994</v>
      </c>
      <c r="CU123" s="17">
        <f>CT123*VLOOKUP('Données projet'!$B$13,Paramètres!$A$1:$I$89,3,0)*VLOOKUP('Données projet'!$B$13,Paramètres!$A$1:$I$89,5,0)</f>
        <v>234.09359999999998</v>
      </c>
      <c r="CV123" s="13">
        <f t="shared" si="95"/>
        <v>57.166902703920208</v>
      </c>
      <c r="CW123" s="20">
        <f t="shared" si="67"/>
        <v>507.27870887599425</v>
      </c>
      <c r="CX123" s="57">
        <f t="shared" si="68"/>
        <v>800.61204220932757</v>
      </c>
      <c r="CY123" s="57">
        <f ca="1">AVERAGE(OFFSET($CX$3,0,0,'Données projet'!$E$13+1,1))-AVERAGE(OFFSET($H$3,0,0,'Données projet'!$E$13+1,1))</f>
        <v>314.67680626853303</v>
      </c>
      <c r="CZ123" s="57">
        <f t="shared" si="96"/>
        <v>372.57247561536263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70.626891437153134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70.626891437153134</v>
      </c>
      <c r="DJ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319</v>
      </c>
      <c r="DP123" s="17">
        <f>DO123*VLOOKUP('Données projet'!$B$14,Paramètres!$A$1:$I$89,3,0)*VLOOKUP('Données projet'!$B$14,Paramètres!$A$1:$I$89,5,0)</f>
        <v>209.00879999999998</v>
      </c>
      <c r="DQ123" s="13">
        <f t="shared" si="97"/>
        <v>51.718923953824202</v>
      </c>
      <c r="DR123" s="20">
        <f t="shared" si="70"/>
        <v>454.10078588624373</v>
      </c>
      <c r="DS123" s="57">
        <f t="shared" si="71"/>
        <v>747.43411921957704</v>
      </c>
      <c r="DT123" s="57">
        <f ca="1">AVERAGE(OFFSET($DS$3,0,0,'Données projet'!$E$14+1,1))-AVERAGE(OFFSET($H$3,0,0,'Données projet'!$E$14+1,1))</f>
        <v>188.80259324758066</v>
      </c>
      <c r="DU123" s="57">
        <f t="shared" si="98"/>
        <v>195.48048518255354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16.087541662216829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16.087541662216829</v>
      </c>
      <c r="EE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319</v>
      </c>
      <c r="EK123" s="17">
        <f>EJ123*VLOOKUP('Données projet'!$B$15,Paramètres!$A$1:$I$89,3,0)*VLOOKUP('Données projet'!$B$15,Paramètres!$A$1:$I$89,5,0)</f>
        <v>258.77280000000002</v>
      </c>
      <c r="EL123" s="13">
        <f t="shared" si="99"/>
        <v>62.460716522234691</v>
      </c>
      <c r="EM123" s="20">
        <f t="shared" si="73"/>
        <v>559.48170794289206</v>
      </c>
      <c r="EN123" s="57">
        <f t="shared" si="74"/>
        <v>852.81504127622543</v>
      </c>
      <c r="EO123" s="57">
        <f ca="1">AVERAGE(OFFSET($EN$3,0,0,'Données projet'!$E$15+1,1))-AVERAGE(OFFSET($H$3,0,0,'Données projet'!$E$15+1,1))</f>
        <v>250.90550982248311</v>
      </c>
      <c r="EP123" s="57">
        <f t="shared" si="100"/>
        <v>254.68874167908001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19.917908724649394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19.917908724649394</v>
      </c>
      <c r="EZ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7" t="e">
        <f t="shared" si="77"/>
        <v>#N/A</v>
      </c>
      <c r="FJ123" s="57" t="e">
        <f ca="1">AVERAGE(OFFSET($FI$3,0,0,'Données projet'!$E$16+1,1))-AVERAGE(OFFSET($H$3,0,0,'Données projet'!$E$16+1,1))</f>
        <v>#N/A</v>
      </c>
      <c r="FK123" s="57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7" t="e">
        <f t="shared" si="80"/>
        <v>#N/A</v>
      </c>
      <c r="GE123" s="57" t="e">
        <f ca="1">AVERAGE(OFFSET($GD$3,0,0,'Données projet'!$E$17+1,1))-AVERAGE(OFFSET($H$3,0,0,'Données projet'!$E$17+1,1))</f>
        <v>#N/A</v>
      </c>
      <c r="GF123" s="57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7" t="e">
        <f t="shared" si="83"/>
        <v>#N/A</v>
      </c>
      <c r="GZ123" s="57" t="e">
        <f ca="1">AVERAGE(OFFSET($GY$3,0,0,'Données projet'!$E$18+1,1))-AVERAGE(OFFSET($H$3,0,0,'Données projet'!$E$18+1,1))</f>
        <v>#N/A</v>
      </c>
      <c r="HA123" s="57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0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4">
        <f t="shared" si="56"/>
        <v>526.75577998135009</v>
      </c>
      <c r="I124" s="6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258.61679999999996</v>
      </c>
      <c r="P124" s="13">
        <f t="shared" si="87"/>
        <v>62.427444141032439</v>
      </c>
      <c r="Q124" s="20">
        <f t="shared" si="107"/>
        <v>559.15205854563135</v>
      </c>
      <c r="R124" s="57">
        <f t="shared" si="55"/>
        <v>852.48539187896472</v>
      </c>
      <c r="S124" s="57">
        <f ca="1">AVERAGE(OFFSET($R$3,0,0,'Données projet'!$E$9+1,1))-AVERAGE(OFFSET($H$3,0,0,'Données projet'!$E$9+1,1))</f>
        <v>267.44861001389006</v>
      </c>
      <c r="T124" s="57">
        <f t="shared" si="88"/>
        <v>165.25921510802965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82.752862372211013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82.752862372211013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306.99999999999994</v>
      </c>
      <c r="AJ124" s="13">
        <f>AI124*VLOOKUP('Données projet'!$B$10,Paramètres!$A$1:$I$89,3,0)*VLOOKUP('Données projet'!$B$10,Paramètres!$A$1:$I$89,5,0)</f>
        <v>277.77359999999993</v>
      </c>
      <c r="AK124" s="13">
        <f t="shared" si="89"/>
        <v>66.496288176842356</v>
      </c>
      <c r="AL124" s="20">
        <f t="shared" si="58"/>
        <v>599.60338857466706</v>
      </c>
      <c r="AM124" s="57">
        <f t="shared" si="59"/>
        <v>892.93672190800044</v>
      </c>
      <c r="AN124" s="57">
        <f ca="1">AVERAGE(OFFSET($AM$3,0,0,'Données projet'!$E$10+1,1))-AVERAGE(OFFSET($H$3,0,0,'Données projet'!$E$10+1,1))</f>
        <v>294.92430430387071</v>
      </c>
      <c r="AO124" s="57">
        <f t="shared" si="90"/>
        <v>181.52228471516497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88.882704029411826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88.882704029411826</v>
      </c>
      <c r="AY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319</v>
      </c>
      <c r="BE124" s="13">
        <f>BD124*VLOOKUP('Données projet'!$B$11,Paramètres!$A$1:$I$89,3,0)*VLOOKUP('Données projet'!$B$11,Paramètres!$A$1:$I$89,5,0)</f>
        <v>258.77280000000002</v>
      </c>
      <c r="BF124" s="13">
        <f t="shared" si="91"/>
        <v>62.460716522234691</v>
      </c>
      <c r="BG124" s="20">
        <f t="shared" si="61"/>
        <v>559.48170794289206</v>
      </c>
      <c r="BH124" s="57">
        <f t="shared" si="62"/>
        <v>852.81504127622543</v>
      </c>
      <c r="BI124" s="57">
        <f ca="1">AVERAGE(OFFSET($BH$3,0,0,'Données projet'!$E$11+1,1))-AVERAGE(OFFSET($H$3,0,0,'Données projet'!$E$11+1,1))</f>
        <v>250.90550982248311</v>
      </c>
      <c r="BJ124" s="57">
        <f t="shared" si="92"/>
        <v>254.68874167908001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19.527330683283754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19.527330683283754</v>
      </c>
      <c r="BT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739.99999999999966</v>
      </c>
      <c r="BZ124" s="13">
        <f>BY124*VLOOKUP('Données projet'!$B$12,Paramètres!$A$1:$I$89,3,0)*VLOOKUP('Données projet'!$B$12,Paramètres!$A$1:$I$89,5,0)</f>
        <v>413.65999999999985</v>
      </c>
      <c r="CA124" s="13">
        <f t="shared" si="93"/>
        <v>94.540585122244352</v>
      </c>
      <c r="CB124" s="20">
        <f t="shared" si="64"/>
        <v>885.11601908790863</v>
      </c>
      <c r="CC124" s="57">
        <f t="shared" si="65"/>
        <v>1178.4493524212419</v>
      </c>
      <c r="CD124" s="57">
        <f ca="1">AVERAGE(OFFSET($CC$3,0,0,'Données projet'!$E$12+1,1))-AVERAGE(OFFSET($H$3,0,0,'Données projet'!$E$12+1,1))</f>
        <v>462.54745364638171</v>
      </c>
      <c r="CE124" s="57">
        <f t="shared" si="94"/>
        <v>571.50914830067313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36.897837522721787</v>
      </c>
      <c r="CL124" s="21">
        <f>EXP(-LN(2)/25)*CL123+(1-EXP(-LN(2)/25))/(LN(2)/25)*Calculateur!CG124*Calculateur!CI124*VLOOKUP('Données projet'!$B$12,Paramètres!$A$1:$I$89,3,0)*0.475*44/12</f>
        <v>4.6349044450826815</v>
      </c>
      <c r="CM124" s="21">
        <f>EXP(-LN(2)/2)*CM123+(1-EXP(-LN(2)/2))/(LN(2)/2)*CG124*CJ124*VLOOKUP('Données projet'!$B$12,Paramètres!$A$1:$I$89,3,0)*0.475*44/12</f>
        <v>1.7092320260514298E-14</v>
      </c>
      <c r="CN124" s="22">
        <f t="shared" si="66"/>
        <v>41.532741967804483</v>
      </c>
      <c r="CO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245.99999999999994</v>
      </c>
      <c r="CU124" s="17">
        <f>CT124*VLOOKUP('Données projet'!$B$13,Paramètres!$A$1:$I$89,3,0)*VLOOKUP('Données projet'!$B$13,Paramètres!$A$1:$I$89,5,0)</f>
        <v>234.09359999999998</v>
      </c>
      <c r="CV124" s="13">
        <f t="shared" si="95"/>
        <v>57.166902703920208</v>
      </c>
      <c r="CW124" s="20">
        <f t="shared" si="67"/>
        <v>507.27870887599425</v>
      </c>
      <c r="CX124" s="57">
        <f t="shared" si="68"/>
        <v>800.61204220932757</v>
      </c>
      <c r="CY124" s="57">
        <f ca="1">AVERAGE(OFFSET($CX$3,0,0,'Données projet'!$E$13+1,1))-AVERAGE(OFFSET($H$3,0,0,'Données projet'!$E$13+1,1))</f>
        <v>314.67680626853303</v>
      </c>
      <c r="CZ124" s="57">
        <f t="shared" si="96"/>
        <v>372.57247561536263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69.241941174220727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69.241941174220727</v>
      </c>
      <c r="DJ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319</v>
      </c>
      <c r="DP124" s="17">
        <f>DO124*VLOOKUP('Données projet'!$B$14,Paramètres!$A$1:$I$89,3,0)*VLOOKUP('Données projet'!$B$14,Paramètres!$A$1:$I$89,5,0)</f>
        <v>209.00879999999998</v>
      </c>
      <c r="DQ124" s="13">
        <f t="shared" si="97"/>
        <v>51.718923953824202</v>
      </c>
      <c r="DR124" s="20">
        <f t="shared" si="70"/>
        <v>454.10078588624373</v>
      </c>
      <c r="DS124" s="57">
        <f t="shared" si="71"/>
        <v>747.43411921957704</v>
      </c>
      <c r="DT124" s="57">
        <f ca="1">AVERAGE(OFFSET($DS$3,0,0,'Données projet'!$E$14+1,1))-AVERAGE(OFFSET($H$3,0,0,'Données projet'!$E$14+1,1))</f>
        <v>188.80259324758066</v>
      </c>
      <c r="DU124" s="57">
        <f t="shared" si="98"/>
        <v>195.48048518255354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15.772074782652274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15.772074782652274</v>
      </c>
      <c r="EE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319</v>
      </c>
      <c r="EK124" s="17">
        <f>EJ124*VLOOKUP('Données projet'!$B$15,Paramètres!$A$1:$I$89,3,0)*VLOOKUP('Données projet'!$B$15,Paramètres!$A$1:$I$89,5,0)</f>
        <v>258.77280000000002</v>
      </c>
      <c r="EL124" s="13">
        <f t="shared" si="99"/>
        <v>62.460716522234691</v>
      </c>
      <c r="EM124" s="20">
        <f t="shared" si="73"/>
        <v>559.48170794289206</v>
      </c>
      <c r="EN124" s="57">
        <f t="shared" si="74"/>
        <v>852.81504127622543</v>
      </c>
      <c r="EO124" s="57">
        <f ca="1">AVERAGE(OFFSET($EN$3,0,0,'Données projet'!$E$15+1,1))-AVERAGE(OFFSET($H$3,0,0,'Données projet'!$E$15+1,1))</f>
        <v>250.90550982248311</v>
      </c>
      <c r="EP124" s="57">
        <f t="shared" si="100"/>
        <v>254.68874167908001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19.527330683283754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19.527330683283754</v>
      </c>
      <c r="EZ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7" t="e">
        <f t="shared" si="77"/>
        <v>#N/A</v>
      </c>
      <c r="FJ124" s="57" t="e">
        <f ca="1">AVERAGE(OFFSET($FI$3,0,0,'Données projet'!$E$16+1,1))-AVERAGE(OFFSET($H$3,0,0,'Données projet'!$E$16+1,1))</f>
        <v>#N/A</v>
      </c>
      <c r="FK124" s="57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7" t="e">
        <f t="shared" si="80"/>
        <v>#N/A</v>
      </c>
      <c r="GE124" s="57" t="e">
        <f ca="1">AVERAGE(OFFSET($GD$3,0,0,'Données projet'!$E$17+1,1))-AVERAGE(OFFSET($H$3,0,0,'Données projet'!$E$17+1,1))</f>
        <v>#N/A</v>
      </c>
      <c r="GF124" s="57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7" t="e">
        <f t="shared" si="83"/>
        <v>#N/A</v>
      </c>
      <c r="GZ124" s="57" t="e">
        <f ca="1">AVERAGE(OFFSET($GY$3,0,0,'Données projet'!$E$18+1,1))-AVERAGE(OFFSET($H$3,0,0,'Données projet'!$E$18+1,1))</f>
        <v>#N/A</v>
      </c>
      <c r="HA124" s="57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0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4">
        <f t="shared" si="56"/>
        <v>528.63727480567968</v>
      </c>
      <c r="I125" s="6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258.61679999999996</v>
      </c>
      <c r="P125" s="13">
        <f t="shared" si="87"/>
        <v>62.427444141032439</v>
      </c>
      <c r="Q125" s="20">
        <f t="shared" si="107"/>
        <v>559.15205854563135</v>
      </c>
      <c r="R125" s="57">
        <f t="shared" si="55"/>
        <v>852.48539187896472</v>
      </c>
      <c r="S125" s="57">
        <f ca="1">AVERAGE(OFFSET($R$3,0,0,'Données projet'!$E$9+1,1))-AVERAGE(OFFSET($H$3,0,0,'Données projet'!$E$9+1,1))</f>
        <v>267.44861001389006</v>
      </c>
      <c r="T125" s="57">
        <f t="shared" si="88"/>
        <v>165.25921510802965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81.130129215354089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81.130129215354089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306.99999999999994</v>
      </c>
      <c r="AJ125" s="13">
        <f>AI125*VLOOKUP('Données projet'!$B$10,Paramètres!$A$1:$I$89,3,0)*VLOOKUP('Données projet'!$B$10,Paramètres!$A$1:$I$89,5,0)</f>
        <v>277.77359999999993</v>
      </c>
      <c r="AK125" s="13">
        <f t="shared" si="89"/>
        <v>66.496288176842356</v>
      </c>
      <c r="AL125" s="20">
        <f t="shared" si="58"/>
        <v>599.60338857466706</v>
      </c>
      <c r="AM125" s="57">
        <f t="shared" si="59"/>
        <v>892.93672190800044</v>
      </c>
      <c r="AN125" s="57">
        <f ca="1">AVERAGE(OFFSET($AM$3,0,0,'Données projet'!$E$10+1,1))-AVERAGE(OFFSET($H$3,0,0,'Données projet'!$E$10+1,1))</f>
        <v>294.92430430387071</v>
      </c>
      <c r="AO125" s="57">
        <f t="shared" si="90"/>
        <v>181.52228471516497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87.139768416491421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87.139768416491421</v>
      </c>
      <c r="AY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319</v>
      </c>
      <c r="BE125" s="13">
        <f>BD125*VLOOKUP('Données projet'!$B$11,Paramètres!$A$1:$I$89,3,0)*VLOOKUP('Données projet'!$B$11,Paramètres!$A$1:$I$89,5,0)</f>
        <v>258.77280000000002</v>
      </c>
      <c r="BF125" s="13">
        <f t="shared" si="91"/>
        <v>62.460716522234691</v>
      </c>
      <c r="BG125" s="20">
        <f t="shared" si="61"/>
        <v>559.48170794289206</v>
      </c>
      <c r="BH125" s="57">
        <f t="shared" si="62"/>
        <v>852.81504127622543</v>
      </c>
      <c r="BI125" s="57">
        <f ca="1">AVERAGE(OFFSET($BH$3,0,0,'Données projet'!$E$11+1,1))-AVERAGE(OFFSET($H$3,0,0,'Données projet'!$E$11+1,1))</f>
        <v>250.90550982248311</v>
      </c>
      <c r="BJ125" s="57">
        <f t="shared" si="92"/>
        <v>254.68874167908001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19.144411639080214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19.144411639080214</v>
      </c>
      <c r="BT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739.99999999999966</v>
      </c>
      <c r="BZ125" s="13">
        <f>BY125*VLOOKUP('Données projet'!$B$12,Paramètres!$A$1:$I$89,3,0)*VLOOKUP('Données projet'!$B$12,Paramètres!$A$1:$I$89,5,0)</f>
        <v>413.65999999999985</v>
      </c>
      <c r="CA125" s="13">
        <f t="shared" si="93"/>
        <v>94.540585122244352</v>
      </c>
      <c r="CB125" s="20">
        <f t="shared" si="64"/>
        <v>885.11601908790863</v>
      </c>
      <c r="CC125" s="57">
        <f t="shared" si="65"/>
        <v>1178.4493524212419</v>
      </c>
      <c r="CD125" s="57">
        <f ca="1">AVERAGE(OFFSET($CC$3,0,0,'Données projet'!$E$12+1,1))-AVERAGE(OFFSET($H$3,0,0,'Données projet'!$E$12+1,1))</f>
        <v>462.54745364638171</v>
      </c>
      <c r="CE125" s="57">
        <f t="shared" si="94"/>
        <v>571.50914830067313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36.174293434359875</v>
      </c>
      <c r="CL125" s="21">
        <f>EXP(-LN(2)/25)*CL124+(1-EXP(-LN(2)/25))/(LN(2)/25)*Calculateur!CG125*Calculateur!CI125*VLOOKUP('Données projet'!$B$12,Paramètres!$A$1:$I$89,3,0)*0.475*44/12</f>
        <v>4.5081627392928638</v>
      </c>
      <c r="CM125" s="21">
        <f>EXP(-LN(2)/2)*CM124+(1-EXP(-LN(2)/2))/(LN(2)/2)*CG125*CJ125*VLOOKUP('Données projet'!$B$12,Paramètres!$A$1:$I$89,3,0)*0.475*44/12</f>
        <v>1.2086095562421877E-14</v>
      </c>
      <c r="CN125" s="22">
        <f t="shared" si="66"/>
        <v>40.682456173652753</v>
      </c>
      <c r="CO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245.99999999999994</v>
      </c>
      <c r="CU125" s="17">
        <f>CT125*VLOOKUP('Données projet'!$B$13,Paramètres!$A$1:$I$89,3,0)*VLOOKUP('Données projet'!$B$13,Paramètres!$A$1:$I$89,5,0)</f>
        <v>234.09359999999998</v>
      </c>
      <c r="CV125" s="13">
        <f t="shared" si="95"/>
        <v>57.166902703920208</v>
      </c>
      <c r="CW125" s="20">
        <f t="shared" si="67"/>
        <v>507.27870887599425</v>
      </c>
      <c r="CX125" s="57">
        <f t="shared" si="68"/>
        <v>800.61204220932757</v>
      </c>
      <c r="CY125" s="57">
        <f ca="1">AVERAGE(OFFSET($CX$3,0,0,'Données projet'!$E$13+1,1))-AVERAGE(OFFSET($H$3,0,0,'Données projet'!$E$13+1,1))</f>
        <v>314.67680626853303</v>
      </c>
      <c r="CZ125" s="57">
        <f t="shared" si="96"/>
        <v>372.57247561536263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67.884148941208167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67.884148941208167</v>
      </c>
      <c r="DJ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319</v>
      </c>
      <c r="DP125" s="17">
        <f>DO125*VLOOKUP('Données projet'!$B$14,Paramètres!$A$1:$I$89,3,0)*VLOOKUP('Données projet'!$B$14,Paramètres!$A$1:$I$89,5,0)</f>
        <v>209.00879999999998</v>
      </c>
      <c r="DQ125" s="13">
        <f t="shared" si="97"/>
        <v>51.718923953824202</v>
      </c>
      <c r="DR125" s="20">
        <f t="shared" si="70"/>
        <v>454.10078588624373</v>
      </c>
      <c r="DS125" s="57">
        <f t="shared" si="71"/>
        <v>747.43411921957704</v>
      </c>
      <c r="DT125" s="57">
        <f ca="1">AVERAGE(OFFSET($DS$3,0,0,'Données projet'!$E$14+1,1))-AVERAGE(OFFSET($H$3,0,0,'Données projet'!$E$14+1,1))</f>
        <v>188.80259324758066</v>
      </c>
      <c r="DU125" s="57">
        <f t="shared" si="98"/>
        <v>195.48048518255354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15.462794016180183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15.462794016180183</v>
      </c>
      <c r="EE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319</v>
      </c>
      <c r="EK125" s="17">
        <f>EJ125*VLOOKUP('Données projet'!$B$15,Paramètres!$A$1:$I$89,3,0)*VLOOKUP('Données projet'!$B$15,Paramètres!$A$1:$I$89,5,0)</f>
        <v>258.77280000000002</v>
      </c>
      <c r="EL125" s="13">
        <f t="shared" si="99"/>
        <v>62.460716522234691</v>
      </c>
      <c r="EM125" s="20">
        <f t="shared" si="73"/>
        <v>559.48170794289206</v>
      </c>
      <c r="EN125" s="57">
        <f t="shared" si="74"/>
        <v>852.81504127622543</v>
      </c>
      <c r="EO125" s="57">
        <f ca="1">AVERAGE(OFFSET($EN$3,0,0,'Données projet'!$E$15+1,1))-AVERAGE(OFFSET($H$3,0,0,'Données projet'!$E$15+1,1))</f>
        <v>250.90550982248311</v>
      </c>
      <c r="EP125" s="57">
        <f t="shared" si="100"/>
        <v>254.68874167908001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19.144411639080214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19.144411639080214</v>
      </c>
      <c r="EZ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7" t="e">
        <f t="shared" si="77"/>
        <v>#N/A</v>
      </c>
      <c r="FJ125" s="57" t="e">
        <f ca="1">AVERAGE(OFFSET($FI$3,0,0,'Données projet'!$E$16+1,1))-AVERAGE(OFFSET($H$3,0,0,'Données projet'!$E$16+1,1))</f>
        <v>#N/A</v>
      </c>
      <c r="FK125" s="57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7" t="e">
        <f t="shared" si="80"/>
        <v>#N/A</v>
      </c>
      <c r="GE125" s="57" t="e">
        <f ca="1">AVERAGE(OFFSET($GD$3,0,0,'Données projet'!$E$17+1,1))-AVERAGE(OFFSET($H$3,0,0,'Données projet'!$E$17+1,1))</f>
        <v>#N/A</v>
      </c>
      <c r="GF125" s="57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7" t="e">
        <f t="shared" si="83"/>
        <v>#N/A</v>
      </c>
      <c r="GZ125" s="57" t="e">
        <f ca="1">AVERAGE(OFFSET($GY$3,0,0,'Données projet'!$E$18+1,1))-AVERAGE(OFFSET($H$3,0,0,'Données projet'!$E$18+1,1))</f>
        <v>#N/A</v>
      </c>
      <c r="HA125" s="57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0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4">
        <f t="shared" si="56"/>
        <v>530.51842633834474</v>
      </c>
      <c r="I126" s="6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258.61679999999996</v>
      </c>
      <c r="P126" s="13">
        <f t="shared" si="87"/>
        <v>62.427444141032439</v>
      </c>
      <c r="Q126" s="20">
        <f t="shared" si="107"/>
        <v>559.15205854563135</v>
      </c>
      <c r="R126" s="57">
        <f t="shared" si="55"/>
        <v>852.48539187896472</v>
      </c>
      <c r="S126" s="57">
        <f ca="1">AVERAGE(OFFSET($R$3,0,0,'Données projet'!$E$9+1,1))-AVERAGE(OFFSET($H$3,0,0,'Données projet'!$E$9+1,1))</f>
        <v>267.44861001389006</v>
      </c>
      <c r="T126" s="57">
        <f t="shared" si="88"/>
        <v>165.25921510802965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79.539216865933625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79.539216865933625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306.99999999999994</v>
      </c>
      <c r="AJ126" s="13">
        <f>AI126*VLOOKUP('Données projet'!$B$10,Paramètres!$A$1:$I$89,3,0)*VLOOKUP('Données projet'!$B$10,Paramètres!$A$1:$I$89,5,0)</f>
        <v>277.77359999999993</v>
      </c>
      <c r="AK126" s="13">
        <f t="shared" si="89"/>
        <v>66.496288176842356</v>
      </c>
      <c r="AL126" s="20">
        <f t="shared" si="58"/>
        <v>599.60338857466706</v>
      </c>
      <c r="AM126" s="57">
        <f t="shared" si="59"/>
        <v>892.93672190800044</v>
      </c>
      <c r="AN126" s="57">
        <f ca="1">AVERAGE(OFFSET($AM$3,0,0,'Données projet'!$E$10+1,1))-AVERAGE(OFFSET($H$3,0,0,'Données projet'!$E$10+1,1))</f>
        <v>294.92430430387071</v>
      </c>
      <c r="AO126" s="57">
        <f t="shared" si="90"/>
        <v>181.52228471516497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85.431010707854625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85.431010707854625</v>
      </c>
      <c r="AY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319</v>
      </c>
      <c r="BE126" s="13">
        <f>BD126*VLOOKUP('Données projet'!$B$11,Paramètres!$A$1:$I$89,3,0)*VLOOKUP('Données projet'!$B$11,Paramètres!$A$1:$I$89,5,0)</f>
        <v>258.77280000000002</v>
      </c>
      <c r="BF126" s="13">
        <f t="shared" si="91"/>
        <v>62.460716522234691</v>
      </c>
      <c r="BG126" s="20">
        <f t="shared" si="61"/>
        <v>559.48170794289206</v>
      </c>
      <c r="BH126" s="57">
        <f t="shared" si="62"/>
        <v>852.81504127622543</v>
      </c>
      <c r="BI126" s="57">
        <f ca="1">AVERAGE(OFFSET($BH$3,0,0,'Données projet'!$E$11+1,1))-AVERAGE(OFFSET($H$3,0,0,'Données projet'!$E$11+1,1))</f>
        <v>250.90550982248311</v>
      </c>
      <c r="BJ126" s="57">
        <f t="shared" si="92"/>
        <v>254.68874167908001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18.769001403775949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18.769001403775949</v>
      </c>
      <c r="BT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739.99999999999966</v>
      </c>
      <c r="BZ126" s="13">
        <f>BY126*VLOOKUP('Données projet'!$B$12,Paramètres!$A$1:$I$89,3,0)*VLOOKUP('Données projet'!$B$12,Paramètres!$A$1:$I$89,5,0)</f>
        <v>413.65999999999985</v>
      </c>
      <c r="CA126" s="13">
        <f t="shared" si="93"/>
        <v>94.540585122244352</v>
      </c>
      <c r="CB126" s="20">
        <f t="shared" si="64"/>
        <v>885.11601908790863</v>
      </c>
      <c r="CC126" s="57">
        <f t="shared" si="65"/>
        <v>1178.4493524212419</v>
      </c>
      <c r="CD126" s="57">
        <f ca="1">AVERAGE(OFFSET($CC$3,0,0,'Données projet'!$E$12+1,1))-AVERAGE(OFFSET($H$3,0,0,'Données projet'!$E$12+1,1))</f>
        <v>462.54745364638171</v>
      </c>
      <c r="CE126" s="57">
        <f t="shared" si="94"/>
        <v>571.50914830067313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35.46493760425242</v>
      </c>
      <c r="CL126" s="21">
        <f>EXP(-LN(2)/25)*CL125+(1-EXP(-LN(2)/25))/(LN(2)/25)*Calculateur!CG126*Calculateur!CI126*VLOOKUP('Données projet'!$B$12,Paramètres!$A$1:$I$89,3,0)*0.475*44/12</f>
        <v>4.3848867921129253</v>
      </c>
      <c r="CM126" s="21">
        <f>EXP(-LN(2)/2)*CM125+(1-EXP(-LN(2)/2))/(LN(2)/2)*CG126*CJ126*VLOOKUP('Données projet'!$B$12,Paramètres!$A$1:$I$89,3,0)*0.475*44/12</f>
        <v>8.5461601302571489E-15</v>
      </c>
      <c r="CN126" s="22">
        <f t="shared" si="66"/>
        <v>39.849824396365349</v>
      </c>
      <c r="CO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245.99999999999994</v>
      </c>
      <c r="CU126" s="17">
        <f>CT126*VLOOKUP('Données projet'!$B$13,Paramètres!$A$1:$I$89,3,0)*VLOOKUP('Données projet'!$B$13,Paramètres!$A$1:$I$89,5,0)</f>
        <v>234.09359999999998</v>
      </c>
      <c r="CV126" s="13">
        <f t="shared" si="95"/>
        <v>57.166902703920208</v>
      </c>
      <c r="CW126" s="20">
        <f t="shared" si="67"/>
        <v>507.27870887599425</v>
      </c>
      <c r="CX126" s="57">
        <f t="shared" si="68"/>
        <v>800.61204220932757</v>
      </c>
      <c r="CY126" s="57">
        <f ca="1">AVERAGE(OFFSET($CX$3,0,0,'Données projet'!$E$13+1,1))-AVERAGE(OFFSET($H$3,0,0,'Données projet'!$E$13+1,1))</f>
        <v>314.67680626853303</v>
      </c>
      <c r="CZ126" s="57">
        <f t="shared" si="96"/>
        <v>372.57247561536263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66.552982185713503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66.552982185713503</v>
      </c>
      <c r="DJ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319</v>
      </c>
      <c r="DP126" s="17">
        <f>DO126*VLOOKUP('Données projet'!$B$14,Paramètres!$A$1:$I$89,3,0)*VLOOKUP('Données projet'!$B$14,Paramètres!$A$1:$I$89,5,0)</f>
        <v>209.00879999999998</v>
      </c>
      <c r="DQ126" s="13">
        <f t="shared" si="97"/>
        <v>51.718923953824202</v>
      </c>
      <c r="DR126" s="20">
        <f t="shared" si="70"/>
        <v>454.10078588624373</v>
      </c>
      <c r="DS126" s="57">
        <f t="shared" si="71"/>
        <v>747.43411921957704</v>
      </c>
      <c r="DT126" s="57">
        <f ca="1">AVERAGE(OFFSET($DS$3,0,0,'Données projet'!$E$14+1,1))-AVERAGE(OFFSET($H$3,0,0,'Données projet'!$E$14+1,1))</f>
        <v>188.80259324758066</v>
      </c>
      <c r="DU126" s="57">
        <f t="shared" si="98"/>
        <v>195.48048518255354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15.159578056895969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15.159578056895969</v>
      </c>
      <c r="EE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319</v>
      </c>
      <c r="EK126" s="17">
        <f>EJ126*VLOOKUP('Données projet'!$B$15,Paramètres!$A$1:$I$89,3,0)*VLOOKUP('Données projet'!$B$15,Paramètres!$A$1:$I$89,5,0)</f>
        <v>258.77280000000002</v>
      </c>
      <c r="EL126" s="13">
        <f t="shared" si="99"/>
        <v>62.460716522234691</v>
      </c>
      <c r="EM126" s="20">
        <f t="shared" si="73"/>
        <v>559.48170794289206</v>
      </c>
      <c r="EN126" s="57">
        <f t="shared" si="74"/>
        <v>852.81504127622543</v>
      </c>
      <c r="EO126" s="57">
        <f ca="1">AVERAGE(OFFSET($EN$3,0,0,'Données projet'!$E$15+1,1))-AVERAGE(OFFSET($H$3,0,0,'Données projet'!$E$15+1,1))</f>
        <v>250.90550982248311</v>
      </c>
      <c r="EP126" s="57">
        <f t="shared" si="100"/>
        <v>254.68874167908001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18.769001403775949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18.769001403775949</v>
      </c>
      <c r="EZ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7" t="e">
        <f t="shared" si="77"/>
        <v>#N/A</v>
      </c>
      <c r="FJ126" s="57" t="e">
        <f ca="1">AVERAGE(OFFSET($FI$3,0,0,'Données projet'!$E$16+1,1))-AVERAGE(OFFSET($H$3,0,0,'Données projet'!$E$16+1,1))</f>
        <v>#N/A</v>
      </c>
      <c r="FK126" s="57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7" t="e">
        <f t="shared" si="80"/>
        <v>#N/A</v>
      </c>
      <c r="GE126" s="57" t="e">
        <f ca="1">AVERAGE(OFFSET($GD$3,0,0,'Données projet'!$E$17+1,1))-AVERAGE(OFFSET($H$3,0,0,'Données projet'!$E$17+1,1))</f>
        <v>#N/A</v>
      </c>
      <c r="GF126" s="57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7" t="e">
        <f t="shared" si="83"/>
        <v>#N/A</v>
      </c>
      <c r="GZ126" s="57" t="e">
        <f ca="1">AVERAGE(OFFSET($GY$3,0,0,'Données projet'!$E$18+1,1))-AVERAGE(OFFSET($H$3,0,0,'Données projet'!$E$18+1,1))</f>
        <v>#N/A</v>
      </c>
      <c r="HA126" s="57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0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4">
        <f t="shared" si="56"/>
        <v>532.39923769380039</v>
      </c>
      <c r="I127" s="6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258.61679999999996</v>
      </c>
      <c r="P127" s="13">
        <f t="shared" si="87"/>
        <v>62.427444141032439</v>
      </c>
      <c r="Q127" s="20">
        <f t="shared" si="107"/>
        <v>559.15205854563135</v>
      </c>
      <c r="R127" s="57">
        <f t="shared" si="55"/>
        <v>852.48539187896472</v>
      </c>
      <c r="S127" s="57">
        <f ca="1">AVERAGE(OFFSET($R$3,0,0,'Données projet'!$E$9+1,1))-AVERAGE(OFFSET($H$3,0,0,'Données projet'!$E$9+1,1))</f>
        <v>267.44861001389006</v>
      </c>
      <c r="T127" s="57">
        <f t="shared" si="88"/>
        <v>165.25921510802965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77.979501337324578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77.979501337324578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306.99999999999994</v>
      </c>
      <c r="AJ127" s="13">
        <f>AI127*VLOOKUP('Données projet'!$B$10,Paramètres!$A$1:$I$89,3,0)*VLOOKUP('Données projet'!$B$10,Paramètres!$A$1:$I$89,5,0)</f>
        <v>277.77359999999993</v>
      </c>
      <c r="AK127" s="13">
        <f t="shared" si="89"/>
        <v>66.496288176842356</v>
      </c>
      <c r="AL127" s="20">
        <f t="shared" si="58"/>
        <v>599.60338857466706</v>
      </c>
      <c r="AM127" s="57">
        <f t="shared" si="59"/>
        <v>892.93672190800044</v>
      </c>
      <c r="AN127" s="57">
        <f ca="1">AVERAGE(OFFSET($AM$3,0,0,'Données projet'!$E$10+1,1))-AVERAGE(OFFSET($H$3,0,0,'Données projet'!$E$10+1,1))</f>
        <v>294.92430430387071</v>
      </c>
      <c r="AO127" s="57">
        <f t="shared" si="90"/>
        <v>181.52228471516497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83.755760695644909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83.755760695644909</v>
      </c>
      <c r="AY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319</v>
      </c>
      <c r="BE127" s="13">
        <f>BD127*VLOOKUP('Données projet'!$B$11,Paramètres!$A$1:$I$89,3,0)*VLOOKUP('Données projet'!$B$11,Paramètres!$A$1:$I$89,5,0)</f>
        <v>258.77280000000002</v>
      </c>
      <c r="BF127" s="13">
        <f t="shared" si="91"/>
        <v>62.460716522234691</v>
      </c>
      <c r="BG127" s="20">
        <f t="shared" si="61"/>
        <v>559.48170794289206</v>
      </c>
      <c r="BH127" s="57">
        <f t="shared" si="62"/>
        <v>852.81504127622543</v>
      </c>
      <c r="BI127" s="57">
        <f ca="1">AVERAGE(OFFSET($BH$3,0,0,'Données projet'!$E$11+1,1))-AVERAGE(OFFSET($H$3,0,0,'Données projet'!$E$11+1,1))</f>
        <v>250.90550982248311</v>
      </c>
      <c r="BJ127" s="57">
        <f t="shared" si="92"/>
        <v>254.68874167908001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18.400952734208367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18.400952734208367</v>
      </c>
      <c r="BT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739.99999999999966</v>
      </c>
      <c r="BZ127" s="13">
        <f>BY127*VLOOKUP('Données projet'!$B$12,Paramètres!$A$1:$I$89,3,0)*VLOOKUP('Données projet'!$B$12,Paramètres!$A$1:$I$89,5,0)</f>
        <v>413.65999999999985</v>
      </c>
      <c r="CA127" s="13">
        <f t="shared" si="93"/>
        <v>94.540585122244352</v>
      </c>
      <c r="CB127" s="20">
        <f t="shared" si="64"/>
        <v>885.11601908790863</v>
      </c>
      <c r="CC127" s="57">
        <f t="shared" si="65"/>
        <v>1178.4493524212419</v>
      </c>
      <c r="CD127" s="57">
        <f ca="1">AVERAGE(OFFSET($CC$3,0,0,'Données projet'!$E$12+1,1))-AVERAGE(OFFSET($H$3,0,0,'Données projet'!$E$12+1,1))</f>
        <v>462.54745364638171</v>
      </c>
      <c r="CE127" s="57">
        <f t="shared" si="94"/>
        <v>571.50914830067313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34.769491809309038</v>
      </c>
      <c r="CL127" s="21">
        <f>EXP(-LN(2)/25)*CL126+(1-EXP(-LN(2)/25))/(LN(2)/25)*Calculateur!CG127*Calculateur!CI127*VLOOKUP('Données projet'!$B$12,Paramètres!$A$1:$I$89,3,0)*0.475*44/12</f>
        <v>4.264981832191423</v>
      </c>
      <c r="CM127" s="21">
        <f>EXP(-LN(2)/2)*CM126+(1-EXP(-LN(2)/2))/(LN(2)/2)*CG127*CJ127*VLOOKUP('Données projet'!$B$12,Paramètres!$A$1:$I$89,3,0)*0.475*44/12</f>
        <v>6.0430477812109384E-15</v>
      </c>
      <c r="CN127" s="22">
        <f t="shared" si="66"/>
        <v>39.034473641500469</v>
      </c>
      <c r="CO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245.99999999999994</v>
      </c>
      <c r="CU127" s="17">
        <f>CT127*VLOOKUP('Données projet'!$B$13,Paramètres!$A$1:$I$89,3,0)*VLOOKUP('Données projet'!$B$13,Paramètres!$A$1:$I$89,5,0)</f>
        <v>234.09359999999998</v>
      </c>
      <c r="CV127" s="13">
        <f t="shared" si="95"/>
        <v>57.166902703920208</v>
      </c>
      <c r="CW127" s="20">
        <f t="shared" si="67"/>
        <v>507.27870887599425</v>
      </c>
      <c r="CX127" s="57">
        <f t="shared" si="68"/>
        <v>800.61204220932757</v>
      </c>
      <c r="CY127" s="57">
        <f ca="1">AVERAGE(OFFSET($CX$3,0,0,'Données projet'!$E$13+1,1))-AVERAGE(OFFSET($H$3,0,0,'Données projet'!$E$13+1,1))</f>
        <v>314.67680626853303</v>
      </c>
      <c r="CZ127" s="57">
        <f t="shared" si="96"/>
        <v>372.57247561536263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65.247918798362534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65.247918798362534</v>
      </c>
      <c r="DJ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319</v>
      </c>
      <c r="DP127" s="17">
        <f>DO127*VLOOKUP('Données projet'!$B$14,Paramètres!$A$1:$I$89,3,0)*VLOOKUP('Données projet'!$B$14,Paramètres!$A$1:$I$89,5,0)</f>
        <v>209.00879999999998</v>
      </c>
      <c r="DQ127" s="13">
        <f t="shared" si="97"/>
        <v>51.718923953824202</v>
      </c>
      <c r="DR127" s="20">
        <f t="shared" si="70"/>
        <v>454.10078588624373</v>
      </c>
      <c r="DS127" s="57">
        <f t="shared" si="71"/>
        <v>747.43411921957704</v>
      </c>
      <c r="DT127" s="57">
        <f ca="1">AVERAGE(OFFSET($DS$3,0,0,'Données projet'!$E$14+1,1))-AVERAGE(OFFSET($H$3,0,0,'Données projet'!$E$14+1,1))</f>
        <v>188.80259324758066</v>
      </c>
      <c r="DU127" s="57">
        <f t="shared" si="98"/>
        <v>195.48048518255354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14.862307977629845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14.862307977629845</v>
      </c>
      <c r="EE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319</v>
      </c>
      <c r="EK127" s="17">
        <f>EJ127*VLOOKUP('Données projet'!$B$15,Paramètres!$A$1:$I$89,3,0)*VLOOKUP('Données projet'!$B$15,Paramètres!$A$1:$I$89,5,0)</f>
        <v>258.77280000000002</v>
      </c>
      <c r="EL127" s="13">
        <f t="shared" si="99"/>
        <v>62.460716522234691</v>
      </c>
      <c r="EM127" s="20">
        <f t="shared" si="73"/>
        <v>559.48170794289206</v>
      </c>
      <c r="EN127" s="57">
        <f t="shared" si="74"/>
        <v>852.81504127622543</v>
      </c>
      <c r="EO127" s="57">
        <f ca="1">AVERAGE(OFFSET($EN$3,0,0,'Données projet'!$E$15+1,1))-AVERAGE(OFFSET($H$3,0,0,'Données projet'!$E$15+1,1))</f>
        <v>250.90550982248311</v>
      </c>
      <c r="EP127" s="57">
        <f t="shared" si="100"/>
        <v>254.68874167908001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18.400952734208367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18.400952734208367</v>
      </c>
      <c r="EZ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7" t="e">
        <f t="shared" si="77"/>
        <v>#N/A</v>
      </c>
      <c r="FJ127" s="57" t="e">
        <f ca="1">AVERAGE(OFFSET($FI$3,0,0,'Données projet'!$E$16+1,1))-AVERAGE(OFFSET($H$3,0,0,'Données projet'!$E$16+1,1))</f>
        <v>#N/A</v>
      </c>
      <c r="FK127" s="57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7" t="e">
        <f t="shared" si="80"/>
        <v>#N/A</v>
      </c>
      <c r="GE127" s="57" t="e">
        <f ca="1">AVERAGE(OFFSET($GD$3,0,0,'Données projet'!$E$17+1,1))-AVERAGE(OFFSET($H$3,0,0,'Données projet'!$E$17+1,1))</f>
        <v>#N/A</v>
      </c>
      <c r="GF127" s="57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7" t="e">
        <f t="shared" si="83"/>
        <v>#N/A</v>
      </c>
      <c r="GZ127" s="57" t="e">
        <f ca="1">AVERAGE(OFFSET($GY$3,0,0,'Données projet'!$E$18+1,1))-AVERAGE(OFFSET($H$3,0,0,'Données projet'!$E$18+1,1))</f>
        <v>#N/A</v>
      </c>
      <c r="HA127" s="57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0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4">
        <f t="shared" si="56"/>
        <v>534.27971193336862</v>
      </c>
      <c r="I128" s="6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258.61679999999996</v>
      </c>
      <c r="P128" s="13">
        <f t="shared" si="87"/>
        <v>62.427444141032439</v>
      </c>
      <c r="Q128" s="20">
        <f t="shared" si="107"/>
        <v>559.15205854563135</v>
      </c>
      <c r="R128" s="57">
        <f t="shared" si="55"/>
        <v>852.48539187896472</v>
      </c>
      <c r="S128" s="57">
        <f ca="1">AVERAGE(OFFSET($R$3,0,0,'Données projet'!$E$9+1,1))-AVERAGE(OFFSET($H$3,0,0,'Données projet'!$E$9+1,1))</f>
        <v>267.44861001389006</v>
      </c>
      <c r="T128" s="57">
        <f t="shared" si="88"/>
        <v>165.25921510802965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76.450370878899022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76.450370878899022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306.99999999999994</v>
      </c>
      <c r="AJ128" s="13">
        <f>AI128*VLOOKUP('Données projet'!$B$10,Paramètres!$A$1:$I$89,3,0)*VLOOKUP('Données projet'!$B$10,Paramètres!$A$1:$I$89,5,0)</f>
        <v>277.77359999999993</v>
      </c>
      <c r="AK128" s="13">
        <f t="shared" si="89"/>
        <v>66.496288176842356</v>
      </c>
      <c r="AL128" s="20">
        <f t="shared" si="58"/>
        <v>599.60338857466706</v>
      </c>
      <c r="AM128" s="57">
        <f t="shared" si="59"/>
        <v>892.93672190800044</v>
      </c>
      <c r="AN128" s="57">
        <f ca="1">AVERAGE(OFFSET($AM$3,0,0,'Données projet'!$E$10+1,1))-AVERAGE(OFFSET($H$3,0,0,'Données projet'!$E$10+1,1))</f>
        <v>294.92430430387071</v>
      </c>
      <c r="AO128" s="57">
        <f t="shared" si="90"/>
        <v>181.52228471516497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82.113361314373023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82.113361314373023</v>
      </c>
      <c r="AY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319</v>
      </c>
      <c r="BE128" s="13">
        <f>BD128*VLOOKUP('Données projet'!$B$11,Paramètres!$A$1:$I$89,3,0)*VLOOKUP('Données projet'!$B$11,Paramètres!$A$1:$I$89,5,0)</f>
        <v>258.77280000000002</v>
      </c>
      <c r="BF128" s="13">
        <f t="shared" si="91"/>
        <v>62.460716522234691</v>
      </c>
      <c r="BG128" s="20">
        <f t="shared" si="61"/>
        <v>559.48170794289206</v>
      </c>
      <c r="BH128" s="57">
        <f t="shared" si="62"/>
        <v>852.81504127622543</v>
      </c>
      <c r="BI128" s="57">
        <f ca="1">AVERAGE(OFFSET($BH$3,0,0,'Données projet'!$E$11+1,1))-AVERAGE(OFFSET($H$3,0,0,'Données projet'!$E$11+1,1))</f>
        <v>250.90550982248311</v>
      </c>
      <c r="BJ128" s="57">
        <f t="shared" si="92"/>
        <v>254.68874167908001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18.040121274563482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18.040121274563482</v>
      </c>
      <c r="BT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739.99999999999966</v>
      </c>
      <c r="BZ128" s="13">
        <f>BY128*VLOOKUP('Données projet'!$B$12,Paramètres!$A$1:$I$89,3,0)*VLOOKUP('Données projet'!$B$12,Paramètres!$A$1:$I$89,5,0)</f>
        <v>413.65999999999985</v>
      </c>
      <c r="CA128" s="13">
        <f t="shared" si="93"/>
        <v>94.540585122244352</v>
      </c>
      <c r="CB128" s="20">
        <f t="shared" si="64"/>
        <v>885.11601908790863</v>
      </c>
      <c r="CC128" s="57">
        <f t="shared" si="65"/>
        <v>1178.4493524212419</v>
      </c>
      <c r="CD128" s="57">
        <f ca="1">AVERAGE(OFFSET($CC$3,0,0,'Données projet'!$E$12+1,1))-AVERAGE(OFFSET($H$3,0,0,'Données projet'!$E$12+1,1))</f>
        <v>462.54745364638171</v>
      </c>
      <c r="CE128" s="57">
        <f t="shared" si="94"/>
        <v>571.50914830067313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34.087683282224447</v>
      </c>
      <c r="CL128" s="21">
        <f>EXP(-LN(2)/25)*CL127+(1-EXP(-LN(2)/25))/(LN(2)/25)*Calculateur!CG128*Calculateur!CI128*VLOOKUP('Données projet'!$B$12,Paramètres!$A$1:$I$89,3,0)*0.475*44/12</f>
        <v>4.148355679704502</v>
      </c>
      <c r="CM128" s="21">
        <f>EXP(-LN(2)/2)*CM127+(1-EXP(-LN(2)/2))/(LN(2)/2)*CG128*CJ128*VLOOKUP('Données projet'!$B$12,Paramètres!$A$1:$I$89,3,0)*0.475*44/12</f>
        <v>4.2730800651285745E-15</v>
      </c>
      <c r="CN128" s="22">
        <f t="shared" si="66"/>
        <v>38.236038961928955</v>
      </c>
      <c r="CO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245.99999999999994</v>
      </c>
      <c r="CU128" s="17">
        <f>CT128*VLOOKUP('Données projet'!$B$13,Paramètres!$A$1:$I$89,3,0)*VLOOKUP('Données projet'!$B$13,Paramètres!$A$1:$I$89,5,0)</f>
        <v>234.09359999999998</v>
      </c>
      <c r="CV128" s="13">
        <f t="shared" si="95"/>
        <v>57.166902703920208</v>
      </c>
      <c r="CW128" s="20">
        <f t="shared" si="67"/>
        <v>507.27870887599425</v>
      </c>
      <c r="CX128" s="57">
        <f t="shared" si="68"/>
        <v>800.61204220932757</v>
      </c>
      <c r="CY128" s="57">
        <f ca="1">AVERAGE(OFFSET($CX$3,0,0,'Données projet'!$E$13+1,1))-AVERAGE(OFFSET($H$3,0,0,'Données projet'!$E$13+1,1))</f>
        <v>314.67680626853303</v>
      </c>
      <c r="CZ128" s="57">
        <f t="shared" si="96"/>
        <v>372.57247561536263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63.968446908027452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63.968446908027452</v>
      </c>
      <c r="DJ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319</v>
      </c>
      <c r="DP128" s="17">
        <f>DO128*VLOOKUP('Données projet'!$B$14,Paramètres!$A$1:$I$89,3,0)*VLOOKUP('Données projet'!$B$14,Paramètres!$A$1:$I$89,5,0)</f>
        <v>209.00879999999998</v>
      </c>
      <c r="DQ128" s="13">
        <f t="shared" si="97"/>
        <v>51.718923953824202</v>
      </c>
      <c r="DR128" s="20">
        <f t="shared" si="70"/>
        <v>454.10078588624373</v>
      </c>
      <c r="DS128" s="57">
        <f t="shared" si="71"/>
        <v>747.43411921957704</v>
      </c>
      <c r="DT128" s="57">
        <f ca="1">AVERAGE(OFFSET($DS$3,0,0,'Données projet'!$E$14+1,1))-AVERAGE(OFFSET($H$3,0,0,'Données projet'!$E$14+1,1))</f>
        <v>188.80259324758066</v>
      </c>
      <c r="DU128" s="57">
        <f t="shared" si="98"/>
        <v>195.48048518255354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14.570867183301285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14.570867183301285</v>
      </c>
      <c r="EE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319</v>
      </c>
      <c r="EK128" s="17">
        <f>EJ128*VLOOKUP('Données projet'!$B$15,Paramètres!$A$1:$I$89,3,0)*VLOOKUP('Données projet'!$B$15,Paramètres!$A$1:$I$89,5,0)</f>
        <v>258.77280000000002</v>
      </c>
      <c r="EL128" s="13">
        <f t="shared" si="99"/>
        <v>62.460716522234691</v>
      </c>
      <c r="EM128" s="20">
        <f t="shared" si="73"/>
        <v>559.48170794289206</v>
      </c>
      <c r="EN128" s="57">
        <f t="shared" si="74"/>
        <v>852.81504127622543</v>
      </c>
      <c r="EO128" s="57">
        <f ca="1">AVERAGE(OFFSET($EN$3,0,0,'Données projet'!$E$15+1,1))-AVERAGE(OFFSET($H$3,0,0,'Données projet'!$E$15+1,1))</f>
        <v>250.90550982248311</v>
      </c>
      <c r="EP128" s="57">
        <f t="shared" si="100"/>
        <v>254.68874167908001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18.040121274563482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18.040121274563482</v>
      </c>
      <c r="EZ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7" t="e">
        <f t="shared" si="77"/>
        <v>#N/A</v>
      </c>
      <c r="FJ128" s="57" t="e">
        <f ca="1">AVERAGE(OFFSET($FI$3,0,0,'Données projet'!$E$16+1,1))-AVERAGE(OFFSET($H$3,0,0,'Données projet'!$E$16+1,1))</f>
        <v>#N/A</v>
      </c>
      <c r="FK128" s="57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7" t="e">
        <f t="shared" si="80"/>
        <v>#N/A</v>
      </c>
      <c r="GE128" s="57" t="e">
        <f ca="1">AVERAGE(OFFSET($GD$3,0,0,'Données projet'!$E$17+1,1))-AVERAGE(OFFSET($H$3,0,0,'Données projet'!$E$17+1,1))</f>
        <v>#N/A</v>
      </c>
      <c r="GF128" s="57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7" t="e">
        <f t="shared" si="83"/>
        <v>#N/A</v>
      </c>
      <c r="GZ128" s="57" t="e">
        <f ca="1">AVERAGE(OFFSET($GY$3,0,0,'Données projet'!$E$18+1,1))-AVERAGE(OFFSET($H$3,0,0,'Données projet'!$E$18+1,1))</f>
        <v>#N/A</v>
      </c>
      <c r="HA128" s="57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0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4">
        <f t="shared" si="56"/>
        <v>536.15985206656171</v>
      </c>
      <c r="I129" s="6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258.61679999999996</v>
      </c>
      <c r="P129" s="13">
        <f t="shared" si="87"/>
        <v>62.427444141032439</v>
      </c>
      <c r="Q129" s="20">
        <f t="shared" si="107"/>
        <v>559.15205854563135</v>
      </c>
      <c r="R129" s="57">
        <f t="shared" si="55"/>
        <v>852.48539187896472</v>
      </c>
      <c r="S129" s="57">
        <f ca="1">AVERAGE(OFFSET($R$3,0,0,'Données projet'!$E$9+1,1))-AVERAGE(OFFSET($H$3,0,0,'Données projet'!$E$9+1,1))</f>
        <v>267.44861001389006</v>
      </c>
      <c r="T129" s="57">
        <f t="shared" si="88"/>
        <v>165.25921510802965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74.951225736085703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74.951225736085703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306.99999999999994</v>
      </c>
      <c r="AJ129" s="13">
        <f>AI129*VLOOKUP('Données projet'!$B$10,Paramètres!$A$1:$I$89,3,0)*VLOOKUP('Données projet'!$B$10,Paramètres!$A$1:$I$89,5,0)</f>
        <v>277.77359999999993</v>
      </c>
      <c r="AK129" s="13">
        <f t="shared" si="89"/>
        <v>66.496288176842356</v>
      </c>
      <c r="AL129" s="20">
        <f t="shared" si="58"/>
        <v>599.60338857466706</v>
      </c>
      <c r="AM129" s="57">
        <f t="shared" si="59"/>
        <v>892.93672190800044</v>
      </c>
      <c r="AN129" s="57">
        <f ca="1">AVERAGE(OFFSET($AM$3,0,0,'Données projet'!$E$10+1,1))-AVERAGE(OFFSET($H$3,0,0,'Données projet'!$E$10+1,1))</f>
        <v>294.92430430387071</v>
      </c>
      <c r="AO129" s="57">
        <f t="shared" si="90"/>
        <v>181.52228471516497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80.50316838320316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80.50316838320316</v>
      </c>
      <c r="AY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319</v>
      </c>
      <c r="BE129" s="13">
        <f>BD129*VLOOKUP('Données projet'!$B$11,Paramètres!$A$1:$I$89,3,0)*VLOOKUP('Données projet'!$B$11,Paramètres!$A$1:$I$89,5,0)</f>
        <v>258.77280000000002</v>
      </c>
      <c r="BF129" s="13">
        <f t="shared" si="91"/>
        <v>62.460716522234691</v>
      </c>
      <c r="BG129" s="20">
        <f t="shared" si="61"/>
        <v>559.48170794289206</v>
      </c>
      <c r="BH129" s="57">
        <f t="shared" si="62"/>
        <v>852.81504127622543</v>
      </c>
      <c r="BI129" s="57">
        <f ca="1">AVERAGE(OFFSET($BH$3,0,0,'Données projet'!$E$11+1,1))-AVERAGE(OFFSET($H$3,0,0,'Données projet'!$E$11+1,1))</f>
        <v>250.90550982248311</v>
      </c>
      <c r="BJ129" s="57">
        <f t="shared" si="92"/>
        <v>254.68874167908001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17.686365499756775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17.686365499756775</v>
      </c>
      <c r="BT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739.99999999999966</v>
      </c>
      <c r="BZ129" s="13">
        <f>BY129*VLOOKUP('Données projet'!$B$12,Paramètres!$A$1:$I$89,3,0)*VLOOKUP('Données projet'!$B$12,Paramètres!$A$1:$I$89,5,0)</f>
        <v>413.65999999999985</v>
      </c>
      <c r="CA129" s="13">
        <f t="shared" si="93"/>
        <v>94.540585122244352</v>
      </c>
      <c r="CB129" s="20">
        <f t="shared" si="64"/>
        <v>885.11601908790863</v>
      </c>
      <c r="CC129" s="57">
        <f t="shared" si="65"/>
        <v>1178.4493524212419</v>
      </c>
      <c r="CD129" s="57">
        <f ca="1">AVERAGE(OFFSET($CC$3,0,0,'Données projet'!$E$12+1,1))-AVERAGE(OFFSET($H$3,0,0,'Données projet'!$E$12+1,1))</f>
        <v>462.54745364638171</v>
      </c>
      <c r="CE129" s="57">
        <f t="shared" si="94"/>
        <v>571.50914830067313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33.419244604493841</v>
      </c>
      <c r="CL129" s="21">
        <f>EXP(-LN(2)/25)*CL128+(1-EXP(-LN(2)/25))/(LN(2)/25)*Calculateur!CG129*Calculateur!CI129*VLOOKUP('Données projet'!$B$12,Paramètres!$A$1:$I$89,3,0)*0.475*44/12</f>
        <v>4.034918675490438</v>
      </c>
      <c r="CM129" s="21">
        <f>EXP(-LN(2)/2)*CM128+(1-EXP(-LN(2)/2))/(LN(2)/2)*CG129*CJ129*VLOOKUP('Données projet'!$B$12,Paramètres!$A$1:$I$89,3,0)*0.475*44/12</f>
        <v>3.0215238906054692E-15</v>
      </c>
      <c r="CN129" s="22">
        <f t="shared" si="66"/>
        <v>37.454163279984279</v>
      </c>
      <c r="CO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245.99999999999994</v>
      </c>
      <c r="CU129" s="17">
        <f>CT129*VLOOKUP('Données projet'!$B$13,Paramètres!$A$1:$I$89,3,0)*VLOOKUP('Données projet'!$B$13,Paramètres!$A$1:$I$89,5,0)</f>
        <v>234.09359999999998</v>
      </c>
      <c r="CV129" s="13">
        <f t="shared" si="95"/>
        <v>57.166902703920208</v>
      </c>
      <c r="CW129" s="20">
        <f t="shared" si="67"/>
        <v>507.27870887599425</v>
      </c>
      <c r="CX129" s="57">
        <f t="shared" si="68"/>
        <v>800.61204220932757</v>
      </c>
      <c r="CY129" s="57">
        <f ca="1">AVERAGE(OFFSET($CX$3,0,0,'Données projet'!$E$13+1,1))-AVERAGE(OFFSET($H$3,0,0,'Données projet'!$E$13+1,1))</f>
        <v>314.67680626853303</v>
      </c>
      <c r="CZ129" s="57">
        <f t="shared" si="96"/>
        <v>372.57247561536263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62.714064681061046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62.714064681061046</v>
      </c>
      <c r="DJ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319</v>
      </c>
      <c r="DP129" s="17">
        <f>DO129*VLOOKUP('Données projet'!$B$14,Paramètres!$A$1:$I$89,3,0)*VLOOKUP('Données projet'!$B$14,Paramètres!$A$1:$I$89,5,0)</f>
        <v>209.00879999999998</v>
      </c>
      <c r="DQ129" s="13">
        <f t="shared" si="97"/>
        <v>51.718923953824202</v>
      </c>
      <c r="DR129" s="20">
        <f t="shared" si="70"/>
        <v>454.10078588624373</v>
      </c>
      <c r="DS129" s="57">
        <f t="shared" si="71"/>
        <v>747.43411921957704</v>
      </c>
      <c r="DT129" s="57">
        <f ca="1">AVERAGE(OFFSET($DS$3,0,0,'Données projet'!$E$14+1,1))-AVERAGE(OFFSET($H$3,0,0,'Données projet'!$E$14+1,1))</f>
        <v>188.80259324758066</v>
      </c>
      <c r="DU129" s="57">
        <f t="shared" si="98"/>
        <v>195.48048518255354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14.285141365188176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14.285141365188176</v>
      </c>
      <c r="EE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319</v>
      </c>
      <c r="EK129" s="17">
        <f>EJ129*VLOOKUP('Données projet'!$B$15,Paramètres!$A$1:$I$89,3,0)*VLOOKUP('Données projet'!$B$15,Paramètres!$A$1:$I$89,5,0)</f>
        <v>258.77280000000002</v>
      </c>
      <c r="EL129" s="13">
        <f t="shared" si="99"/>
        <v>62.460716522234691</v>
      </c>
      <c r="EM129" s="20">
        <f t="shared" si="73"/>
        <v>559.48170794289206</v>
      </c>
      <c r="EN129" s="57">
        <f t="shared" si="74"/>
        <v>852.81504127622543</v>
      </c>
      <c r="EO129" s="57">
        <f ca="1">AVERAGE(OFFSET($EN$3,0,0,'Données projet'!$E$15+1,1))-AVERAGE(OFFSET($H$3,0,0,'Données projet'!$E$15+1,1))</f>
        <v>250.90550982248311</v>
      </c>
      <c r="EP129" s="57">
        <f t="shared" si="100"/>
        <v>254.68874167908001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17.686365499756775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17.686365499756775</v>
      </c>
      <c r="EZ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7" t="e">
        <f t="shared" si="77"/>
        <v>#N/A</v>
      </c>
      <c r="FJ129" s="57" t="e">
        <f ca="1">AVERAGE(OFFSET($FI$3,0,0,'Données projet'!$E$16+1,1))-AVERAGE(OFFSET($H$3,0,0,'Données projet'!$E$16+1,1))</f>
        <v>#N/A</v>
      </c>
      <c r="FK129" s="57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7" t="e">
        <f t="shared" si="80"/>
        <v>#N/A</v>
      </c>
      <c r="GE129" s="57" t="e">
        <f ca="1">AVERAGE(OFFSET($GD$3,0,0,'Données projet'!$E$17+1,1))-AVERAGE(OFFSET($H$3,0,0,'Données projet'!$E$17+1,1))</f>
        <v>#N/A</v>
      </c>
      <c r="GF129" s="57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7" t="e">
        <f t="shared" si="83"/>
        <v>#N/A</v>
      </c>
      <c r="GZ129" s="57" t="e">
        <f ca="1">AVERAGE(OFFSET($GY$3,0,0,'Données projet'!$E$18+1,1))-AVERAGE(OFFSET($H$3,0,0,'Données projet'!$E$18+1,1))</f>
        <v>#N/A</v>
      </c>
      <c r="HA129" s="57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0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4">
        <f t="shared" si="56"/>
        <v>538.03966105236361</v>
      </c>
      <c r="I130" s="6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258.61679999999996</v>
      </c>
      <c r="P130" s="13">
        <f t="shared" si="87"/>
        <v>62.427444141032439</v>
      </c>
      <c r="Q130" s="20">
        <f t="shared" si="107"/>
        <v>559.15205854563135</v>
      </c>
      <c r="R130" s="57">
        <f t="shared" si="55"/>
        <v>852.48539187896472</v>
      </c>
      <c r="S130" s="57">
        <f ca="1">AVERAGE(OFFSET($R$3,0,0,'Données projet'!$E$9+1,1))-AVERAGE(OFFSET($H$3,0,0,'Données projet'!$E$9+1,1))</f>
        <v>267.44861001389006</v>
      </c>
      <c r="T130" s="57">
        <f t="shared" si="88"/>
        <v>165.25921510802965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73.481477915134704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73.481477915134704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306.99999999999994</v>
      </c>
      <c r="AJ130" s="13">
        <f>AI130*VLOOKUP('Données projet'!$B$10,Paramètres!$A$1:$I$89,3,0)*VLOOKUP('Données projet'!$B$10,Paramètres!$A$1:$I$89,5,0)</f>
        <v>277.77359999999993</v>
      </c>
      <c r="AK130" s="13">
        <f t="shared" si="89"/>
        <v>66.496288176842356</v>
      </c>
      <c r="AL130" s="20">
        <f t="shared" si="58"/>
        <v>599.60338857466706</v>
      </c>
      <c r="AM130" s="57">
        <f t="shared" si="59"/>
        <v>892.93672190800044</v>
      </c>
      <c r="AN130" s="57">
        <f ca="1">AVERAGE(OFFSET($AM$3,0,0,'Données projet'!$E$10+1,1))-AVERAGE(OFFSET($H$3,0,0,'Données projet'!$E$10+1,1))</f>
        <v>294.92430430387071</v>
      </c>
      <c r="AO130" s="57">
        <f t="shared" si="90"/>
        <v>181.52228471516497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78.92455035329283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78.92455035329283</v>
      </c>
      <c r="AY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319</v>
      </c>
      <c r="BE130" s="13">
        <f>BD130*VLOOKUP('Données projet'!$B$11,Paramètres!$A$1:$I$89,3,0)*VLOOKUP('Données projet'!$B$11,Paramètres!$A$1:$I$89,5,0)</f>
        <v>258.77280000000002</v>
      </c>
      <c r="BF130" s="13">
        <f t="shared" si="91"/>
        <v>62.460716522234691</v>
      </c>
      <c r="BG130" s="20">
        <f t="shared" si="61"/>
        <v>559.48170794289206</v>
      </c>
      <c r="BH130" s="57">
        <f t="shared" si="62"/>
        <v>852.81504127622543</v>
      </c>
      <c r="BI130" s="57">
        <f ca="1">AVERAGE(OFFSET($BH$3,0,0,'Données projet'!$E$11+1,1))-AVERAGE(OFFSET($H$3,0,0,'Données projet'!$E$11+1,1))</f>
        <v>250.90550982248311</v>
      </c>
      <c r="BJ130" s="57">
        <f t="shared" si="92"/>
        <v>254.68874167908001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17.339546659924309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17.339546659924309</v>
      </c>
      <c r="BT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739.99999999999966</v>
      </c>
      <c r="BZ130" s="13">
        <f>BY130*VLOOKUP('Données projet'!$B$12,Paramètres!$A$1:$I$89,3,0)*VLOOKUP('Données projet'!$B$12,Paramètres!$A$1:$I$89,5,0)</f>
        <v>413.65999999999985</v>
      </c>
      <c r="CA130" s="13">
        <f t="shared" si="93"/>
        <v>94.540585122244352</v>
      </c>
      <c r="CB130" s="20">
        <f t="shared" si="64"/>
        <v>885.11601908790863</v>
      </c>
      <c r="CC130" s="57">
        <f t="shared" si="65"/>
        <v>1178.4493524212419</v>
      </c>
      <c r="CD130" s="57">
        <f ca="1">AVERAGE(OFFSET($CC$3,0,0,'Données projet'!$E$12+1,1))-AVERAGE(OFFSET($H$3,0,0,'Données projet'!$E$12+1,1))</f>
        <v>462.54745364638171</v>
      </c>
      <c r="CE130" s="57">
        <f t="shared" si="94"/>
        <v>571.50914830067313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32.763913601526198</v>
      </c>
      <c r="CL130" s="21">
        <f>EXP(-LN(2)/25)*CL129+(1-EXP(-LN(2)/25))/(LN(2)/25)*Calculateur!CG130*Calculateur!CI130*VLOOKUP('Données projet'!$B$12,Paramètres!$A$1:$I$89,3,0)*0.475*44/12</f>
        <v>3.9245836121220008</v>
      </c>
      <c r="CM130" s="21">
        <f>EXP(-LN(2)/2)*CM129+(1-EXP(-LN(2)/2))/(LN(2)/2)*CG130*CJ130*VLOOKUP('Données projet'!$B$12,Paramètres!$A$1:$I$89,3,0)*0.475*44/12</f>
        <v>2.1365400325642872E-15</v>
      </c>
      <c r="CN130" s="22">
        <f t="shared" si="66"/>
        <v>36.688497213648198</v>
      </c>
      <c r="CO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245.99999999999994</v>
      </c>
      <c r="CU130" s="17">
        <f>CT130*VLOOKUP('Données projet'!$B$13,Paramètres!$A$1:$I$89,3,0)*VLOOKUP('Données projet'!$B$13,Paramètres!$A$1:$I$89,5,0)</f>
        <v>234.09359999999998</v>
      </c>
      <c r="CV130" s="13">
        <f t="shared" si="95"/>
        <v>57.166902703920208</v>
      </c>
      <c r="CW130" s="20">
        <f t="shared" si="67"/>
        <v>507.27870887599425</v>
      </c>
      <c r="CX130" s="57">
        <f t="shared" si="68"/>
        <v>800.61204220932757</v>
      </c>
      <c r="CY130" s="57">
        <f ca="1">AVERAGE(OFFSET($CX$3,0,0,'Données projet'!$E$13+1,1))-AVERAGE(OFFSET($H$3,0,0,'Données projet'!$E$13+1,1))</f>
        <v>314.67680626853303</v>
      </c>
      <c r="CZ130" s="57">
        <f t="shared" si="96"/>
        <v>372.57247561536263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61.484280124467844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61.484280124467844</v>
      </c>
      <c r="DJ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319</v>
      </c>
      <c r="DP130" s="17">
        <f>DO130*VLOOKUP('Données projet'!$B$14,Paramètres!$A$1:$I$89,3,0)*VLOOKUP('Données projet'!$B$14,Paramètres!$A$1:$I$89,5,0)</f>
        <v>209.00879999999998</v>
      </c>
      <c r="DQ130" s="13">
        <f t="shared" si="97"/>
        <v>51.718923953824202</v>
      </c>
      <c r="DR130" s="20">
        <f t="shared" si="70"/>
        <v>454.10078588624373</v>
      </c>
      <c r="DS130" s="57">
        <f t="shared" si="71"/>
        <v>747.43411921957704</v>
      </c>
      <c r="DT130" s="57">
        <f ca="1">AVERAGE(OFFSET($DS$3,0,0,'Données projet'!$E$14+1,1))-AVERAGE(OFFSET($H$3,0,0,'Données projet'!$E$14+1,1))</f>
        <v>188.80259324758066</v>
      </c>
      <c r="DU130" s="57">
        <f t="shared" si="98"/>
        <v>195.48048518255354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14.005018456092724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14.005018456092724</v>
      </c>
      <c r="EE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319</v>
      </c>
      <c r="EK130" s="17">
        <f>EJ130*VLOOKUP('Données projet'!$B$15,Paramètres!$A$1:$I$89,3,0)*VLOOKUP('Données projet'!$B$15,Paramètres!$A$1:$I$89,5,0)</f>
        <v>258.77280000000002</v>
      </c>
      <c r="EL130" s="13">
        <f t="shared" si="99"/>
        <v>62.460716522234691</v>
      </c>
      <c r="EM130" s="20">
        <f t="shared" si="73"/>
        <v>559.48170794289206</v>
      </c>
      <c r="EN130" s="57">
        <f t="shared" si="74"/>
        <v>852.81504127622543</v>
      </c>
      <c r="EO130" s="57">
        <f ca="1">AVERAGE(OFFSET($EN$3,0,0,'Données projet'!$E$15+1,1))-AVERAGE(OFFSET($H$3,0,0,'Données projet'!$E$15+1,1))</f>
        <v>250.90550982248311</v>
      </c>
      <c r="EP130" s="57">
        <f t="shared" si="100"/>
        <v>254.68874167908001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17.339546659924309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17.339546659924309</v>
      </c>
      <c r="EZ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7" t="e">
        <f t="shared" si="77"/>
        <v>#N/A</v>
      </c>
      <c r="FJ130" s="57" t="e">
        <f ca="1">AVERAGE(OFFSET($FI$3,0,0,'Données projet'!$E$16+1,1))-AVERAGE(OFFSET($H$3,0,0,'Données projet'!$E$16+1,1))</f>
        <v>#N/A</v>
      </c>
      <c r="FK130" s="57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7" t="e">
        <f t="shared" si="80"/>
        <v>#N/A</v>
      </c>
      <c r="GE130" s="57" t="e">
        <f ca="1">AVERAGE(OFFSET($GD$3,0,0,'Données projet'!$E$17+1,1))-AVERAGE(OFFSET($H$3,0,0,'Données projet'!$E$17+1,1))</f>
        <v>#N/A</v>
      </c>
      <c r="GF130" s="57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7" t="e">
        <f t="shared" si="83"/>
        <v>#N/A</v>
      </c>
      <c r="GZ130" s="57" t="e">
        <f ca="1">AVERAGE(OFFSET($GY$3,0,0,'Données projet'!$E$18+1,1))-AVERAGE(OFFSET($H$3,0,0,'Données projet'!$E$18+1,1))</f>
        <v>#N/A</v>
      </c>
      <c r="HA130" s="57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0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4">
        <f t="shared" si="56"/>
        <v>539.91914180046933</v>
      </c>
      <c r="I131" s="6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258.61679999999996</v>
      </c>
      <c r="P131" s="13">
        <f t="shared" si="87"/>
        <v>62.427444141032439</v>
      </c>
      <c r="Q131" s="20">
        <f t="shared" ref="Q131:Q153" si="108">(O131+P131)*0.475*44/12</f>
        <v>559.15205854563135</v>
      </c>
      <c r="R131" s="57">
        <f t="shared" ref="R131:R194" si="109">Q131+(I131+J131)*44/12</f>
        <v>852.48539187896472</v>
      </c>
      <c r="S131" s="57">
        <f ca="1">AVERAGE(OFFSET($R$3,0,0,'Données projet'!$E$9+1,1))-AVERAGE(OFFSET($H$3,0,0,'Données projet'!$E$9+1,1))</f>
        <v>267.44861001389006</v>
      </c>
      <c r="T131" s="57">
        <f t="shared" si="88"/>
        <v>165.25921510802965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72.040550952494911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72.040550952494911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306.99999999999994</v>
      </c>
      <c r="AJ131" s="13">
        <f>AI131*VLOOKUP('Données projet'!$B$10,Paramètres!$A$1:$I$89,3,0)*VLOOKUP('Données projet'!$B$10,Paramètres!$A$1:$I$89,5,0)</f>
        <v>277.77359999999993</v>
      </c>
      <c r="AK131" s="13">
        <f t="shared" si="89"/>
        <v>66.496288176842356</v>
      </c>
      <c r="AL131" s="20">
        <f t="shared" si="58"/>
        <v>599.60338857466706</v>
      </c>
      <c r="AM131" s="57">
        <f t="shared" si="59"/>
        <v>892.93672190800044</v>
      </c>
      <c r="AN131" s="57">
        <f ca="1">AVERAGE(OFFSET($AM$3,0,0,'Données projet'!$E$10+1,1))-AVERAGE(OFFSET($H$3,0,0,'Données projet'!$E$10+1,1))</f>
        <v>294.92430430387071</v>
      </c>
      <c r="AO131" s="57">
        <f t="shared" si="90"/>
        <v>181.52228471516497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77.376888060087126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77.376888060087126</v>
      </c>
      <c r="AY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319</v>
      </c>
      <c r="BE131" s="13">
        <f>BD131*VLOOKUP('Données projet'!$B$11,Paramètres!$A$1:$I$89,3,0)*VLOOKUP('Données projet'!$B$11,Paramètres!$A$1:$I$89,5,0)</f>
        <v>258.77280000000002</v>
      </c>
      <c r="BF131" s="13">
        <f t="shared" si="91"/>
        <v>62.460716522234691</v>
      </c>
      <c r="BG131" s="20">
        <f t="shared" si="61"/>
        <v>559.48170794289206</v>
      </c>
      <c r="BH131" s="57">
        <f t="shared" si="62"/>
        <v>852.81504127622543</v>
      </c>
      <c r="BI131" s="57">
        <f ca="1">AVERAGE(OFFSET($BH$3,0,0,'Données projet'!$E$11+1,1))-AVERAGE(OFFSET($H$3,0,0,'Données projet'!$E$11+1,1))</f>
        <v>250.90550982248311</v>
      </c>
      <c r="BJ131" s="57">
        <f t="shared" si="92"/>
        <v>254.68874167908001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16.999528726002357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16.999528726002357</v>
      </c>
      <c r="BT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739.99999999999966</v>
      </c>
      <c r="BZ131" s="13">
        <f>BY131*VLOOKUP('Données projet'!$B$12,Paramètres!$A$1:$I$89,3,0)*VLOOKUP('Données projet'!$B$12,Paramètres!$A$1:$I$89,5,0)</f>
        <v>413.65999999999985</v>
      </c>
      <c r="CA131" s="13">
        <f t="shared" si="93"/>
        <v>94.540585122244352</v>
      </c>
      <c r="CB131" s="20">
        <f t="shared" si="64"/>
        <v>885.11601908790863</v>
      </c>
      <c r="CC131" s="57">
        <f t="shared" si="65"/>
        <v>1178.4493524212419</v>
      </c>
      <c r="CD131" s="57">
        <f ca="1">AVERAGE(OFFSET($CC$3,0,0,'Données projet'!$E$12+1,1))-AVERAGE(OFFSET($H$3,0,0,'Données projet'!$E$12+1,1))</f>
        <v>462.54745364638171</v>
      </c>
      <c r="CE131" s="57">
        <f t="shared" si="94"/>
        <v>571.50914830067313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32.121433239814309</v>
      </c>
      <c r="CL131" s="21">
        <f>EXP(-LN(2)/25)*CL130+(1-EXP(-LN(2)/25))/(LN(2)/25)*Calculateur!CG131*Calculateur!CI131*VLOOKUP('Données projet'!$B$12,Paramètres!$A$1:$I$89,3,0)*0.475*44/12</f>
        <v>3.8172656668636424</v>
      </c>
      <c r="CM131" s="21">
        <f>EXP(-LN(2)/2)*CM130+(1-EXP(-LN(2)/2))/(LN(2)/2)*CG131*CJ131*VLOOKUP('Données projet'!$B$12,Paramètres!$A$1:$I$89,3,0)*0.475*44/12</f>
        <v>1.5107619453027346E-15</v>
      </c>
      <c r="CN131" s="22">
        <f t="shared" si="66"/>
        <v>35.938698906677949</v>
      </c>
      <c r="CO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245.99999999999994</v>
      </c>
      <c r="CU131" s="17">
        <f>CT131*VLOOKUP('Données projet'!$B$13,Paramètres!$A$1:$I$89,3,0)*VLOOKUP('Données projet'!$B$13,Paramètres!$A$1:$I$89,5,0)</f>
        <v>234.09359999999998</v>
      </c>
      <c r="CV131" s="13">
        <f t="shared" si="95"/>
        <v>57.166902703920208</v>
      </c>
      <c r="CW131" s="20">
        <f t="shared" si="67"/>
        <v>507.27870887599425</v>
      </c>
      <c r="CX131" s="57">
        <f t="shared" si="68"/>
        <v>800.61204220932757</v>
      </c>
      <c r="CY131" s="57">
        <f ca="1">AVERAGE(OFFSET($CX$3,0,0,'Données projet'!$E$13+1,1))-AVERAGE(OFFSET($H$3,0,0,'Données projet'!$E$13+1,1))</f>
        <v>314.67680626853303</v>
      </c>
      <c r="CZ131" s="57">
        <f t="shared" si="96"/>
        <v>372.57247561536263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60.278610892934921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60.278610892934921</v>
      </c>
      <c r="DJ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319</v>
      </c>
      <c r="DP131" s="17">
        <f>DO131*VLOOKUP('Données projet'!$B$14,Paramètres!$A$1:$I$89,3,0)*VLOOKUP('Données projet'!$B$14,Paramètres!$A$1:$I$89,5,0)</f>
        <v>209.00879999999998</v>
      </c>
      <c r="DQ131" s="13">
        <f t="shared" si="97"/>
        <v>51.718923953824202</v>
      </c>
      <c r="DR131" s="20">
        <f t="shared" si="70"/>
        <v>454.10078588624373</v>
      </c>
      <c r="DS131" s="57">
        <f t="shared" si="71"/>
        <v>747.43411921957704</v>
      </c>
      <c r="DT131" s="57">
        <f ca="1">AVERAGE(OFFSET($DS$3,0,0,'Données projet'!$E$14+1,1))-AVERAGE(OFFSET($H$3,0,0,'Données projet'!$E$14+1,1))</f>
        <v>188.80259324758066</v>
      </c>
      <c r="DU131" s="57">
        <f t="shared" si="98"/>
        <v>195.48048518255354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13.73038858638653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13.73038858638653</v>
      </c>
      <c r="EE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319</v>
      </c>
      <c r="EK131" s="17">
        <f>EJ131*VLOOKUP('Données projet'!$B$15,Paramètres!$A$1:$I$89,3,0)*VLOOKUP('Données projet'!$B$15,Paramètres!$A$1:$I$89,5,0)</f>
        <v>258.77280000000002</v>
      </c>
      <c r="EL131" s="13">
        <f t="shared" si="99"/>
        <v>62.460716522234691</v>
      </c>
      <c r="EM131" s="20">
        <f t="shared" si="73"/>
        <v>559.48170794289206</v>
      </c>
      <c r="EN131" s="57">
        <f t="shared" si="74"/>
        <v>852.81504127622543</v>
      </c>
      <c r="EO131" s="57">
        <f ca="1">AVERAGE(OFFSET($EN$3,0,0,'Données projet'!$E$15+1,1))-AVERAGE(OFFSET($H$3,0,0,'Données projet'!$E$15+1,1))</f>
        <v>250.90550982248311</v>
      </c>
      <c r="EP131" s="57">
        <f t="shared" si="100"/>
        <v>254.68874167908001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16.999528726002357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16.999528726002357</v>
      </c>
      <c r="EZ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7" t="e">
        <f t="shared" si="77"/>
        <v>#N/A</v>
      </c>
      <c r="FJ131" s="57" t="e">
        <f ca="1">AVERAGE(OFFSET($FI$3,0,0,'Données projet'!$E$16+1,1))-AVERAGE(OFFSET($H$3,0,0,'Données projet'!$E$16+1,1))</f>
        <v>#N/A</v>
      </c>
      <c r="FK131" s="57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7" t="e">
        <f t="shared" si="80"/>
        <v>#N/A</v>
      </c>
      <c r="GE131" s="57" t="e">
        <f ca="1">AVERAGE(OFFSET($GD$3,0,0,'Données projet'!$E$17+1,1))-AVERAGE(OFFSET($H$3,0,0,'Données projet'!$E$17+1,1))</f>
        <v>#N/A</v>
      </c>
      <c r="GF131" s="57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7" t="e">
        <f t="shared" si="83"/>
        <v>#N/A</v>
      </c>
      <c r="GZ131" s="57" t="e">
        <f ca="1">AVERAGE(OFFSET($GY$3,0,0,'Données projet'!$E$18+1,1))-AVERAGE(OFFSET($H$3,0,0,'Données projet'!$E$18+1,1))</f>
        <v>#N/A</v>
      </c>
      <c r="HA131" s="57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0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4">
        <f t="shared" ref="H132:H195" si="110">(B132+E132+F132)*44/12+(C132+D132)*0.475*44/12</f>
        <v>541.7982971724839</v>
      </c>
      <c r="I132" s="6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258.61679999999996</v>
      </c>
      <c r="P132" s="13">
        <f t="shared" si="87"/>
        <v>62.427444141032439</v>
      </c>
      <c r="Q132" s="20">
        <f t="shared" si="108"/>
        <v>559.15205854563135</v>
      </c>
      <c r="R132" s="57">
        <f t="shared" si="109"/>
        <v>852.48539187896472</v>
      </c>
      <c r="S132" s="57">
        <f ca="1">AVERAGE(OFFSET($R$3,0,0,'Données projet'!$E$9+1,1))-AVERAGE(OFFSET($H$3,0,0,'Données projet'!$E$9+1,1))</f>
        <v>267.44861001389006</v>
      </c>
      <c r="T132" s="57">
        <f t="shared" si="88"/>
        <v>165.25921510802965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70.627879688713818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70.627879688713818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306.99999999999994</v>
      </c>
      <c r="AJ132" s="13">
        <f>AI132*VLOOKUP('Données projet'!$B$10,Paramètres!$A$1:$I$89,3,0)*VLOOKUP('Données projet'!$B$10,Paramètres!$A$1:$I$89,5,0)</f>
        <v>277.77359999999993</v>
      </c>
      <c r="AK132" s="13">
        <f t="shared" si="89"/>
        <v>66.496288176842356</v>
      </c>
      <c r="AL132" s="20">
        <f t="shared" ref="AL132:AL153" si="112">(AJ132+AK132)*0.475*44/12</f>
        <v>599.60338857466706</v>
      </c>
      <c r="AM132" s="57">
        <f t="shared" ref="AM132:AM195" si="113">AL132+(AD132+AE132)*44/12</f>
        <v>892.93672190800044</v>
      </c>
      <c r="AN132" s="57">
        <f ca="1">AVERAGE(OFFSET($AM$3,0,0,'Données projet'!$E$10+1,1))-AVERAGE(OFFSET($H$3,0,0,'Données projet'!$E$10+1,1))</f>
        <v>294.92430430387071</v>
      </c>
      <c r="AO132" s="57">
        <f t="shared" si="90"/>
        <v>181.52228471516497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75.859574480470386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75.859574480470386</v>
      </c>
      <c r="AY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319</v>
      </c>
      <c r="BE132" s="13">
        <f>BD132*VLOOKUP('Données projet'!$B$11,Paramètres!$A$1:$I$89,3,0)*VLOOKUP('Données projet'!$B$11,Paramètres!$A$1:$I$89,5,0)</f>
        <v>258.77280000000002</v>
      </c>
      <c r="BF132" s="13">
        <f t="shared" si="91"/>
        <v>62.460716522234691</v>
      </c>
      <c r="BG132" s="20">
        <f t="shared" ref="BG132:BG153" si="115">(BE132+BF132)*0.475*44/12</f>
        <v>559.48170794289206</v>
      </c>
      <c r="BH132" s="57">
        <f t="shared" ref="BH132:BH195" si="116">BG132+(AY132+AZ132)*44/12</f>
        <v>852.81504127622543</v>
      </c>
      <c r="BI132" s="57">
        <f ca="1">AVERAGE(OFFSET($BH$3,0,0,'Données projet'!$E$11+1,1))-AVERAGE(OFFSET($H$3,0,0,'Données projet'!$E$11+1,1))</f>
        <v>250.90550982248311</v>
      </c>
      <c r="BJ132" s="57">
        <f t="shared" si="92"/>
        <v>254.68874167908001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16.666178336374152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16.666178336374152</v>
      </c>
      <c r="BT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739.99999999999966</v>
      </c>
      <c r="BZ132" s="13">
        <f>BY132*VLOOKUP('Données projet'!$B$12,Paramètres!$A$1:$I$89,3,0)*VLOOKUP('Données projet'!$B$12,Paramètres!$A$1:$I$89,5,0)</f>
        <v>413.65999999999985</v>
      </c>
      <c r="CA132" s="13">
        <f t="shared" si="93"/>
        <v>94.540585122244352</v>
      </c>
      <c r="CB132" s="20">
        <f t="shared" ref="CB132:CB153" si="118">(BZ132+CA132)*0.475*44/12</f>
        <v>885.11601908790863</v>
      </c>
      <c r="CC132" s="57">
        <f t="shared" ref="CC132:CC195" si="119">CB132+(BT132+BU132)*44/12</f>
        <v>1178.4493524212419</v>
      </c>
      <c r="CD132" s="57">
        <f ca="1">AVERAGE(OFFSET($CC$3,0,0,'Données projet'!$E$12+1,1))-AVERAGE(OFFSET($H$3,0,0,'Données projet'!$E$12+1,1))</f>
        <v>462.54745364638171</v>
      </c>
      <c r="CE132" s="57">
        <f t="shared" si="94"/>
        <v>571.50914830067313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31.491551526121263</v>
      </c>
      <c r="CL132" s="21">
        <f>EXP(-LN(2)/25)*CL131+(1-EXP(-LN(2)/25))/(LN(2)/25)*Calculateur!CG132*Calculateur!CI132*VLOOKUP('Données projet'!$B$12,Paramètres!$A$1:$I$89,3,0)*0.475*44/12</f>
        <v>3.7128823364619792</v>
      </c>
      <c r="CM132" s="21">
        <f>EXP(-LN(2)/2)*CM131+(1-EXP(-LN(2)/2))/(LN(2)/2)*CG132*CJ132*VLOOKUP('Données projet'!$B$12,Paramètres!$A$1:$I$89,3,0)*0.475*44/12</f>
        <v>1.0682700162821436E-15</v>
      </c>
      <c r="CN132" s="22">
        <f t="shared" ref="CN132:CN153" si="120">SUM(CK132:CM132)</f>
        <v>35.204433862583244</v>
      </c>
      <c r="CO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245.99999999999994</v>
      </c>
      <c r="CU132" s="17">
        <f>CT132*VLOOKUP('Données projet'!$B$13,Paramètres!$A$1:$I$89,3,0)*VLOOKUP('Données projet'!$B$13,Paramètres!$A$1:$I$89,5,0)</f>
        <v>234.09359999999998</v>
      </c>
      <c r="CV132" s="13">
        <f t="shared" si="95"/>
        <v>57.166902703920208</v>
      </c>
      <c r="CW132" s="20">
        <f t="shared" ref="CW132:CW153" si="121">(CU132+CV132)*0.475*44/12</f>
        <v>507.27870887599425</v>
      </c>
      <c r="CX132" s="57">
        <f t="shared" ref="CX132:CX195" si="122">CW132+(CO132+CP132)*44/12</f>
        <v>800.61204220932757</v>
      </c>
      <c r="CY132" s="57">
        <f ca="1">AVERAGE(OFFSET($CX$3,0,0,'Données projet'!$E$13+1,1))-AVERAGE(OFFSET($H$3,0,0,'Données projet'!$E$13+1,1))</f>
        <v>314.67680626853303</v>
      </c>
      <c r="CZ132" s="57">
        <f t="shared" si="96"/>
        <v>372.57247561536263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59.096584099646741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59.096584099646741</v>
      </c>
      <c r="DJ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319</v>
      </c>
      <c r="DP132" s="17">
        <f>DO132*VLOOKUP('Données projet'!$B$14,Paramètres!$A$1:$I$89,3,0)*VLOOKUP('Données projet'!$B$14,Paramètres!$A$1:$I$89,5,0)</f>
        <v>209.00879999999998</v>
      </c>
      <c r="DQ132" s="13">
        <f t="shared" si="97"/>
        <v>51.718923953824202</v>
      </c>
      <c r="DR132" s="20">
        <f t="shared" ref="DR132:DR153" si="124">(DP132+DQ132)*0.475*44/12</f>
        <v>454.10078588624373</v>
      </c>
      <c r="DS132" s="57">
        <f t="shared" ref="DS132:DS195" si="125">DR132+(DJ132+DK132)*44/12</f>
        <v>747.43411921957704</v>
      </c>
      <c r="DT132" s="57">
        <f ca="1">AVERAGE(OFFSET($DS$3,0,0,'Données projet'!$E$14+1,1))-AVERAGE(OFFSET($H$3,0,0,'Données projet'!$E$14+1,1))</f>
        <v>188.80259324758066</v>
      </c>
      <c r="DU132" s="57">
        <f t="shared" si="98"/>
        <v>195.48048518255354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13.461144040917594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13.461144040917594</v>
      </c>
      <c r="EE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319</v>
      </c>
      <c r="EK132" s="17">
        <f>EJ132*VLOOKUP('Données projet'!$B$15,Paramètres!$A$1:$I$89,3,0)*VLOOKUP('Données projet'!$B$15,Paramètres!$A$1:$I$89,5,0)</f>
        <v>258.77280000000002</v>
      </c>
      <c r="EL132" s="13">
        <f t="shared" si="99"/>
        <v>62.460716522234691</v>
      </c>
      <c r="EM132" s="20">
        <f t="shared" ref="EM132:EM153" si="127">(EK132+EL132)*0.475*44/12</f>
        <v>559.48170794289206</v>
      </c>
      <c r="EN132" s="57">
        <f t="shared" ref="EN132:EN195" si="128">EM132+(EE132+EF132)*44/12</f>
        <v>852.81504127622543</v>
      </c>
      <c r="EO132" s="57">
        <f ca="1">AVERAGE(OFFSET($EN$3,0,0,'Données projet'!$E$15+1,1))-AVERAGE(OFFSET($H$3,0,0,'Données projet'!$E$15+1,1))</f>
        <v>250.90550982248311</v>
      </c>
      <c r="EP132" s="57">
        <f t="shared" si="100"/>
        <v>254.68874167908001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16.666178336374152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16.666178336374152</v>
      </c>
      <c r="EZ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7" t="e">
        <f t="shared" ref="FI132:FI195" si="131">FH132+(EZ132+FA132)*44/12</f>
        <v>#N/A</v>
      </c>
      <c r="FJ132" s="57" t="e">
        <f ca="1">AVERAGE(OFFSET($FI$3,0,0,'Données projet'!$E$16+1,1))-AVERAGE(OFFSET($H$3,0,0,'Données projet'!$E$16+1,1))</f>
        <v>#N/A</v>
      </c>
      <c r="FK132" s="57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7" t="e">
        <f t="shared" ref="GD132:GD195" si="134">GC132+(FU132+FV132)*44/12</f>
        <v>#N/A</v>
      </c>
      <c r="GE132" s="57" t="e">
        <f ca="1">AVERAGE(OFFSET($GD$3,0,0,'Données projet'!$E$17+1,1))-AVERAGE(OFFSET($H$3,0,0,'Données projet'!$E$17+1,1))</f>
        <v>#N/A</v>
      </c>
      <c r="GF132" s="57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7" t="e">
        <f t="shared" ref="GY132:GY195" si="137">GX132+(GP132+GQ132)*44/12</f>
        <v>#N/A</v>
      </c>
      <c r="GZ132" s="57" t="e">
        <f ca="1">AVERAGE(OFFSET($GY$3,0,0,'Données projet'!$E$18+1,1))-AVERAGE(OFFSET($H$3,0,0,'Données projet'!$E$18+1,1))</f>
        <v>#N/A</v>
      </c>
      <c r="HA132" s="57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0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4">
        <f t="shared" si="110"/>
        <v>543.67712998308446</v>
      </c>
      <c r="I133" s="6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258.61679999999996</v>
      </c>
      <c r="P133" s="13">
        <f t="shared" ref="P133:P196" si="141">EXP(-1.0587+0.8836*LN(O133)+0.284)</f>
        <v>62.427444141032439</v>
      </c>
      <c r="Q133" s="20">
        <f t="shared" si="108"/>
        <v>559.15205854563135</v>
      </c>
      <c r="R133" s="57">
        <f t="shared" si="109"/>
        <v>852.48539187896472</v>
      </c>
      <c r="S133" s="57">
        <f ca="1">AVERAGE(OFFSET($R$3,0,0,'Données projet'!$E$9+1,1))-AVERAGE(OFFSET($H$3,0,0,'Données projet'!$E$9+1,1))</f>
        <v>267.44861001389006</v>
      </c>
      <c r="T133" s="57">
        <f t="shared" ref="T133:T196" si="142">$T$3</f>
        <v>165.25921510802965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69.242910046771073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69.242910046771073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306.99999999999994</v>
      </c>
      <c r="AJ133" s="13">
        <f>AI133*VLOOKUP('Données projet'!$B$10,Paramètres!$A$1:$I$89,3,0)*VLOOKUP('Données projet'!$B$10,Paramètres!$A$1:$I$89,5,0)</f>
        <v>277.77359999999993</v>
      </c>
      <c r="AK133" s="13">
        <f t="shared" ref="AK133:AK153" si="143">EXP(-1.0587+0.8836*LN(AJ133)+0.284)</f>
        <v>66.496288176842356</v>
      </c>
      <c r="AL133" s="20">
        <f t="shared" si="112"/>
        <v>599.60338857466706</v>
      </c>
      <c r="AM133" s="57">
        <f t="shared" si="113"/>
        <v>892.93672190800044</v>
      </c>
      <c r="AN133" s="57">
        <f ca="1">AVERAGE(OFFSET($AM$3,0,0,'Données projet'!$E$10+1,1))-AVERAGE(OFFSET($H$3,0,0,'Données projet'!$E$10+1,1))</f>
        <v>294.92430430387071</v>
      </c>
      <c r="AO133" s="57">
        <f t="shared" ref="AO133:AO196" si="144">$AO$3</f>
        <v>181.52228471516497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74.37201449468003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74.37201449468003</v>
      </c>
      <c r="AY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319</v>
      </c>
      <c r="BE133" s="13">
        <f>BD133*VLOOKUP('Données projet'!$B$11,Paramètres!$A$1:$I$89,3,0)*VLOOKUP('Données projet'!$B$11,Paramètres!$A$1:$I$89,5,0)</f>
        <v>258.77280000000002</v>
      </c>
      <c r="BF133" s="13">
        <f t="shared" ref="BF133:BF153" si="145">EXP(-1.0587+0.8836*LN(BE133)+0.284)</f>
        <v>62.460716522234691</v>
      </c>
      <c r="BG133" s="20">
        <f t="shared" si="115"/>
        <v>559.48170794289206</v>
      </c>
      <c r="BH133" s="57">
        <f t="shared" si="116"/>
        <v>852.81504127622543</v>
      </c>
      <c r="BI133" s="57">
        <f ca="1">AVERAGE(OFFSET($BH$3,0,0,'Données projet'!$E$11+1,1))-AVERAGE(OFFSET($H$3,0,0,'Données projet'!$E$11+1,1))</f>
        <v>250.90550982248311</v>
      </c>
      <c r="BJ133" s="57">
        <f t="shared" ref="BJ133:BJ196" si="146">$BJ$3</f>
        <v>254.68874167908001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16.339364744562893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16.339364744562893</v>
      </c>
      <c r="BT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739.99999999999966</v>
      </c>
      <c r="BZ133" s="13">
        <f>BY133*VLOOKUP('Données projet'!$B$12,Paramètres!$A$1:$I$89,3,0)*VLOOKUP('Données projet'!$B$12,Paramètres!$A$1:$I$89,5,0)</f>
        <v>413.65999999999985</v>
      </c>
      <c r="CA133" s="13">
        <f t="shared" ref="CA133:CA153" si="147">EXP(-1.0587+0.8836*LN(BZ133)+0.284)</f>
        <v>94.540585122244352</v>
      </c>
      <c r="CB133" s="20">
        <f t="shared" si="118"/>
        <v>885.11601908790863</v>
      </c>
      <c r="CC133" s="57">
        <f t="shared" si="119"/>
        <v>1178.4493524212419</v>
      </c>
      <c r="CD133" s="57">
        <f ca="1">AVERAGE(OFFSET($CC$3,0,0,'Données projet'!$E$12+1,1))-AVERAGE(OFFSET($H$3,0,0,'Données projet'!$E$12+1,1))</f>
        <v>462.54745364638171</v>
      </c>
      <c r="CE133" s="57">
        <f t="shared" ref="CE133:CE196" si="148">$CE$3</f>
        <v>571.50914830067313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30.874021408643827</v>
      </c>
      <c r="CL133" s="21">
        <f>EXP(-LN(2)/25)*CL132+(1-EXP(-LN(2)/25))/(LN(2)/25)*Calculateur!CG133*Calculateur!CI133*VLOOKUP('Données projet'!$B$12,Paramètres!$A$1:$I$89,3,0)*0.475*44/12</f>
        <v>3.6113533737194303</v>
      </c>
      <c r="CM133" s="21">
        <f>EXP(-LN(2)/2)*CM132+(1-EXP(-LN(2)/2))/(LN(2)/2)*CG133*CJ133*VLOOKUP('Données projet'!$B$12,Paramètres!$A$1:$I$89,3,0)*0.475*44/12</f>
        <v>7.553809726513673E-16</v>
      </c>
      <c r="CN133" s="22">
        <f t="shared" si="120"/>
        <v>34.485374782363259</v>
      </c>
      <c r="CO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245.99999999999994</v>
      </c>
      <c r="CU133" s="17">
        <f>CT133*VLOOKUP('Données projet'!$B$13,Paramètres!$A$1:$I$89,3,0)*VLOOKUP('Données projet'!$B$13,Paramètres!$A$1:$I$89,5,0)</f>
        <v>234.09359999999998</v>
      </c>
      <c r="CV133" s="13">
        <f t="shared" ref="CV133:CV153" si="149">EXP(-1.0587+0.8836*LN(CU133)+0.284)</f>
        <v>57.166902703920208</v>
      </c>
      <c r="CW133" s="20">
        <f t="shared" si="121"/>
        <v>507.27870887599425</v>
      </c>
      <c r="CX133" s="57">
        <f t="shared" si="122"/>
        <v>800.61204220932757</v>
      </c>
      <c r="CY133" s="57">
        <f ca="1">AVERAGE(OFFSET($CX$3,0,0,'Données projet'!$E$13+1,1))-AVERAGE(OFFSET($H$3,0,0,'Données projet'!$E$13+1,1))</f>
        <v>314.67680626853303</v>
      </c>
      <c r="CZ133" s="57">
        <f t="shared" ref="CZ133:CZ196" si="150">$CZ$3</f>
        <v>372.57247561536263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57.937736130809789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57.937736130809789</v>
      </c>
      <c r="DJ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319</v>
      </c>
      <c r="DP133" s="17">
        <f>DO133*VLOOKUP('Données projet'!$B$14,Paramètres!$A$1:$I$89,3,0)*VLOOKUP('Données projet'!$B$14,Paramètres!$A$1:$I$89,5,0)</f>
        <v>209.00879999999998</v>
      </c>
      <c r="DQ133" s="13">
        <f t="shared" ref="DQ133:DQ153" si="151">EXP(-1.0587+0.8836*LN(DP133)+0.284)</f>
        <v>51.718923953824202</v>
      </c>
      <c r="DR133" s="20">
        <f t="shared" si="124"/>
        <v>454.10078588624373</v>
      </c>
      <c r="DS133" s="57">
        <f t="shared" si="125"/>
        <v>747.43411921957704</v>
      </c>
      <c r="DT133" s="57">
        <f ca="1">AVERAGE(OFFSET($DS$3,0,0,'Données projet'!$E$14+1,1))-AVERAGE(OFFSET($H$3,0,0,'Données projet'!$E$14+1,1))</f>
        <v>188.80259324758066</v>
      </c>
      <c r="DU133" s="57">
        <f t="shared" ref="DU133:DU196" si="152">$DU$3</f>
        <v>195.48048518255354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13.197179216762347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13.197179216762347</v>
      </c>
      <c r="EE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319</v>
      </c>
      <c r="EK133" s="17">
        <f>EJ133*VLOOKUP('Données projet'!$B$15,Paramètres!$A$1:$I$89,3,0)*VLOOKUP('Données projet'!$B$15,Paramètres!$A$1:$I$89,5,0)</f>
        <v>258.77280000000002</v>
      </c>
      <c r="EL133" s="13">
        <f t="shared" ref="EL133:EL153" si="153">EXP(-1.0587+0.8836*LN(EK133)+0.284)</f>
        <v>62.460716522234691</v>
      </c>
      <c r="EM133" s="20">
        <f t="shared" si="127"/>
        <v>559.48170794289206</v>
      </c>
      <c r="EN133" s="57">
        <f t="shared" si="128"/>
        <v>852.81504127622543</v>
      </c>
      <c r="EO133" s="57">
        <f ca="1">AVERAGE(OFFSET($EN$3,0,0,'Données projet'!$E$15+1,1))-AVERAGE(OFFSET($H$3,0,0,'Données projet'!$E$15+1,1))</f>
        <v>250.90550982248311</v>
      </c>
      <c r="EP133" s="57">
        <f t="shared" ref="EP133:EP196" si="154">$EP$3</f>
        <v>254.68874167908001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16.339364744562893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16.339364744562893</v>
      </c>
      <c r="EZ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7" t="e">
        <f t="shared" si="131"/>
        <v>#N/A</v>
      </c>
      <c r="FJ133" s="57" t="e">
        <f ca="1">AVERAGE(OFFSET($FI$3,0,0,'Données projet'!$E$16+1,1))-AVERAGE(OFFSET($H$3,0,0,'Données projet'!$E$16+1,1))</f>
        <v>#N/A</v>
      </c>
      <c r="FK133" s="57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7" t="e">
        <f t="shared" si="134"/>
        <v>#N/A</v>
      </c>
      <c r="GE133" s="57" t="e">
        <f ca="1">AVERAGE(OFFSET($GD$3,0,0,'Données projet'!$E$17+1,1))-AVERAGE(OFFSET($H$3,0,0,'Données projet'!$E$17+1,1))</f>
        <v>#N/A</v>
      </c>
      <c r="GF133" s="57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7" t="e">
        <f t="shared" si="137"/>
        <v>#N/A</v>
      </c>
      <c r="GZ133" s="57" t="e">
        <f ca="1">AVERAGE(OFFSET($GY$3,0,0,'Données projet'!$E$18+1,1))-AVERAGE(OFFSET($H$3,0,0,'Données projet'!$E$18+1,1))</f>
        <v>#N/A</v>
      </c>
      <c r="HA133" s="57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0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4">
        <f t="shared" si="110"/>
        <v>545.55564300114418</v>
      </c>
      <c r="I134" s="6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258.61679999999996</v>
      </c>
      <c r="P134" s="13">
        <f t="shared" si="141"/>
        <v>62.427444141032439</v>
      </c>
      <c r="Q134" s="20">
        <f t="shared" si="108"/>
        <v>559.15205854563135</v>
      </c>
      <c r="R134" s="57">
        <f t="shared" si="109"/>
        <v>852.48539187896472</v>
      </c>
      <c r="S134" s="57">
        <f ca="1">AVERAGE(OFFSET($R$3,0,0,'Données projet'!$E$9+1,1))-AVERAGE(OFFSET($H$3,0,0,'Données projet'!$E$9+1,1))</f>
        <v>267.44861001389006</v>
      </c>
      <c r="T134" s="57">
        <f t="shared" si="142"/>
        <v>165.25921510802965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67.885098814758763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67.885098814758763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306.99999999999994</v>
      </c>
      <c r="AJ134" s="13">
        <f>AI134*VLOOKUP('Données projet'!$B$10,Paramètres!$A$1:$I$89,3,0)*VLOOKUP('Données projet'!$B$10,Paramètres!$A$1:$I$89,5,0)</f>
        <v>277.77359999999993</v>
      </c>
      <c r="AK134" s="13">
        <f t="shared" si="143"/>
        <v>66.496288176842356</v>
      </c>
      <c r="AL134" s="20">
        <f t="shared" si="112"/>
        <v>599.60338857466706</v>
      </c>
      <c r="AM134" s="57">
        <f t="shared" si="113"/>
        <v>892.93672190800044</v>
      </c>
      <c r="AN134" s="57">
        <f ca="1">AVERAGE(OFFSET($AM$3,0,0,'Données projet'!$E$10+1,1))-AVERAGE(OFFSET($H$3,0,0,'Données projet'!$E$10+1,1))</f>
        <v>294.92430430387071</v>
      </c>
      <c r="AO134" s="57">
        <f t="shared" si="144"/>
        <v>181.52228471516497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72.913624652889027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72.913624652889027</v>
      </c>
      <c r="AY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319</v>
      </c>
      <c r="BE134" s="13">
        <f>BD134*VLOOKUP('Données projet'!$B$11,Paramètres!$A$1:$I$89,3,0)*VLOOKUP('Données projet'!$B$11,Paramètres!$A$1:$I$89,5,0)</f>
        <v>258.77280000000002</v>
      </c>
      <c r="BF134" s="13">
        <f t="shared" si="145"/>
        <v>62.460716522234691</v>
      </c>
      <c r="BG134" s="20">
        <f t="shared" si="115"/>
        <v>559.48170794289206</v>
      </c>
      <c r="BH134" s="57">
        <f t="shared" si="116"/>
        <v>852.81504127622543</v>
      </c>
      <c r="BI134" s="57">
        <f ca="1">AVERAGE(OFFSET($BH$3,0,0,'Données projet'!$E$11+1,1))-AVERAGE(OFFSET($H$3,0,0,'Données projet'!$E$11+1,1))</f>
        <v>250.90550982248311</v>
      </c>
      <c r="BJ134" s="57">
        <f t="shared" si="146"/>
        <v>254.68874167908001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16.018959767950445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16.018959767950445</v>
      </c>
      <c r="BT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739.99999999999966</v>
      </c>
      <c r="BZ134" s="13">
        <f>BY134*VLOOKUP('Données projet'!$B$12,Paramètres!$A$1:$I$89,3,0)*VLOOKUP('Données projet'!$B$12,Paramètres!$A$1:$I$89,5,0)</f>
        <v>413.65999999999985</v>
      </c>
      <c r="CA134" s="13">
        <f t="shared" si="147"/>
        <v>94.540585122244352</v>
      </c>
      <c r="CB134" s="20">
        <f t="shared" si="118"/>
        <v>885.11601908790863</v>
      </c>
      <c r="CC134" s="57">
        <f t="shared" si="119"/>
        <v>1178.4493524212419</v>
      </c>
      <c r="CD134" s="57">
        <f ca="1">AVERAGE(OFFSET($CC$3,0,0,'Données projet'!$E$12+1,1))-AVERAGE(OFFSET($H$3,0,0,'Données projet'!$E$12+1,1))</f>
        <v>462.54745364638171</v>
      </c>
      <c r="CE134" s="57">
        <f t="shared" si="148"/>
        <v>571.50914830067313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30.268600680113945</v>
      </c>
      <c r="CL134" s="21">
        <f>EXP(-LN(2)/25)*CL133+(1-EXP(-LN(2)/25))/(LN(2)/25)*Calculateur!CG134*Calculateur!CI134*VLOOKUP('Données projet'!$B$12,Paramètres!$A$1:$I$89,3,0)*0.475*44/12</f>
        <v>3.5126007258022525</v>
      </c>
      <c r="CM134" s="21">
        <f>EXP(-LN(2)/2)*CM133+(1-EXP(-LN(2)/2))/(LN(2)/2)*CG134*CJ134*VLOOKUP('Données projet'!$B$12,Paramètres!$A$1:$I$89,3,0)*0.475*44/12</f>
        <v>5.3413500814107181E-16</v>
      </c>
      <c r="CN134" s="22">
        <f t="shared" si="120"/>
        <v>33.7812014059162</v>
      </c>
      <c r="CO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245.99999999999994</v>
      </c>
      <c r="CU134" s="17">
        <f>CT134*VLOOKUP('Données projet'!$B$13,Paramètres!$A$1:$I$89,3,0)*VLOOKUP('Données projet'!$B$13,Paramètres!$A$1:$I$89,5,0)</f>
        <v>234.09359999999998</v>
      </c>
      <c r="CV134" s="13">
        <f t="shared" si="149"/>
        <v>57.166902703920208</v>
      </c>
      <c r="CW134" s="20">
        <f t="shared" si="121"/>
        <v>507.27870887599425</v>
      </c>
      <c r="CX134" s="57">
        <f t="shared" si="122"/>
        <v>800.61204220932757</v>
      </c>
      <c r="CY134" s="57">
        <f ca="1">AVERAGE(OFFSET($CX$3,0,0,'Données projet'!$E$13+1,1))-AVERAGE(OFFSET($H$3,0,0,'Données projet'!$E$13+1,1))</f>
        <v>314.67680626853303</v>
      </c>
      <c r="CZ134" s="57">
        <f t="shared" si="150"/>
        <v>372.57247561536263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56.801612463814259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56.801612463814259</v>
      </c>
      <c r="DJ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319</v>
      </c>
      <c r="DP134" s="17">
        <f>DO134*VLOOKUP('Données projet'!$B$14,Paramètres!$A$1:$I$89,3,0)*VLOOKUP('Données projet'!$B$14,Paramètres!$A$1:$I$89,5,0)</f>
        <v>209.00879999999998</v>
      </c>
      <c r="DQ134" s="13">
        <f t="shared" si="151"/>
        <v>51.718923953824202</v>
      </c>
      <c r="DR134" s="20">
        <f t="shared" si="124"/>
        <v>454.10078588624373</v>
      </c>
      <c r="DS134" s="57">
        <f t="shared" si="125"/>
        <v>747.43411921957704</v>
      </c>
      <c r="DT134" s="57">
        <f ca="1">AVERAGE(OFFSET($DS$3,0,0,'Données projet'!$E$14+1,1))-AVERAGE(OFFSET($H$3,0,0,'Données projet'!$E$14+1,1))</f>
        <v>188.80259324758066</v>
      </c>
      <c r="DU134" s="57">
        <f t="shared" si="152"/>
        <v>195.48048518255354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12.938390581806139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12.938390581806139</v>
      </c>
      <c r="EE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319</v>
      </c>
      <c r="EK134" s="17">
        <f>EJ134*VLOOKUP('Données projet'!$B$15,Paramètres!$A$1:$I$89,3,0)*VLOOKUP('Données projet'!$B$15,Paramètres!$A$1:$I$89,5,0)</f>
        <v>258.77280000000002</v>
      </c>
      <c r="EL134" s="13">
        <f t="shared" si="153"/>
        <v>62.460716522234691</v>
      </c>
      <c r="EM134" s="20">
        <f t="shared" si="127"/>
        <v>559.48170794289206</v>
      </c>
      <c r="EN134" s="57">
        <f t="shared" si="128"/>
        <v>852.81504127622543</v>
      </c>
      <c r="EO134" s="57">
        <f ca="1">AVERAGE(OFFSET($EN$3,0,0,'Données projet'!$E$15+1,1))-AVERAGE(OFFSET($H$3,0,0,'Données projet'!$E$15+1,1))</f>
        <v>250.90550982248311</v>
      </c>
      <c r="EP134" s="57">
        <f t="shared" si="154"/>
        <v>254.68874167908001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16.018959767950445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16.018959767950445</v>
      </c>
      <c r="EZ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7" t="e">
        <f t="shared" si="131"/>
        <v>#N/A</v>
      </c>
      <c r="FJ134" s="57" t="e">
        <f ca="1">AVERAGE(OFFSET($FI$3,0,0,'Données projet'!$E$16+1,1))-AVERAGE(OFFSET($H$3,0,0,'Données projet'!$E$16+1,1))</f>
        <v>#N/A</v>
      </c>
      <c r="FK134" s="57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7" t="e">
        <f t="shared" si="134"/>
        <v>#N/A</v>
      </c>
      <c r="GE134" s="57" t="e">
        <f ca="1">AVERAGE(OFFSET($GD$3,0,0,'Données projet'!$E$17+1,1))-AVERAGE(OFFSET($H$3,0,0,'Données projet'!$E$17+1,1))</f>
        <v>#N/A</v>
      </c>
      <c r="GF134" s="57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7" t="e">
        <f t="shared" si="137"/>
        <v>#N/A</v>
      </c>
      <c r="GZ134" s="57" t="e">
        <f ca="1">AVERAGE(OFFSET($GY$3,0,0,'Données projet'!$E$18+1,1))-AVERAGE(OFFSET($H$3,0,0,'Données projet'!$E$18+1,1))</f>
        <v>#N/A</v>
      </c>
      <c r="HA134" s="57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0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4">
        <f t="shared" si="110"/>
        <v>547.43383895082161</v>
      </c>
      <c r="I135" s="6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258.61679999999996</v>
      </c>
      <c r="P135" s="13">
        <f t="shared" si="141"/>
        <v>62.427444141032439</v>
      </c>
      <c r="Q135" s="20">
        <f t="shared" si="108"/>
        <v>559.15205854563135</v>
      </c>
      <c r="R135" s="57">
        <f t="shared" si="109"/>
        <v>852.48539187896472</v>
      </c>
      <c r="S135" s="57">
        <f ca="1">AVERAGE(OFFSET($R$3,0,0,'Données projet'!$E$9+1,1))-AVERAGE(OFFSET($H$3,0,0,'Données projet'!$E$9+1,1))</f>
        <v>267.44861001389006</v>
      </c>
      <c r="T135" s="57">
        <f t="shared" si="142"/>
        <v>165.25921510802965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66.553913432823137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66.553913432823137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306.99999999999994</v>
      </c>
      <c r="AJ135" s="13">
        <f>AI135*VLOOKUP('Données projet'!$B$10,Paramètres!$A$1:$I$89,3,0)*VLOOKUP('Données projet'!$B$10,Paramètres!$A$1:$I$89,5,0)</f>
        <v>277.77359999999993</v>
      </c>
      <c r="AK135" s="13">
        <f t="shared" si="143"/>
        <v>66.496288176842356</v>
      </c>
      <c r="AL135" s="20">
        <f t="shared" si="112"/>
        <v>599.60338857466706</v>
      </c>
      <c r="AM135" s="57">
        <f t="shared" si="113"/>
        <v>892.93672190800044</v>
      </c>
      <c r="AN135" s="57">
        <f ca="1">AVERAGE(OFFSET($AM$3,0,0,'Données projet'!$E$10+1,1))-AVERAGE(OFFSET($H$3,0,0,'Données projet'!$E$10+1,1))</f>
        <v>294.92430430387071</v>
      </c>
      <c r="AO135" s="57">
        <f t="shared" si="144"/>
        <v>181.52228471516497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71.483832946365581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71.483832946365581</v>
      </c>
      <c r="AY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319</v>
      </c>
      <c r="BE135" s="13">
        <f>BD135*VLOOKUP('Données projet'!$B$11,Paramètres!$A$1:$I$89,3,0)*VLOOKUP('Données projet'!$B$11,Paramètres!$A$1:$I$89,5,0)</f>
        <v>258.77280000000002</v>
      </c>
      <c r="BF135" s="13">
        <f t="shared" si="145"/>
        <v>62.460716522234691</v>
      </c>
      <c r="BG135" s="20">
        <f t="shared" si="115"/>
        <v>559.48170794289206</v>
      </c>
      <c r="BH135" s="57">
        <f t="shared" si="116"/>
        <v>852.81504127622543</v>
      </c>
      <c r="BI135" s="57">
        <f ca="1">AVERAGE(OFFSET($BH$3,0,0,'Données projet'!$E$11+1,1))-AVERAGE(OFFSET($H$3,0,0,'Données projet'!$E$11+1,1))</f>
        <v>250.90550982248311</v>
      </c>
      <c r="BJ135" s="57">
        <f t="shared" si="146"/>
        <v>254.68874167908001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15.704837737501629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15.704837737501629</v>
      </c>
      <c r="BT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739.99999999999966</v>
      </c>
      <c r="BZ135" s="13">
        <f>BY135*VLOOKUP('Données projet'!$B$12,Paramètres!$A$1:$I$89,3,0)*VLOOKUP('Données projet'!$B$12,Paramètres!$A$1:$I$89,5,0)</f>
        <v>413.65999999999985</v>
      </c>
      <c r="CA135" s="13">
        <f t="shared" si="147"/>
        <v>94.540585122244352</v>
      </c>
      <c r="CB135" s="20">
        <f t="shared" si="118"/>
        <v>885.11601908790863</v>
      </c>
      <c r="CC135" s="57">
        <f t="shared" si="119"/>
        <v>1178.4493524212419</v>
      </c>
      <c r="CD135" s="57">
        <f ca="1">AVERAGE(OFFSET($CC$3,0,0,'Données projet'!$E$12+1,1))-AVERAGE(OFFSET($H$3,0,0,'Données projet'!$E$12+1,1))</f>
        <v>462.54745364638171</v>
      </c>
      <c r="CE135" s="57">
        <f t="shared" si="148"/>
        <v>571.50914830067313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29.675051882800354</v>
      </c>
      <c r="CL135" s="21">
        <f>EXP(-LN(2)/25)*CL134+(1-EXP(-LN(2)/25))/(LN(2)/25)*Calculateur!CG135*Calculateur!CI135*VLOOKUP('Données projet'!$B$12,Paramètres!$A$1:$I$89,3,0)*0.475*44/12</f>
        <v>3.4165484742355456</v>
      </c>
      <c r="CM135" s="21">
        <f>EXP(-LN(2)/2)*CM134+(1-EXP(-LN(2)/2))/(LN(2)/2)*CG135*CJ135*VLOOKUP('Données projet'!$B$12,Paramètres!$A$1:$I$89,3,0)*0.475*44/12</f>
        <v>3.7769048632568365E-16</v>
      </c>
      <c r="CN135" s="22">
        <f t="shared" si="120"/>
        <v>33.091600357035901</v>
      </c>
      <c r="CO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245.99999999999994</v>
      </c>
      <c r="CU135" s="17">
        <f>CT135*VLOOKUP('Données projet'!$B$13,Paramètres!$A$1:$I$89,3,0)*VLOOKUP('Données projet'!$B$13,Paramètres!$A$1:$I$89,5,0)</f>
        <v>234.09359999999998</v>
      </c>
      <c r="CV135" s="13">
        <f t="shared" si="149"/>
        <v>57.166902703920208</v>
      </c>
      <c r="CW135" s="20">
        <f t="shared" si="121"/>
        <v>507.27870887599425</v>
      </c>
      <c r="CX135" s="57">
        <f t="shared" si="122"/>
        <v>800.61204220932757</v>
      </c>
      <c r="CY135" s="57">
        <f ca="1">AVERAGE(OFFSET($CX$3,0,0,'Données projet'!$E$13+1,1))-AVERAGE(OFFSET($H$3,0,0,'Données projet'!$E$13+1,1))</f>
        <v>314.67680626853303</v>
      </c>
      <c r="CZ135" s="57">
        <f t="shared" si="150"/>
        <v>372.57247561536263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55.687767488961498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55.687767488961498</v>
      </c>
      <c r="DJ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319</v>
      </c>
      <c r="DP135" s="17">
        <f>DO135*VLOOKUP('Données projet'!$B$14,Paramètres!$A$1:$I$89,3,0)*VLOOKUP('Données projet'!$B$14,Paramètres!$A$1:$I$89,5,0)</f>
        <v>209.00879999999998</v>
      </c>
      <c r="DQ135" s="13">
        <f t="shared" si="151"/>
        <v>51.718923953824202</v>
      </c>
      <c r="DR135" s="20">
        <f t="shared" si="124"/>
        <v>454.10078588624373</v>
      </c>
      <c r="DS135" s="57">
        <f t="shared" si="125"/>
        <v>747.43411921957704</v>
      </c>
      <c r="DT135" s="57">
        <f ca="1">AVERAGE(OFFSET($DS$3,0,0,'Données projet'!$E$14+1,1))-AVERAGE(OFFSET($H$3,0,0,'Données projet'!$E$14+1,1))</f>
        <v>188.80259324758066</v>
      </c>
      <c r="DU135" s="57">
        <f t="shared" si="152"/>
        <v>195.48048518255354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12.684676634135942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12.684676634135942</v>
      </c>
      <c r="EE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319</v>
      </c>
      <c r="EK135" s="17">
        <f>EJ135*VLOOKUP('Données projet'!$B$15,Paramètres!$A$1:$I$89,3,0)*VLOOKUP('Données projet'!$B$15,Paramètres!$A$1:$I$89,5,0)</f>
        <v>258.77280000000002</v>
      </c>
      <c r="EL135" s="13">
        <f t="shared" si="153"/>
        <v>62.460716522234691</v>
      </c>
      <c r="EM135" s="20">
        <f t="shared" si="127"/>
        <v>559.48170794289206</v>
      </c>
      <c r="EN135" s="57">
        <f t="shared" si="128"/>
        <v>852.81504127622543</v>
      </c>
      <c r="EO135" s="57">
        <f ca="1">AVERAGE(OFFSET($EN$3,0,0,'Données projet'!$E$15+1,1))-AVERAGE(OFFSET($H$3,0,0,'Données projet'!$E$15+1,1))</f>
        <v>250.90550982248311</v>
      </c>
      <c r="EP135" s="57">
        <f t="shared" si="154"/>
        <v>254.68874167908001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15.704837737501629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15.704837737501629</v>
      </c>
      <c r="EZ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7" t="e">
        <f t="shared" si="131"/>
        <v>#N/A</v>
      </c>
      <c r="FJ135" s="57" t="e">
        <f ca="1">AVERAGE(OFFSET($FI$3,0,0,'Données projet'!$E$16+1,1))-AVERAGE(OFFSET($H$3,0,0,'Données projet'!$E$16+1,1))</f>
        <v>#N/A</v>
      </c>
      <c r="FK135" s="57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7" t="e">
        <f t="shared" si="134"/>
        <v>#N/A</v>
      </c>
      <c r="GE135" s="57" t="e">
        <f ca="1">AVERAGE(OFFSET($GD$3,0,0,'Données projet'!$E$17+1,1))-AVERAGE(OFFSET($H$3,0,0,'Données projet'!$E$17+1,1))</f>
        <v>#N/A</v>
      </c>
      <c r="GF135" s="57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7" t="e">
        <f t="shared" si="137"/>
        <v>#N/A</v>
      </c>
      <c r="GZ135" s="57" t="e">
        <f ca="1">AVERAGE(OFFSET($GY$3,0,0,'Données projet'!$E$18+1,1))-AVERAGE(OFFSET($H$3,0,0,'Données projet'!$E$18+1,1))</f>
        <v>#N/A</v>
      </c>
      <c r="HA135" s="57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0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4">
        <f t="shared" si="110"/>
        <v>549.31172051261638</v>
      </c>
      <c r="I136" s="6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258.61679999999996</v>
      </c>
      <c r="P136" s="13">
        <f t="shared" si="141"/>
        <v>62.427444141032439</v>
      </c>
      <c r="Q136" s="20">
        <f t="shared" si="108"/>
        <v>559.15205854563135</v>
      </c>
      <c r="R136" s="57">
        <f t="shared" si="109"/>
        <v>852.48539187896472</v>
      </c>
      <c r="S136" s="57">
        <f ca="1">AVERAGE(OFFSET($R$3,0,0,'Données projet'!$E$9+1,1))-AVERAGE(OFFSET($H$3,0,0,'Données projet'!$E$9+1,1))</f>
        <v>267.44861001389006</v>
      </c>
      <c r="T136" s="57">
        <f t="shared" si="142"/>
        <v>165.25921510802965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65.248831784284363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65.248831784284363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306.99999999999994</v>
      </c>
      <c r="AJ136" s="13">
        <f>AI136*VLOOKUP('Données projet'!$B$10,Paramètres!$A$1:$I$89,3,0)*VLOOKUP('Données projet'!$B$10,Paramètres!$A$1:$I$89,5,0)</f>
        <v>277.77359999999993</v>
      </c>
      <c r="AK136" s="13">
        <f t="shared" si="143"/>
        <v>66.496288176842356</v>
      </c>
      <c r="AL136" s="20">
        <f t="shared" si="112"/>
        <v>599.60338857466706</v>
      </c>
      <c r="AM136" s="57">
        <f t="shared" si="113"/>
        <v>892.93672190800044</v>
      </c>
      <c r="AN136" s="57">
        <f ca="1">AVERAGE(OFFSET($AM$3,0,0,'Données projet'!$E$10+1,1))-AVERAGE(OFFSET($H$3,0,0,'Données projet'!$E$10+1,1))</f>
        <v>294.92430430387071</v>
      </c>
      <c r="AO136" s="57">
        <f t="shared" si="144"/>
        <v>181.52228471516497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70.082078583120222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70.082078583120222</v>
      </c>
      <c r="AY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319</v>
      </c>
      <c r="BE136" s="13">
        <f>BD136*VLOOKUP('Données projet'!$B$11,Paramètres!$A$1:$I$89,3,0)*VLOOKUP('Données projet'!$B$11,Paramètres!$A$1:$I$89,5,0)</f>
        <v>258.77280000000002</v>
      </c>
      <c r="BF136" s="13">
        <f t="shared" si="145"/>
        <v>62.460716522234691</v>
      </c>
      <c r="BG136" s="20">
        <f t="shared" si="115"/>
        <v>559.48170794289206</v>
      </c>
      <c r="BH136" s="57">
        <f t="shared" si="116"/>
        <v>852.81504127622543</v>
      </c>
      <c r="BI136" s="57">
        <f ca="1">AVERAGE(OFFSET($BH$3,0,0,'Données projet'!$E$11+1,1))-AVERAGE(OFFSET($H$3,0,0,'Données projet'!$E$11+1,1))</f>
        <v>250.90550982248311</v>
      </c>
      <c r="BJ136" s="57">
        <f t="shared" si="146"/>
        <v>254.68874167908001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15.396875448474393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15.396875448474393</v>
      </c>
      <c r="BT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739.99999999999966</v>
      </c>
      <c r="BZ136" s="13">
        <f>BY136*VLOOKUP('Données projet'!$B$12,Paramètres!$A$1:$I$89,3,0)*VLOOKUP('Données projet'!$B$12,Paramètres!$A$1:$I$89,5,0)</f>
        <v>413.65999999999985</v>
      </c>
      <c r="CA136" s="13">
        <f t="shared" si="147"/>
        <v>94.540585122244352</v>
      </c>
      <c r="CB136" s="20">
        <f t="shared" si="118"/>
        <v>885.11601908790863</v>
      </c>
      <c r="CC136" s="57">
        <f t="shared" si="119"/>
        <v>1178.4493524212419</v>
      </c>
      <c r="CD136" s="57">
        <f ca="1">AVERAGE(OFFSET($CC$3,0,0,'Données projet'!$E$12+1,1))-AVERAGE(OFFSET($H$3,0,0,'Données projet'!$E$12+1,1))</f>
        <v>462.54745364638171</v>
      </c>
      <c r="CE136" s="57">
        <f t="shared" si="148"/>
        <v>571.50914830067313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29.09314221537306</v>
      </c>
      <c r="CL136" s="21">
        <f>EXP(-LN(2)/25)*CL135+(1-EXP(-LN(2)/25))/(LN(2)/25)*Calculateur!CG136*Calculateur!CI136*VLOOKUP('Données projet'!$B$12,Paramètres!$A$1:$I$89,3,0)*0.475*44/12</f>
        <v>3.3231227765390989</v>
      </c>
      <c r="CM136" s="21">
        <f>EXP(-LN(2)/2)*CM135+(1-EXP(-LN(2)/2))/(LN(2)/2)*CG136*CJ136*VLOOKUP('Données projet'!$B$12,Paramètres!$A$1:$I$89,3,0)*0.475*44/12</f>
        <v>2.670675040705359E-16</v>
      </c>
      <c r="CN136" s="22">
        <f t="shared" si="120"/>
        <v>32.416264991912158</v>
      </c>
      <c r="CO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245.99999999999994</v>
      </c>
      <c r="CU136" s="17">
        <f>CT136*VLOOKUP('Données projet'!$B$13,Paramètres!$A$1:$I$89,3,0)*VLOOKUP('Données projet'!$B$13,Paramètres!$A$1:$I$89,5,0)</f>
        <v>234.09359999999998</v>
      </c>
      <c r="CV136" s="13">
        <f t="shared" si="149"/>
        <v>57.166902703920208</v>
      </c>
      <c r="CW136" s="20">
        <f t="shared" si="121"/>
        <v>507.27870887599425</v>
      </c>
      <c r="CX136" s="57">
        <f t="shared" si="122"/>
        <v>800.61204220932757</v>
      </c>
      <c r="CY136" s="57">
        <f ca="1">AVERAGE(OFFSET($CX$3,0,0,'Données projet'!$E$13+1,1))-AVERAGE(OFFSET($H$3,0,0,'Données projet'!$E$13+1,1))</f>
        <v>314.67680626853303</v>
      </c>
      <c r="CZ136" s="57">
        <f t="shared" si="150"/>
        <v>372.57247561536263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54.595764334687246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54.595764334687246</v>
      </c>
      <c r="DJ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319</v>
      </c>
      <c r="DP136" s="17">
        <f>DO136*VLOOKUP('Données projet'!$B$14,Paramètres!$A$1:$I$89,3,0)*VLOOKUP('Données projet'!$B$14,Paramètres!$A$1:$I$89,5,0)</f>
        <v>209.00879999999998</v>
      </c>
      <c r="DQ136" s="13">
        <f t="shared" si="151"/>
        <v>51.718923953824202</v>
      </c>
      <c r="DR136" s="20">
        <f t="shared" si="124"/>
        <v>454.10078588624373</v>
      </c>
      <c r="DS136" s="57">
        <f t="shared" si="125"/>
        <v>747.43411921957704</v>
      </c>
      <c r="DT136" s="57">
        <f ca="1">AVERAGE(OFFSET($DS$3,0,0,'Données projet'!$E$14+1,1))-AVERAGE(OFFSET($H$3,0,0,'Données projet'!$E$14+1,1))</f>
        <v>188.80259324758066</v>
      </c>
      <c r="DU136" s="57">
        <f t="shared" si="152"/>
        <v>195.48048518255354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12.435937862229329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12.435937862229329</v>
      </c>
      <c r="EE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319</v>
      </c>
      <c r="EK136" s="17">
        <f>EJ136*VLOOKUP('Données projet'!$B$15,Paramètres!$A$1:$I$89,3,0)*VLOOKUP('Données projet'!$B$15,Paramètres!$A$1:$I$89,5,0)</f>
        <v>258.77280000000002</v>
      </c>
      <c r="EL136" s="13">
        <f t="shared" si="153"/>
        <v>62.460716522234691</v>
      </c>
      <c r="EM136" s="20">
        <f t="shared" si="127"/>
        <v>559.48170794289206</v>
      </c>
      <c r="EN136" s="57">
        <f t="shared" si="128"/>
        <v>852.81504127622543</v>
      </c>
      <c r="EO136" s="57">
        <f ca="1">AVERAGE(OFFSET($EN$3,0,0,'Données projet'!$E$15+1,1))-AVERAGE(OFFSET($H$3,0,0,'Données projet'!$E$15+1,1))</f>
        <v>250.90550982248311</v>
      </c>
      <c r="EP136" s="57">
        <f t="shared" si="154"/>
        <v>254.68874167908001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15.396875448474393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15.396875448474393</v>
      </c>
      <c r="EZ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7" t="e">
        <f t="shared" si="131"/>
        <v>#N/A</v>
      </c>
      <c r="FJ136" s="57" t="e">
        <f ca="1">AVERAGE(OFFSET($FI$3,0,0,'Données projet'!$E$16+1,1))-AVERAGE(OFFSET($H$3,0,0,'Données projet'!$E$16+1,1))</f>
        <v>#N/A</v>
      </c>
      <c r="FK136" s="57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7" t="e">
        <f t="shared" si="134"/>
        <v>#N/A</v>
      </c>
      <c r="GE136" s="57" t="e">
        <f ca="1">AVERAGE(OFFSET($GD$3,0,0,'Données projet'!$E$17+1,1))-AVERAGE(OFFSET($H$3,0,0,'Données projet'!$E$17+1,1))</f>
        <v>#N/A</v>
      </c>
      <c r="GF136" s="57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7" t="e">
        <f t="shared" si="137"/>
        <v>#N/A</v>
      </c>
      <c r="GZ136" s="57" t="e">
        <f ca="1">AVERAGE(OFFSET($GY$3,0,0,'Données projet'!$E$18+1,1))-AVERAGE(OFFSET($H$3,0,0,'Données projet'!$E$18+1,1))</f>
        <v>#N/A</v>
      </c>
      <c r="HA136" s="57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0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4">
        <f t="shared" si="110"/>
        <v>551.18929032439075</v>
      </c>
      <c r="I137" s="6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258.61679999999996</v>
      </c>
      <c r="P137" s="13">
        <f t="shared" si="141"/>
        <v>62.427444141032439</v>
      </c>
      <c r="Q137" s="20">
        <f t="shared" si="108"/>
        <v>559.15205854563135</v>
      </c>
      <c r="R137" s="57">
        <f t="shared" si="109"/>
        <v>852.48539187896472</v>
      </c>
      <c r="S137" s="57">
        <f ca="1">AVERAGE(OFFSET($R$3,0,0,'Données projet'!$E$9+1,1))-AVERAGE(OFFSET($H$3,0,0,'Données projet'!$E$9+1,1))</f>
        <v>267.44861001389006</v>
      </c>
      <c r="T137" s="57">
        <f t="shared" si="142"/>
        <v>165.25921510802965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63.969341990852222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63.969341990852222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306.99999999999994</v>
      </c>
      <c r="AJ137" s="13">
        <f>AI137*VLOOKUP('Données projet'!$B$10,Paramètres!$A$1:$I$89,3,0)*VLOOKUP('Données projet'!$B$10,Paramètres!$A$1:$I$89,5,0)</f>
        <v>277.77359999999993</v>
      </c>
      <c r="AK137" s="13">
        <f t="shared" si="143"/>
        <v>66.496288176842356</v>
      </c>
      <c r="AL137" s="20">
        <f t="shared" si="112"/>
        <v>599.60338857466706</v>
      </c>
      <c r="AM137" s="57">
        <f t="shared" si="113"/>
        <v>892.93672190800044</v>
      </c>
      <c r="AN137" s="57">
        <f ca="1">AVERAGE(OFFSET($AM$3,0,0,'Données projet'!$E$10+1,1))-AVERAGE(OFFSET($H$3,0,0,'Données projet'!$E$10+1,1))</f>
        <v>294.92430430387071</v>
      </c>
      <c r="AO137" s="57">
        <f t="shared" si="144"/>
        <v>181.52228471516497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68.707811767952364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68.707811767952364</v>
      </c>
      <c r="AY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319</v>
      </c>
      <c r="BE137" s="13">
        <f>BD137*VLOOKUP('Données projet'!$B$11,Paramètres!$A$1:$I$89,3,0)*VLOOKUP('Données projet'!$B$11,Paramètres!$A$1:$I$89,5,0)</f>
        <v>258.77280000000002</v>
      </c>
      <c r="BF137" s="13">
        <f t="shared" si="145"/>
        <v>62.460716522234691</v>
      </c>
      <c r="BG137" s="20">
        <f t="shared" si="115"/>
        <v>559.48170794289206</v>
      </c>
      <c r="BH137" s="57">
        <f t="shared" si="116"/>
        <v>852.81504127622543</v>
      </c>
      <c r="BI137" s="57">
        <f ca="1">AVERAGE(OFFSET($BH$3,0,0,'Données projet'!$E$11+1,1))-AVERAGE(OFFSET($H$3,0,0,'Données projet'!$E$11+1,1))</f>
        <v>250.90550982248311</v>
      </c>
      <c r="BJ137" s="57">
        <f t="shared" si="146"/>
        <v>254.68874167908001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15.094952112096534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15.094952112096534</v>
      </c>
      <c r="BT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739.99999999999966</v>
      </c>
      <c r="BZ137" s="13">
        <f>BY137*VLOOKUP('Données projet'!$B$12,Paramètres!$A$1:$I$89,3,0)*VLOOKUP('Données projet'!$B$12,Paramètres!$A$1:$I$89,5,0)</f>
        <v>413.65999999999985</v>
      </c>
      <c r="CA137" s="13">
        <f t="shared" si="147"/>
        <v>94.540585122244352</v>
      </c>
      <c r="CB137" s="20">
        <f t="shared" si="118"/>
        <v>885.11601908790863</v>
      </c>
      <c r="CC137" s="57">
        <f t="shared" si="119"/>
        <v>1178.4493524212419</v>
      </c>
      <c r="CD137" s="57">
        <f ca="1">AVERAGE(OFFSET($CC$3,0,0,'Données projet'!$E$12+1,1))-AVERAGE(OFFSET($H$3,0,0,'Données projet'!$E$12+1,1))</f>
        <v>462.54745364638171</v>
      </c>
      <c r="CE137" s="57">
        <f t="shared" si="148"/>
        <v>571.50914830067313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28.522643441594166</v>
      </c>
      <c r="CL137" s="21">
        <f>EXP(-LN(2)/25)*CL136+(1-EXP(-LN(2)/25))/(LN(2)/25)*Calculateur!CG137*Calculateur!CI137*VLOOKUP('Données projet'!$B$12,Paramètres!$A$1:$I$89,3,0)*0.475*44/12</f>
        <v>3.2322518094592056</v>
      </c>
      <c r="CM137" s="21">
        <f>EXP(-LN(2)/2)*CM136+(1-EXP(-LN(2)/2))/(LN(2)/2)*CG137*CJ137*VLOOKUP('Données projet'!$B$12,Paramètres!$A$1:$I$89,3,0)*0.475*44/12</f>
        <v>1.8884524316284183E-16</v>
      </c>
      <c r="CN137" s="22">
        <f t="shared" si="120"/>
        <v>31.754895251053373</v>
      </c>
      <c r="CO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245.99999999999994</v>
      </c>
      <c r="CU137" s="17">
        <f>CT137*VLOOKUP('Données projet'!$B$13,Paramètres!$A$1:$I$89,3,0)*VLOOKUP('Données projet'!$B$13,Paramètres!$A$1:$I$89,5,0)</f>
        <v>234.09359999999998</v>
      </c>
      <c r="CV137" s="13">
        <f t="shared" si="149"/>
        <v>57.166902703920208</v>
      </c>
      <c r="CW137" s="20">
        <f t="shared" si="121"/>
        <v>507.27870887599425</v>
      </c>
      <c r="CX137" s="57">
        <f t="shared" si="122"/>
        <v>800.61204220932757</v>
      </c>
      <c r="CY137" s="57">
        <f ca="1">AVERAGE(OFFSET($CX$3,0,0,'Données projet'!$E$13+1,1))-AVERAGE(OFFSET($H$3,0,0,'Données projet'!$E$13+1,1))</f>
        <v>314.67680626853303</v>
      </c>
      <c r="CZ137" s="57">
        <f t="shared" si="150"/>
        <v>372.57247561536263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53.525174696212162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53.525174696212162</v>
      </c>
      <c r="DJ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319</v>
      </c>
      <c r="DP137" s="17">
        <f>DO137*VLOOKUP('Données projet'!$B$14,Paramètres!$A$1:$I$89,3,0)*VLOOKUP('Données projet'!$B$14,Paramètres!$A$1:$I$89,5,0)</f>
        <v>209.00879999999998</v>
      </c>
      <c r="DQ137" s="13">
        <f t="shared" si="151"/>
        <v>51.718923953824202</v>
      </c>
      <c r="DR137" s="20">
        <f t="shared" si="124"/>
        <v>454.10078588624373</v>
      </c>
      <c r="DS137" s="57">
        <f t="shared" si="125"/>
        <v>747.43411921957704</v>
      </c>
      <c r="DT137" s="57">
        <f ca="1">AVERAGE(OFFSET($DS$3,0,0,'Données projet'!$E$14+1,1))-AVERAGE(OFFSET($H$3,0,0,'Données projet'!$E$14+1,1))</f>
        <v>188.80259324758066</v>
      </c>
      <c r="DU137" s="57">
        <f t="shared" si="152"/>
        <v>195.48048518255354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12.192076705924134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12.192076705924134</v>
      </c>
      <c r="EE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319</v>
      </c>
      <c r="EK137" s="17">
        <f>EJ137*VLOOKUP('Données projet'!$B$15,Paramètres!$A$1:$I$89,3,0)*VLOOKUP('Données projet'!$B$15,Paramètres!$A$1:$I$89,5,0)</f>
        <v>258.77280000000002</v>
      </c>
      <c r="EL137" s="13">
        <f t="shared" si="153"/>
        <v>62.460716522234691</v>
      </c>
      <c r="EM137" s="20">
        <f t="shared" si="127"/>
        <v>559.48170794289206</v>
      </c>
      <c r="EN137" s="57">
        <f t="shared" si="128"/>
        <v>852.81504127622543</v>
      </c>
      <c r="EO137" s="57">
        <f ca="1">AVERAGE(OFFSET($EN$3,0,0,'Données projet'!$E$15+1,1))-AVERAGE(OFFSET($H$3,0,0,'Données projet'!$E$15+1,1))</f>
        <v>250.90550982248311</v>
      </c>
      <c r="EP137" s="57">
        <f t="shared" si="154"/>
        <v>254.68874167908001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15.094952112096534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15.094952112096534</v>
      </c>
      <c r="EZ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7" t="e">
        <f t="shared" si="131"/>
        <v>#N/A</v>
      </c>
      <c r="FJ137" s="57" t="e">
        <f ca="1">AVERAGE(OFFSET($FI$3,0,0,'Données projet'!$E$16+1,1))-AVERAGE(OFFSET($H$3,0,0,'Données projet'!$E$16+1,1))</f>
        <v>#N/A</v>
      </c>
      <c r="FK137" s="57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7" t="e">
        <f t="shared" si="134"/>
        <v>#N/A</v>
      </c>
      <c r="GE137" s="57" t="e">
        <f ca="1">AVERAGE(OFFSET($GD$3,0,0,'Données projet'!$E$17+1,1))-AVERAGE(OFFSET($H$3,0,0,'Données projet'!$E$17+1,1))</f>
        <v>#N/A</v>
      </c>
      <c r="GF137" s="57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7" t="e">
        <f t="shared" si="137"/>
        <v>#N/A</v>
      </c>
      <c r="GZ137" s="57" t="e">
        <f ca="1">AVERAGE(OFFSET($GY$3,0,0,'Données projet'!$E$18+1,1))-AVERAGE(OFFSET($H$3,0,0,'Données projet'!$E$18+1,1))</f>
        <v>#N/A</v>
      </c>
      <c r="HA137" s="57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0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4">
        <f t="shared" si="110"/>
        <v>553.06655098236172</v>
      </c>
      <c r="I138" s="6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258.61679999999996</v>
      </c>
      <c r="P138" s="13">
        <f t="shared" si="141"/>
        <v>62.427444141032439</v>
      </c>
      <c r="Q138" s="20">
        <f t="shared" si="108"/>
        <v>559.15205854563135</v>
      </c>
      <c r="R138" s="57">
        <f t="shared" si="109"/>
        <v>852.48539187896472</v>
      </c>
      <c r="S138" s="57">
        <f ca="1">AVERAGE(OFFSET($R$3,0,0,'Données projet'!$E$9+1,1))-AVERAGE(OFFSET($H$3,0,0,'Données projet'!$E$9+1,1))</f>
        <v>267.44861001389006</v>
      </c>
      <c r="T138" s="57">
        <f t="shared" si="142"/>
        <v>165.25921510802965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62.714942211857569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62.714942211857569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306.99999999999994</v>
      </c>
      <c r="AJ138" s="13">
        <f>AI138*VLOOKUP('Données projet'!$B$10,Paramètres!$A$1:$I$89,3,0)*VLOOKUP('Données projet'!$B$10,Paramètres!$A$1:$I$89,5,0)</f>
        <v>277.77359999999993</v>
      </c>
      <c r="AK138" s="13">
        <f t="shared" si="143"/>
        <v>66.496288176842356</v>
      </c>
      <c r="AL138" s="20">
        <f t="shared" si="112"/>
        <v>599.60338857466706</v>
      </c>
      <c r="AM138" s="57">
        <f t="shared" si="113"/>
        <v>892.93672190800044</v>
      </c>
      <c r="AN138" s="57">
        <f ca="1">AVERAGE(OFFSET($AM$3,0,0,'Données projet'!$E$10+1,1))-AVERAGE(OFFSET($H$3,0,0,'Données projet'!$E$10+1,1))</f>
        <v>294.92430430387071</v>
      </c>
      <c r="AO138" s="57">
        <f t="shared" si="144"/>
        <v>181.52228471516497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67.360493486809958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67.360493486809958</v>
      </c>
      <c r="AY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319</v>
      </c>
      <c r="BE138" s="13">
        <f>BD138*VLOOKUP('Données projet'!$B$11,Paramètres!$A$1:$I$89,3,0)*VLOOKUP('Données projet'!$B$11,Paramètres!$A$1:$I$89,5,0)</f>
        <v>258.77280000000002</v>
      </c>
      <c r="BF138" s="13">
        <f t="shared" si="145"/>
        <v>62.460716522234691</v>
      </c>
      <c r="BG138" s="20">
        <f t="shared" si="115"/>
        <v>559.48170794289206</v>
      </c>
      <c r="BH138" s="57">
        <f t="shared" si="116"/>
        <v>852.81504127622543</v>
      </c>
      <c r="BI138" s="57">
        <f ca="1">AVERAGE(OFFSET($BH$3,0,0,'Données projet'!$E$11+1,1))-AVERAGE(OFFSET($H$3,0,0,'Données projet'!$E$11+1,1))</f>
        <v>250.90550982248311</v>
      </c>
      <c r="BJ138" s="57">
        <f t="shared" si="146"/>
        <v>254.68874167908001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14.798949308189993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14.798949308189993</v>
      </c>
      <c r="BT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739.99999999999966</v>
      </c>
      <c r="BZ138" s="13">
        <f>BY138*VLOOKUP('Données projet'!$B$12,Paramètres!$A$1:$I$89,3,0)*VLOOKUP('Données projet'!$B$12,Paramètres!$A$1:$I$89,5,0)</f>
        <v>413.65999999999985</v>
      </c>
      <c r="CA138" s="13">
        <f t="shared" si="147"/>
        <v>94.540585122244352</v>
      </c>
      <c r="CB138" s="20">
        <f t="shared" si="118"/>
        <v>885.11601908790863</v>
      </c>
      <c r="CC138" s="57">
        <f t="shared" si="119"/>
        <v>1178.4493524212419</v>
      </c>
      <c r="CD138" s="57">
        <f ca="1">AVERAGE(OFFSET($CC$3,0,0,'Données projet'!$E$12+1,1))-AVERAGE(OFFSET($H$3,0,0,'Données projet'!$E$12+1,1))</f>
        <v>462.54745364638171</v>
      </c>
      <c r="CE138" s="57">
        <f t="shared" si="148"/>
        <v>571.50914830067313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27.963331800799182</v>
      </c>
      <c r="CL138" s="21">
        <f>EXP(-LN(2)/25)*CL137+(1-EXP(-LN(2)/25))/(LN(2)/25)*Calculateur!CG138*Calculateur!CI138*VLOOKUP('Données projet'!$B$12,Paramètres!$A$1:$I$89,3,0)*0.475*44/12</f>
        <v>3.1438657137528083</v>
      </c>
      <c r="CM138" s="21">
        <f>EXP(-LN(2)/2)*CM137+(1-EXP(-LN(2)/2))/(LN(2)/2)*CG138*CJ138*VLOOKUP('Données projet'!$B$12,Paramètres!$A$1:$I$89,3,0)*0.475*44/12</f>
        <v>1.3353375203526795E-16</v>
      </c>
      <c r="CN138" s="22">
        <f t="shared" si="120"/>
        <v>31.107197514551991</v>
      </c>
      <c r="CO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245.99999999999994</v>
      </c>
      <c r="CU138" s="17">
        <f>CT138*VLOOKUP('Données projet'!$B$13,Paramètres!$A$1:$I$89,3,0)*VLOOKUP('Données projet'!$B$13,Paramètres!$A$1:$I$89,5,0)</f>
        <v>234.09359999999998</v>
      </c>
      <c r="CV138" s="13">
        <f t="shared" si="149"/>
        <v>57.166902703920208</v>
      </c>
      <c r="CW138" s="20">
        <f t="shared" si="121"/>
        <v>507.27870887599425</v>
      </c>
      <c r="CX138" s="57">
        <f t="shared" si="122"/>
        <v>800.61204220932757</v>
      </c>
      <c r="CY138" s="57">
        <f ca="1">AVERAGE(OFFSET($CX$3,0,0,'Données projet'!$E$13+1,1))-AVERAGE(OFFSET($H$3,0,0,'Données projet'!$E$13+1,1))</f>
        <v>314.67680626853303</v>
      </c>
      <c r="CZ138" s="57">
        <f t="shared" si="150"/>
        <v>372.57247561536263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52.475578667552369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52.475578667552369</v>
      </c>
      <c r="DJ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319</v>
      </c>
      <c r="DP138" s="17">
        <f>DO138*VLOOKUP('Données projet'!$B$14,Paramètres!$A$1:$I$89,3,0)*VLOOKUP('Données projet'!$B$14,Paramètres!$A$1:$I$89,5,0)</f>
        <v>209.00879999999998</v>
      </c>
      <c r="DQ138" s="13">
        <f t="shared" si="151"/>
        <v>51.718923953824202</v>
      </c>
      <c r="DR138" s="20">
        <f t="shared" si="124"/>
        <v>454.10078588624373</v>
      </c>
      <c r="DS138" s="57">
        <f t="shared" si="125"/>
        <v>747.43411921957704</v>
      </c>
      <c r="DT138" s="57">
        <f ca="1">AVERAGE(OFFSET($DS$3,0,0,'Données projet'!$E$14+1,1))-AVERAGE(OFFSET($H$3,0,0,'Données projet'!$E$14+1,1))</f>
        <v>188.80259324758066</v>
      </c>
      <c r="DU138" s="57">
        <f t="shared" si="152"/>
        <v>195.48048518255354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11.952997518153465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11.952997518153465</v>
      </c>
      <c r="EE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319</v>
      </c>
      <c r="EK138" s="17">
        <f>EJ138*VLOOKUP('Données projet'!$B$15,Paramètres!$A$1:$I$89,3,0)*VLOOKUP('Données projet'!$B$15,Paramètres!$A$1:$I$89,5,0)</f>
        <v>258.77280000000002</v>
      </c>
      <c r="EL138" s="13">
        <f t="shared" si="153"/>
        <v>62.460716522234691</v>
      </c>
      <c r="EM138" s="20">
        <f t="shared" si="127"/>
        <v>559.48170794289206</v>
      </c>
      <c r="EN138" s="57">
        <f t="shared" si="128"/>
        <v>852.81504127622543</v>
      </c>
      <c r="EO138" s="57">
        <f ca="1">AVERAGE(OFFSET($EN$3,0,0,'Données projet'!$E$15+1,1))-AVERAGE(OFFSET($H$3,0,0,'Données projet'!$E$15+1,1))</f>
        <v>250.90550982248311</v>
      </c>
      <c r="EP138" s="57">
        <f t="shared" si="154"/>
        <v>254.68874167908001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14.798949308189993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14.798949308189993</v>
      </c>
      <c r="EZ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7" t="e">
        <f t="shared" si="131"/>
        <v>#N/A</v>
      </c>
      <c r="FJ138" s="57" t="e">
        <f ca="1">AVERAGE(OFFSET($FI$3,0,0,'Données projet'!$E$16+1,1))-AVERAGE(OFFSET($H$3,0,0,'Données projet'!$E$16+1,1))</f>
        <v>#N/A</v>
      </c>
      <c r="FK138" s="57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7" t="e">
        <f t="shared" si="134"/>
        <v>#N/A</v>
      </c>
      <c r="GE138" s="57" t="e">
        <f ca="1">AVERAGE(OFFSET($GD$3,0,0,'Données projet'!$E$17+1,1))-AVERAGE(OFFSET($H$3,0,0,'Données projet'!$E$17+1,1))</f>
        <v>#N/A</v>
      </c>
      <c r="GF138" s="57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7" t="e">
        <f t="shared" si="137"/>
        <v>#N/A</v>
      </c>
      <c r="GZ138" s="57" t="e">
        <f ca="1">AVERAGE(OFFSET($GY$3,0,0,'Données projet'!$E$18+1,1))-AVERAGE(OFFSET($H$3,0,0,'Données projet'!$E$18+1,1))</f>
        <v>#N/A</v>
      </c>
      <c r="HA138" s="57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0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4">
        <f t="shared" si="110"/>
        <v>554.94350504206204</v>
      </c>
      <c r="I139" s="6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258.61679999999996</v>
      </c>
      <c r="P139" s="13">
        <f t="shared" si="141"/>
        <v>62.427444141032439</v>
      </c>
      <c r="Q139" s="20">
        <f t="shared" si="108"/>
        <v>559.15205854563135</v>
      </c>
      <c r="R139" s="57">
        <f t="shared" si="109"/>
        <v>852.48539187896472</v>
      </c>
      <c r="S139" s="57">
        <f ca="1">AVERAGE(OFFSET($R$3,0,0,'Données projet'!$E$9+1,1))-AVERAGE(OFFSET($H$3,0,0,'Données projet'!$E$9+1,1))</f>
        <v>267.44861001389006</v>
      </c>
      <c r="T139" s="57">
        <f t="shared" si="142"/>
        <v>165.25921510802965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61.485140447420683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61.485140447420683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306.99999999999994</v>
      </c>
      <c r="AJ139" s="13">
        <f>AI139*VLOOKUP('Données projet'!$B$10,Paramètres!$A$1:$I$89,3,0)*VLOOKUP('Données projet'!$B$10,Paramètres!$A$1:$I$89,5,0)</f>
        <v>277.77359999999993</v>
      </c>
      <c r="AK139" s="13">
        <f t="shared" si="143"/>
        <v>66.496288176842356</v>
      </c>
      <c r="AL139" s="20">
        <f t="shared" si="112"/>
        <v>599.60338857466706</v>
      </c>
      <c r="AM139" s="57">
        <f t="shared" si="113"/>
        <v>892.93672190800044</v>
      </c>
      <c r="AN139" s="57">
        <f ca="1">AVERAGE(OFFSET($AM$3,0,0,'Données projet'!$E$10+1,1))-AVERAGE(OFFSET($H$3,0,0,'Données projet'!$E$10+1,1))</f>
        <v>294.92430430387071</v>
      </c>
      <c r="AO139" s="57">
        <f t="shared" si="144"/>
        <v>181.52228471516497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66.039595295377751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66.039595295377751</v>
      </c>
      <c r="AY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319</v>
      </c>
      <c r="BE139" s="13">
        <f>BD139*VLOOKUP('Données projet'!$B$11,Paramètres!$A$1:$I$89,3,0)*VLOOKUP('Données projet'!$B$11,Paramètres!$A$1:$I$89,5,0)</f>
        <v>258.77280000000002</v>
      </c>
      <c r="BF139" s="13">
        <f t="shared" si="145"/>
        <v>62.460716522234691</v>
      </c>
      <c r="BG139" s="20">
        <f t="shared" si="115"/>
        <v>559.48170794289206</v>
      </c>
      <c r="BH139" s="57">
        <f t="shared" si="116"/>
        <v>852.81504127622543</v>
      </c>
      <c r="BI139" s="57">
        <f ca="1">AVERAGE(OFFSET($BH$3,0,0,'Données projet'!$E$11+1,1))-AVERAGE(OFFSET($H$3,0,0,'Données projet'!$E$11+1,1))</f>
        <v>250.90550982248311</v>
      </c>
      <c r="BJ139" s="57">
        <f t="shared" si="146"/>
        <v>254.68874167908001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14.508750938724175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14.508750938724175</v>
      </c>
      <c r="BT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739.99999999999966</v>
      </c>
      <c r="BZ139" s="13">
        <f>BY139*VLOOKUP('Données projet'!$B$12,Paramètres!$A$1:$I$89,3,0)*VLOOKUP('Données projet'!$B$12,Paramètres!$A$1:$I$89,5,0)</f>
        <v>413.65999999999985</v>
      </c>
      <c r="CA139" s="13">
        <f t="shared" si="147"/>
        <v>94.540585122244352</v>
      </c>
      <c r="CB139" s="20">
        <f t="shared" si="118"/>
        <v>885.11601908790863</v>
      </c>
      <c r="CC139" s="57">
        <f t="shared" si="119"/>
        <v>1178.4493524212419</v>
      </c>
      <c r="CD139" s="57">
        <f ca="1">AVERAGE(OFFSET($CC$3,0,0,'Données projet'!$E$12+1,1))-AVERAGE(OFFSET($H$3,0,0,'Données projet'!$E$12+1,1))</f>
        <v>462.54745364638171</v>
      </c>
      <c r="CE139" s="57">
        <f t="shared" si="148"/>
        <v>571.50914830067313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27.414987920133772</v>
      </c>
      <c r="CL139" s="21">
        <f>EXP(-LN(2)/25)*CL138+(1-EXP(-LN(2)/25))/(LN(2)/25)*Calculateur!CG139*Calculateur!CI139*VLOOKUP('Données projet'!$B$12,Paramètres!$A$1:$I$89,3,0)*0.475*44/12</f>
        <v>3.0578965404815253</v>
      </c>
      <c r="CM139" s="21">
        <f>EXP(-LN(2)/2)*CM138+(1-EXP(-LN(2)/2))/(LN(2)/2)*CG139*CJ139*VLOOKUP('Données projet'!$B$12,Paramètres!$A$1:$I$89,3,0)*0.475*44/12</f>
        <v>9.4422621581420913E-17</v>
      </c>
      <c r="CN139" s="22">
        <f t="shared" si="120"/>
        <v>30.472884460615298</v>
      </c>
      <c r="CO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245.99999999999994</v>
      </c>
      <c r="CU139" s="17">
        <f>CT139*VLOOKUP('Données projet'!$B$13,Paramètres!$A$1:$I$89,3,0)*VLOOKUP('Données projet'!$B$13,Paramètres!$A$1:$I$89,5,0)</f>
        <v>234.09359999999998</v>
      </c>
      <c r="CV139" s="13">
        <f t="shared" si="149"/>
        <v>57.166902703920208</v>
      </c>
      <c r="CW139" s="20">
        <f t="shared" si="121"/>
        <v>507.27870887599425</v>
      </c>
      <c r="CX139" s="57">
        <f t="shared" si="122"/>
        <v>800.61204220932757</v>
      </c>
      <c r="CY139" s="57">
        <f ca="1">AVERAGE(OFFSET($CX$3,0,0,'Données projet'!$E$13+1,1))-AVERAGE(OFFSET($H$3,0,0,'Données projet'!$E$13+1,1))</f>
        <v>314.67680626853303</v>
      </c>
      <c r="CZ139" s="57">
        <f t="shared" si="150"/>
        <v>372.57247561536263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51.44656457682423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51.44656457682423</v>
      </c>
      <c r="DJ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319</v>
      </c>
      <c r="DP139" s="17">
        <f>DO139*VLOOKUP('Données projet'!$B$14,Paramètres!$A$1:$I$89,3,0)*VLOOKUP('Données projet'!$B$14,Paramètres!$A$1:$I$89,5,0)</f>
        <v>209.00879999999998</v>
      </c>
      <c r="DQ139" s="13">
        <f t="shared" si="151"/>
        <v>51.718923953824202</v>
      </c>
      <c r="DR139" s="20">
        <f t="shared" si="124"/>
        <v>454.10078588624373</v>
      </c>
      <c r="DS139" s="57">
        <f t="shared" si="125"/>
        <v>747.43411921957704</v>
      </c>
      <c r="DT139" s="57">
        <f ca="1">AVERAGE(OFFSET($DS$3,0,0,'Données projet'!$E$14+1,1))-AVERAGE(OFFSET($H$3,0,0,'Données projet'!$E$14+1,1))</f>
        <v>188.80259324758066</v>
      </c>
      <c r="DU139" s="57">
        <f t="shared" si="152"/>
        <v>195.48048518255354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11.718606527431074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11.718606527431074</v>
      </c>
      <c r="EE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319</v>
      </c>
      <c r="EK139" s="17">
        <f>EJ139*VLOOKUP('Données projet'!$B$15,Paramètres!$A$1:$I$89,3,0)*VLOOKUP('Données projet'!$B$15,Paramètres!$A$1:$I$89,5,0)</f>
        <v>258.77280000000002</v>
      </c>
      <c r="EL139" s="13">
        <f t="shared" si="153"/>
        <v>62.460716522234691</v>
      </c>
      <c r="EM139" s="20">
        <f t="shared" si="127"/>
        <v>559.48170794289206</v>
      </c>
      <c r="EN139" s="57">
        <f t="shared" si="128"/>
        <v>852.81504127622543</v>
      </c>
      <c r="EO139" s="57">
        <f ca="1">AVERAGE(OFFSET($EN$3,0,0,'Données projet'!$E$15+1,1))-AVERAGE(OFFSET($H$3,0,0,'Données projet'!$E$15+1,1))</f>
        <v>250.90550982248311</v>
      </c>
      <c r="EP139" s="57">
        <f t="shared" si="154"/>
        <v>254.68874167908001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14.508750938724175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14.508750938724175</v>
      </c>
      <c r="EZ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7" t="e">
        <f t="shared" si="131"/>
        <v>#N/A</v>
      </c>
      <c r="FJ139" s="57" t="e">
        <f ca="1">AVERAGE(OFFSET($FI$3,0,0,'Données projet'!$E$16+1,1))-AVERAGE(OFFSET($H$3,0,0,'Données projet'!$E$16+1,1))</f>
        <v>#N/A</v>
      </c>
      <c r="FK139" s="57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7" t="e">
        <f t="shared" si="134"/>
        <v>#N/A</v>
      </c>
      <c r="GE139" s="57" t="e">
        <f ca="1">AVERAGE(OFFSET($GD$3,0,0,'Données projet'!$E$17+1,1))-AVERAGE(OFFSET($H$3,0,0,'Données projet'!$E$17+1,1))</f>
        <v>#N/A</v>
      </c>
      <c r="GF139" s="57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7" t="e">
        <f t="shared" si="137"/>
        <v>#N/A</v>
      </c>
      <c r="GZ139" s="57" t="e">
        <f ca="1">AVERAGE(OFFSET($GY$3,0,0,'Données projet'!$E$18+1,1))-AVERAGE(OFFSET($H$3,0,0,'Données projet'!$E$18+1,1))</f>
        <v>#N/A</v>
      </c>
      <c r="HA139" s="57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0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4">
        <f t="shared" si="110"/>
        <v>556.8201550192714</v>
      </c>
      <c r="I140" s="6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258.61679999999996</v>
      </c>
      <c r="P140" s="13">
        <f t="shared" si="141"/>
        <v>62.427444141032439</v>
      </c>
      <c r="Q140" s="20">
        <f t="shared" si="108"/>
        <v>559.15205854563135</v>
      </c>
      <c r="R140" s="57">
        <f t="shared" si="109"/>
        <v>852.48539187896472</v>
      </c>
      <c r="S140" s="57">
        <f ca="1">AVERAGE(OFFSET($R$3,0,0,'Données projet'!$E$9+1,1))-AVERAGE(OFFSET($H$3,0,0,'Données projet'!$E$9+1,1))</f>
        <v>267.44861001389006</v>
      </c>
      <c r="T140" s="57">
        <f t="shared" si="142"/>
        <v>165.25921510802965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60.279454345479401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60.279454345479401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306.99999999999994</v>
      </c>
      <c r="AJ140" s="13">
        <f>AI140*VLOOKUP('Données projet'!$B$10,Paramètres!$A$1:$I$89,3,0)*VLOOKUP('Données projet'!$B$10,Paramètres!$A$1:$I$89,5,0)</f>
        <v>277.77359999999993</v>
      </c>
      <c r="AK140" s="13">
        <f t="shared" si="143"/>
        <v>66.496288176842356</v>
      </c>
      <c r="AL140" s="20">
        <f t="shared" si="112"/>
        <v>599.60338857466706</v>
      </c>
      <c r="AM140" s="57">
        <f t="shared" si="113"/>
        <v>892.93672190800044</v>
      </c>
      <c r="AN140" s="57">
        <f ca="1">AVERAGE(OFFSET($AM$3,0,0,'Données projet'!$E$10+1,1))-AVERAGE(OFFSET($H$3,0,0,'Données projet'!$E$10+1,1))</f>
        <v>294.92430430387071</v>
      </c>
      <c r="AO140" s="57">
        <f t="shared" si="144"/>
        <v>181.52228471516497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64.744599111811183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64.744599111811183</v>
      </c>
      <c r="AY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319</v>
      </c>
      <c r="BE140" s="13">
        <f>BD140*VLOOKUP('Données projet'!$B$11,Paramètres!$A$1:$I$89,3,0)*VLOOKUP('Données projet'!$B$11,Paramètres!$A$1:$I$89,5,0)</f>
        <v>258.77280000000002</v>
      </c>
      <c r="BF140" s="13">
        <f t="shared" si="145"/>
        <v>62.460716522234691</v>
      </c>
      <c r="BG140" s="20">
        <f t="shared" si="115"/>
        <v>559.48170794289206</v>
      </c>
      <c r="BH140" s="57">
        <f t="shared" si="116"/>
        <v>852.81504127622543</v>
      </c>
      <c r="BI140" s="57">
        <f ca="1">AVERAGE(OFFSET($BH$3,0,0,'Données projet'!$E$11+1,1))-AVERAGE(OFFSET($H$3,0,0,'Données projet'!$E$11+1,1))</f>
        <v>250.90550982248311</v>
      </c>
      <c r="BJ140" s="57">
        <f t="shared" si="146"/>
        <v>254.68874167908001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14.224243182280054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14.224243182280054</v>
      </c>
      <c r="BT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739.99999999999966</v>
      </c>
      <c r="BZ140" s="13">
        <f>BY140*VLOOKUP('Données projet'!$B$12,Paramètres!$A$1:$I$89,3,0)*VLOOKUP('Données projet'!$B$12,Paramètres!$A$1:$I$89,5,0)</f>
        <v>413.65999999999985</v>
      </c>
      <c r="CA140" s="13">
        <f t="shared" si="147"/>
        <v>94.540585122244352</v>
      </c>
      <c r="CB140" s="20">
        <f t="shared" si="118"/>
        <v>885.11601908790863</v>
      </c>
      <c r="CC140" s="57">
        <f t="shared" si="119"/>
        <v>1178.4493524212419</v>
      </c>
      <c r="CD140" s="57">
        <f ca="1">AVERAGE(OFFSET($CC$3,0,0,'Données projet'!$E$12+1,1))-AVERAGE(OFFSET($H$3,0,0,'Données projet'!$E$12+1,1))</f>
        <v>462.54745364638171</v>
      </c>
      <c r="CE140" s="57">
        <f t="shared" si="148"/>
        <v>571.50914830067313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26.877396728511471</v>
      </c>
      <c r="CL140" s="21">
        <f>EXP(-LN(2)/25)*CL139+(1-EXP(-LN(2)/25))/(LN(2)/25)*Calculateur!CG140*Calculateur!CI140*VLOOKUP('Données projet'!$B$12,Paramètres!$A$1:$I$89,3,0)*0.475*44/12</f>
        <v>2.9742781987742677</v>
      </c>
      <c r="CM140" s="21">
        <f>EXP(-LN(2)/2)*CM139+(1-EXP(-LN(2)/2))/(LN(2)/2)*CG140*CJ140*VLOOKUP('Données projet'!$B$12,Paramètres!$A$1:$I$89,3,0)*0.475*44/12</f>
        <v>6.6766876017633976E-17</v>
      </c>
      <c r="CN140" s="22">
        <f t="shared" si="120"/>
        <v>29.851674927285739</v>
      </c>
      <c r="CO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245.99999999999994</v>
      </c>
      <c r="CU140" s="17">
        <f>CT140*VLOOKUP('Données projet'!$B$13,Paramètres!$A$1:$I$89,3,0)*VLOOKUP('Données projet'!$B$13,Paramètres!$A$1:$I$89,5,0)</f>
        <v>234.09359999999998</v>
      </c>
      <c r="CV140" s="13">
        <f t="shared" si="149"/>
        <v>57.166902703920208</v>
      </c>
      <c r="CW140" s="20">
        <f t="shared" si="121"/>
        <v>507.27870887599425</v>
      </c>
      <c r="CX140" s="57">
        <f t="shared" si="122"/>
        <v>800.61204220932757</v>
      </c>
      <c r="CY140" s="57">
        <f ca="1">AVERAGE(OFFSET($CX$3,0,0,'Données projet'!$E$13+1,1))-AVERAGE(OFFSET($H$3,0,0,'Données projet'!$E$13+1,1))</f>
        <v>314.67680626853303</v>
      </c>
      <c r="CZ140" s="57">
        <f t="shared" si="150"/>
        <v>372.57247561536263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50.437728824778652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50.437728824778652</v>
      </c>
      <c r="DJ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319</v>
      </c>
      <c r="DP140" s="17">
        <f>DO140*VLOOKUP('Données projet'!$B$14,Paramètres!$A$1:$I$89,3,0)*VLOOKUP('Données projet'!$B$14,Paramètres!$A$1:$I$89,5,0)</f>
        <v>209.00879999999998</v>
      </c>
      <c r="DQ140" s="13">
        <f t="shared" si="151"/>
        <v>51.718923953824202</v>
      </c>
      <c r="DR140" s="20">
        <f t="shared" si="124"/>
        <v>454.10078588624373</v>
      </c>
      <c r="DS140" s="57">
        <f t="shared" si="125"/>
        <v>747.43411921957704</v>
      </c>
      <c r="DT140" s="57">
        <f ca="1">AVERAGE(OFFSET($DS$3,0,0,'Données projet'!$E$14+1,1))-AVERAGE(OFFSET($H$3,0,0,'Données projet'!$E$14+1,1))</f>
        <v>188.80259324758066</v>
      </c>
      <c r="DU140" s="57">
        <f t="shared" si="152"/>
        <v>195.48048518255354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11.488811801072361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11.488811801072361</v>
      </c>
      <c r="EE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319</v>
      </c>
      <c r="EK140" s="17">
        <f>EJ140*VLOOKUP('Données projet'!$B$15,Paramètres!$A$1:$I$89,3,0)*VLOOKUP('Données projet'!$B$15,Paramètres!$A$1:$I$89,5,0)</f>
        <v>258.77280000000002</v>
      </c>
      <c r="EL140" s="13">
        <f t="shared" si="153"/>
        <v>62.460716522234691</v>
      </c>
      <c r="EM140" s="20">
        <f t="shared" si="127"/>
        <v>559.48170794289206</v>
      </c>
      <c r="EN140" s="57">
        <f t="shared" si="128"/>
        <v>852.81504127622543</v>
      </c>
      <c r="EO140" s="57">
        <f ca="1">AVERAGE(OFFSET($EN$3,0,0,'Données projet'!$E$15+1,1))-AVERAGE(OFFSET($H$3,0,0,'Données projet'!$E$15+1,1))</f>
        <v>250.90550982248311</v>
      </c>
      <c r="EP140" s="57">
        <f t="shared" si="154"/>
        <v>254.68874167908001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14.224243182280054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14.224243182280054</v>
      </c>
      <c r="EZ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7" t="e">
        <f t="shared" si="131"/>
        <v>#N/A</v>
      </c>
      <c r="FJ140" s="57" t="e">
        <f ca="1">AVERAGE(OFFSET($FI$3,0,0,'Données projet'!$E$16+1,1))-AVERAGE(OFFSET($H$3,0,0,'Données projet'!$E$16+1,1))</f>
        <v>#N/A</v>
      </c>
      <c r="FK140" s="57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7" t="e">
        <f t="shared" si="134"/>
        <v>#N/A</v>
      </c>
      <c r="GE140" s="57" t="e">
        <f ca="1">AVERAGE(OFFSET($GD$3,0,0,'Données projet'!$E$17+1,1))-AVERAGE(OFFSET($H$3,0,0,'Données projet'!$E$17+1,1))</f>
        <v>#N/A</v>
      </c>
      <c r="GF140" s="57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7" t="e">
        <f t="shared" si="137"/>
        <v>#N/A</v>
      </c>
      <c r="GZ140" s="57" t="e">
        <f ca="1">AVERAGE(OFFSET($GY$3,0,0,'Données projet'!$E$18+1,1))-AVERAGE(OFFSET($H$3,0,0,'Données projet'!$E$18+1,1))</f>
        <v>#N/A</v>
      </c>
      <c r="HA140" s="57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0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4">
        <f t="shared" si="110"/>
        <v>558.69650339092095</v>
      </c>
      <c r="I141" s="6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258.61679999999996</v>
      </c>
      <c r="P141" s="13">
        <f t="shared" si="141"/>
        <v>62.427444141032439</v>
      </c>
      <c r="Q141" s="20">
        <f t="shared" si="108"/>
        <v>559.15205854563135</v>
      </c>
      <c r="R141" s="57">
        <f t="shared" si="109"/>
        <v>852.48539187896472</v>
      </c>
      <c r="S141" s="57">
        <f ca="1">AVERAGE(OFFSET($R$3,0,0,'Données projet'!$E$9+1,1))-AVERAGE(OFFSET($H$3,0,0,'Données projet'!$E$9+1,1))</f>
        <v>267.44861001389006</v>
      </c>
      <c r="T141" s="57">
        <f t="shared" si="142"/>
        <v>165.25921510802965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59.097411012601277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59.097411012601277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306.99999999999994</v>
      </c>
      <c r="AJ141" s="13">
        <f>AI141*VLOOKUP('Données projet'!$B$10,Paramètres!$A$1:$I$89,3,0)*VLOOKUP('Données projet'!$B$10,Paramètres!$A$1:$I$89,5,0)</f>
        <v>277.77359999999993</v>
      </c>
      <c r="AK141" s="13">
        <f t="shared" si="143"/>
        <v>66.496288176842356</v>
      </c>
      <c r="AL141" s="20">
        <f t="shared" si="112"/>
        <v>599.60338857466706</v>
      </c>
      <c r="AM141" s="57">
        <f t="shared" si="113"/>
        <v>892.93672190800044</v>
      </c>
      <c r="AN141" s="57">
        <f ca="1">AVERAGE(OFFSET($AM$3,0,0,'Données projet'!$E$10+1,1))-AVERAGE(OFFSET($H$3,0,0,'Données projet'!$E$10+1,1))</f>
        <v>294.92430430387071</v>
      </c>
      <c r="AO141" s="57">
        <f t="shared" si="144"/>
        <v>181.52228471516497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63.474997013534683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63.474997013534683</v>
      </c>
      <c r="AY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319</v>
      </c>
      <c r="BE141" s="13">
        <f>BD141*VLOOKUP('Données projet'!$B$11,Paramètres!$A$1:$I$89,3,0)*VLOOKUP('Données projet'!$B$11,Paramètres!$A$1:$I$89,5,0)</f>
        <v>258.77280000000002</v>
      </c>
      <c r="BF141" s="13">
        <f t="shared" si="145"/>
        <v>62.460716522234691</v>
      </c>
      <c r="BG141" s="20">
        <f t="shared" si="115"/>
        <v>559.48170794289206</v>
      </c>
      <c r="BH141" s="57">
        <f t="shared" si="116"/>
        <v>852.81504127622543</v>
      </c>
      <c r="BI141" s="57">
        <f ca="1">AVERAGE(OFFSET($BH$3,0,0,'Données projet'!$E$11+1,1))-AVERAGE(OFFSET($H$3,0,0,'Données projet'!$E$11+1,1))</f>
        <v>250.90550982248311</v>
      </c>
      <c r="BJ141" s="57">
        <f t="shared" si="146"/>
        <v>254.68874167908001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13.945314449407206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13.945314449407206</v>
      </c>
      <c r="BT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739.99999999999966</v>
      </c>
      <c r="BZ141" s="13">
        <f>BY141*VLOOKUP('Données projet'!$B$12,Paramètres!$A$1:$I$89,3,0)*VLOOKUP('Données projet'!$B$12,Paramètres!$A$1:$I$89,5,0)</f>
        <v>413.65999999999985</v>
      </c>
      <c r="CA141" s="13">
        <f t="shared" si="147"/>
        <v>94.540585122244352</v>
      </c>
      <c r="CB141" s="20">
        <f t="shared" si="118"/>
        <v>885.11601908790863</v>
      </c>
      <c r="CC141" s="57">
        <f t="shared" si="119"/>
        <v>1178.4493524212419</v>
      </c>
      <c r="CD141" s="57">
        <f ca="1">AVERAGE(OFFSET($CC$3,0,0,'Données projet'!$E$12+1,1))-AVERAGE(OFFSET($H$3,0,0,'Données projet'!$E$12+1,1))</f>
        <v>462.54745364638171</v>
      </c>
      <c r="CE141" s="57">
        <f t="shared" si="148"/>
        <v>571.50914830067313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26.350347372258632</v>
      </c>
      <c r="CL141" s="21">
        <f>EXP(-LN(2)/25)*CL140+(1-EXP(-LN(2)/25))/(LN(2)/25)*Calculateur!CG141*Calculateur!CI141*VLOOKUP('Données projet'!$B$12,Paramètres!$A$1:$I$89,3,0)*0.475*44/12</f>
        <v>2.8929464050182925</v>
      </c>
      <c r="CM141" s="21">
        <f>EXP(-LN(2)/2)*CM140+(1-EXP(-LN(2)/2))/(LN(2)/2)*CG141*CJ141*VLOOKUP('Données projet'!$B$12,Paramètres!$A$1:$I$89,3,0)*0.475*44/12</f>
        <v>4.7211310790710456E-17</v>
      </c>
      <c r="CN141" s="22">
        <f t="shared" si="120"/>
        <v>29.243293777276925</v>
      </c>
      <c r="CO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245.99999999999994</v>
      </c>
      <c r="CU141" s="17">
        <f>CT141*VLOOKUP('Données projet'!$B$13,Paramètres!$A$1:$I$89,3,0)*VLOOKUP('Données projet'!$B$13,Paramètres!$A$1:$I$89,5,0)</f>
        <v>234.09359999999998</v>
      </c>
      <c r="CV141" s="13">
        <f t="shared" si="149"/>
        <v>57.166902703920208</v>
      </c>
      <c r="CW141" s="20">
        <f t="shared" si="121"/>
        <v>507.27870887599425</v>
      </c>
      <c r="CX141" s="57">
        <f t="shared" si="122"/>
        <v>800.61204220932757</v>
      </c>
      <c r="CY141" s="57">
        <f ca="1">AVERAGE(OFFSET($CX$3,0,0,'Données projet'!$E$13+1,1))-AVERAGE(OFFSET($H$3,0,0,'Données projet'!$E$13+1,1))</f>
        <v>314.67680626853303</v>
      </c>
      <c r="CZ141" s="57">
        <f t="shared" si="150"/>
        <v>372.57247561536263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49.448675726501634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49.448675726501634</v>
      </c>
      <c r="DJ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319</v>
      </c>
      <c r="DP141" s="17">
        <f>DO141*VLOOKUP('Données projet'!$B$14,Paramètres!$A$1:$I$89,3,0)*VLOOKUP('Données projet'!$B$14,Paramètres!$A$1:$I$89,5,0)</f>
        <v>209.00879999999998</v>
      </c>
      <c r="DQ141" s="13">
        <f t="shared" si="151"/>
        <v>51.718923953824202</v>
      </c>
      <c r="DR141" s="20">
        <f t="shared" si="124"/>
        <v>454.10078588624373</v>
      </c>
      <c r="DS141" s="57">
        <f t="shared" si="125"/>
        <v>747.43411921957704</v>
      </c>
      <c r="DT141" s="57">
        <f ca="1">AVERAGE(OFFSET($DS$3,0,0,'Données projet'!$E$14+1,1))-AVERAGE(OFFSET($H$3,0,0,'Données projet'!$E$14+1,1))</f>
        <v>188.80259324758066</v>
      </c>
      <c r="DU141" s="57">
        <f t="shared" si="152"/>
        <v>195.48048518255354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11.263523209136599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11.263523209136599</v>
      </c>
      <c r="EE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319</v>
      </c>
      <c r="EK141" s="17">
        <f>EJ141*VLOOKUP('Données projet'!$B$15,Paramètres!$A$1:$I$89,3,0)*VLOOKUP('Données projet'!$B$15,Paramètres!$A$1:$I$89,5,0)</f>
        <v>258.77280000000002</v>
      </c>
      <c r="EL141" s="13">
        <f t="shared" si="153"/>
        <v>62.460716522234691</v>
      </c>
      <c r="EM141" s="20">
        <f t="shared" si="127"/>
        <v>559.48170794289206</v>
      </c>
      <c r="EN141" s="57">
        <f t="shared" si="128"/>
        <v>852.81504127622543</v>
      </c>
      <c r="EO141" s="57">
        <f ca="1">AVERAGE(OFFSET($EN$3,0,0,'Données projet'!$E$15+1,1))-AVERAGE(OFFSET($H$3,0,0,'Données projet'!$E$15+1,1))</f>
        <v>250.90550982248311</v>
      </c>
      <c r="EP141" s="57">
        <f t="shared" si="154"/>
        <v>254.68874167908001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13.945314449407206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13.945314449407206</v>
      </c>
      <c r="EZ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7" t="e">
        <f t="shared" si="131"/>
        <v>#N/A</v>
      </c>
      <c r="FJ141" s="57" t="e">
        <f ca="1">AVERAGE(OFFSET($FI$3,0,0,'Données projet'!$E$16+1,1))-AVERAGE(OFFSET($H$3,0,0,'Données projet'!$E$16+1,1))</f>
        <v>#N/A</v>
      </c>
      <c r="FK141" s="57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7" t="e">
        <f t="shared" si="134"/>
        <v>#N/A</v>
      </c>
      <c r="GE141" s="57" t="e">
        <f ca="1">AVERAGE(OFFSET($GD$3,0,0,'Données projet'!$E$17+1,1))-AVERAGE(OFFSET($H$3,0,0,'Données projet'!$E$17+1,1))</f>
        <v>#N/A</v>
      </c>
      <c r="GF141" s="57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7" t="e">
        <f t="shared" si="137"/>
        <v>#N/A</v>
      </c>
      <c r="GZ141" s="57" t="e">
        <f ca="1">AVERAGE(OFFSET($GY$3,0,0,'Données projet'!$E$18+1,1))-AVERAGE(OFFSET($H$3,0,0,'Données projet'!$E$18+1,1))</f>
        <v>#N/A</v>
      </c>
      <c r="HA141" s="57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0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4">
        <f t="shared" si="110"/>
        <v>560.57255259596991</v>
      </c>
      <c r="I142" s="6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258.61679999999996</v>
      </c>
      <c r="P142" s="13">
        <f t="shared" si="141"/>
        <v>62.427444141032439</v>
      </c>
      <c r="Q142" s="20">
        <f t="shared" si="108"/>
        <v>559.15205854563135</v>
      </c>
      <c r="R142" s="57">
        <f t="shared" si="109"/>
        <v>852.48539187896472</v>
      </c>
      <c r="S142" s="57">
        <f ca="1">AVERAGE(OFFSET($R$3,0,0,'Données projet'!$E$9+1,1))-AVERAGE(OFFSET($H$3,0,0,'Données projet'!$E$9+1,1))</f>
        <v>267.44861001389006</v>
      </c>
      <c r="T142" s="57">
        <f t="shared" si="142"/>
        <v>165.25921510802965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57.93854682850565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57.93854682850565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306.99999999999994</v>
      </c>
      <c r="AJ142" s="13">
        <f>AI142*VLOOKUP('Données projet'!$B$10,Paramètres!$A$1:$I$89,3,0)*VLOOKUP('Données projet'!$B$10,Paramètres!$A$1:$I$89,5,0)</f>
        <v>277.77359999999993</v>
      </c>
      <c r="AK142" s="13">
        <f t="shared" si="143"/>
        <v>66.496288176842356</v>
      </c>
      <c r="AL142" s="20">
        <f t="shared" si="112"/>
        <v>599.60338857466706</v>
      </c>
      <c r="AM142" s="57">
        <f t="shared" si="113"/>
        <v>892.93672190800044</v>
      </c>
      <c r="AN142" s="57">
        <f ca="1">AVERAGE(OFFSET($AM$3,0,0,'Données projet'!$E$10+1,1))-AVERAGE(OFFSET($H$3,0,0,'Données projet'!$E$10+1,1))</f>
        <v>294.92430430387071</v>
      </c>
      <c r="AO142" s="57">
        <f t="shared" si="144"/>
        <v>181.52228471516497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62.230291038024568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62.230291038024568</v>
      </c>
      <c r="AY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319</v>
      </c>
      <c r="BE142" s="13">
        <f>BD142*VLOOKUP('Données projet'!$B$11,Paramètres!$A$1:$I$89,3,0)*VLOOKUP('Données projet'!$B$11,Paramètres!$A$1:$I$89,5,0)</f>
        <v>258.77280000000002</v>
      </c>
      <c r="BF142" s="13">
        <f t="shared" si="145"/>
        <v>62.460716522234691</v>
      </c>
      <c r="BG142" s="20">
        <f t="shared" si="115"/>
        <v>559.48170794289206</v>
      </c>
      <c r="BH142" s="57">
        <f t="shared" si="116"/>
        <v>852.81504127622543</v>
      </c>
      <c r="BI142" s="57">
        <f ca="1">AVERAGE(OFFSET($BH$3,0,0,'Données projet'!$E$11+1,1))-AVERAGE(OFFSET($H$3,0,0,'Données projet'!$E$11+1,1))</f>
        <v>250.90550982248311</v>
      </c>
      <c r="BJ142" s="57">
        <f t="shared" si="146"/>
        <v>254.68874167908001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13.671855338856266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13.671855338856266</v>
      </c>
      <c r="BT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739.99999999999966</v>
      </c>
      <c r="BZ142" s="13">
        <f>BY142*VLOOKUP('Données projet'!$B$12,Paramètres!$A$1:$I$89,3,0)*VLOOKUP('Données projet'!$B$12,Paramètres!$A$1:$I$89,5,0)</f>
        <v>413.65999999999985</v>
      </c>
      <c r="CA142" s="13">
        <f t="shared" si="147"/>
        <v>94.540585122244352</v>
      </c>
      <c r="CB142" s="20">
        <f t="shared" si="118"/>
        <v>885.11601908790863</v>
      </c>
      <c r="CC142" s="57">
        <f t="shared" si="119"/>
        <v>1178.4493524212419</v>
      </c>
      <c r="CD142" s="57">
        <f ca="1">AVERAGE(OFFSET($CC$3,0,0,'Données projet'!$E$12+1,1))-AVERAGE(OFFSET($H$3,0,0,'Données projet'!$E$12+1,1))</f>
        <v>462.54745364638171</v>
      </c>
      <c r="CE142" s="57">
        <f t="shared" si="148"/>
        <v>571.50914830067313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25.833633132413546</v>
      </c>
      <c r="CL142" s="21">
        <f>EXP(-LN(2)/25)*CL141+(1-EXP(-LN(2)/25))/(LN(2)/25)*Calculateur!CG142*Calculateur!CI142*VLOOKUP('Données projet'!$B$12,Paramètres!$A$1:$I$89,3,0)*0.475*44/12</f>
        <v>2.8138386334396279</v>
      </c>
      <c r="CM142" s="21">
        <f>EXP(-LN(2)/2)*CM141+(1-EXP(-LN(2)/2))/(LN(2)/2)*CG142*CJ142*VLOOKUP('Données projet'!$B$12,Paramètres!$A$1:$I$89,3,0)*0.475*44/12</f>
        <v>3.3383438008816988E-17</v>
      </c>
      <c r="CN142" s="22">
        <f t="shared" si="120"/>
        <v>28.647471765853172</v>
      </c>
      <c r="CO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245.99999999999994</v>
      </c>
      <c r="CU142" s="17">
        <f>CT142*VLOOKUP('Données projet'!$B$13,Paramètres!$A$1:$I$89,3,0)*VLOOKUP('Données projet'!$B$13,Paramètres!$A$1:$I$89,5,0)</f>
        <v>234.09359999999998</v>
      </c>
      <c r="CV142" s="13">
        <f t="shared" si="149"/>
        <v>57.166902703920208</v>
      </c>
      <c r="CW142" s="20">
        <f t="shared" si="121"/>
        <v>507.27870887599425</v>
      </c>
      <c r="CX142" s="57">
        <f t="shared" si="122"/>
        <v>800.61204220932757</v>
      </c>
      <c r="CY142" s="57">
        <f ca="1">AVERAGE(OFFSET($CX$3,0,0,'Données projet'!$E$13+1,1))-AVERAGE(OFFSET($H$3,0,0,'Données projet'!$E$13+1,1))</f>
        <v>314.67680626853303</v>
      </c>
      <c r="CZ142" s="57">
        <f t="shared" si="150"/>
        <v>372.57247561536263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48.479017356219003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48.479017356219003</v>
      </c>
      <c r="DJ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319</v>
      </c>
      <c r="DP142" s="17">
        <f>DO142*VLOOKUP('Données projet'!$B$14,Paramètres!$A$1:$I$89,3,0)*VLOOKUP('Données projet'!$B$14,Paramètres!$A$1:$I$89,5,0)</f>
        <v>209.00879999999998</v>
      </c>
      <c r="DQ142" s="13">
        <f t="shared" si="151"/>
        <v>51.718923953824202</v>
      </c>
      <c r="DR142" s="20">
        <f t="shared" si="124"/>
        <v>454.10078588624373</v>
      </c>
      <c r="DS142" s="57">
        <f t="shared" si="125"/>
        <v>747.43411921957704</v>
      </c>
      <c r="DT142" s="57">
        <f ca="1">AVERAGE(OFFSET($DS$3,0,0,'Données projet'!$E$14+1,1))-AVERAGE(OFFSET($H$3,0,0,'Données projet'!$E$14+1,1))</f>
        <v>188.80259324758066</v>
      </c>
      <c r="DU142" s="57">
        <f t="shared" si="152"/>
        <v>195.48048518255354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11.042652389076224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11.042652389076224</v>
      </c>
      <c r="EE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319</v>
      </c>
      <c r="EK142" s="17">
        <f>EJ142*VLOOKUP('Données projet'!$B$15,Paramètres!$A$1:$I$89,3,0)*VLOOKUP('Données projet'!$B$15,Paramètres!$A$1:$I$89,5,0)</f>
        <v>258.77280000000002</v>
      </c>
      <c r="EL142" s="13">
        <f t="shared" si="153"/>
        <v>62.460716522234691</v>
      </c>
      <c r="EM142" s="20">
        <f t="shared" si="127"/>
        <v>559.48170794289206</v>
      </c>
      <c r="EN142" s="57">
        <f t="shared" si="128"/>
        <v>852.81504127622543</v>
      </c>
      <c r="EO142" s="57">
        <f ca="1">AVERAGE(OFFSET($EN$3,0,0,'Données projet'!$E$15+1,1))-AVERAGE(OFFSET($H$3,0,0,'Données projet'!$E$15+1,1))</f>
        <v>250.90550982248311</v>
      </c>
      <c r="EP142" s="57">
        <f t="shared" si="154"/>
        <v>254.68874167908001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13.671855338856266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13.671855338856266</v>
      </c>
      <c r="EZ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7" t="e">
        <f t="shared" si="131"/>
        <v>#N/A</v>
      </c>
      <c r="FJ142" s="57" t="e">
        <f ca="1">AVERAGE(OFFSET($FI$3,0,0,'Données projet'!$E$16+1,1))-AVERAGE(OFFSET($H$3,0,0,'Données projet'!$E$16+1,1))</f>
        <v>#N/A</v>
      </c>
      <c r="FK142" s="57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7" t="e">
        <f t="shared" si="134"/>
        <v>#N/A</v>
      </c>
      <c r="GE142" s="57" t="e">
        <f ca="1">AVERAGE(OFFSET($GD$3,0,0,'Données projet'!$E$17+1,1))-AVERAGE(OFFSET($H$3,0,0,'Données projet'!$E$17+1,1))</f>
        <v>#N/A</v>
      </c>
      <c r="GF142" s="57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7" t="e">
        <f t="shared" si="137"/>
        <v>#N/A</v>
      </c>
      <c r="GZ142" s="57" t="e">
        <f ca="1">AVERAGE(OFFSET($GY$3,0,0,'Données projet'!$E$18+1,1))-AVERAGE(OFFSET($H$3,0,0,'Données projet'!$E$18+1,1))</f>
        <v>#N/A</v>
      </c>
      <c r="HA142" s="57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0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4">
        <f t="shared" si="110"/>
        <v>562.44830503625724</v>
      </c>
      <c r="I143" s="6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258.61679999999996</v>
      </c>
      <c r="P143" s="13">
        <f t="shared" si="141"/>
        <v>62.427444141032439</v>
      </c>
      <c r="Q143" s="20">
        <f t="shared" si="108"/>
        <v>559.15205854563135</v>
      </c>
      <c r="R143" s="57">
        <f t="shared" si="109"/>
        <v>852.48539187896472</v>
      </c>
      <c r="S143" s="57">
        <f ca="1">AVERAGE(OFFSET($R$3,0,0,'Données projet'!$E$9+1,1))-AVERAGE(OFFSET($H$3,0,0,'Données projet'!$E$9+1,1))</f>
        <v>267.44861001389006</v>
      </c>
      <c r="T143" s="57">
        <f t="shared" si="142"/>
        <v>165.25921510802965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56.802407264222779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56.802407264222779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306.99999999999994</v>
      </c>
      <c r="AJ143" s="13">
        <f>AI143*VLOOKUP('Données projet'!$B$10,Paramètres!$A$1:$I$89,3,0)*VLOOKUP('Données projet'!$B$10,Paramètres!$A$1:$I$89,5,0)</f>
        <v>277.77359999999993</v>
      </c>
      <c r="AK143" s="13">
        <f t="shared" si="143"/>
        <v>66.496288176842356</v>
      </c>
      <c r="AL143" s="20">
        <f t="shared" si="112"/>
        <v>599.60338857466706</v>
      </c>
      <c r="AM143" s="57">
        <f t="shared" si="113"/>
        <v>892.93672190800044</v>
      </c>
      <c r="AN143" s="57">
        <f ca="1">AVERAGE(OFFSET($AM$3,0,0,'Données projet'!$E$10+1,1))-AVERAGE(OFFSET($H$3,0,0,'Données projet'!$E$10+1,1))</f>
        <v>294.92430430387071</v>
      </c>
      <c r="AO143" s="57">
        <f t="shared" si="144"/>
        <v>181.52228471516497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61.009992987498521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61.009992987498521</v>
      </c>
      <c r="AY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319</v>
      </c>
      <c r="BE143" s="13">
        <f>BD143*VLOOKUP('Données projet'!$B$11,Paramètres!$A$1:$I$89,3,0)*VLOOKUP('Données projet'!$B$11,Paramètres!$A$1:$I$89,5,0)</f>
        <v>258.77280000000002</v>
      </c>
      <c r="BF143" s="13">
        <f t="shared" si="145"/>
        <v>62.460716522234691</v>
      </c>
      <c r="BG143" s="20">
        <f t="shared" si="115"/>
        <v>559.48170794289206</v>
      </c>
      <c r="BH143" s="57">
        <f t="shared" si="116"/>
        <v>852.81504127622543</v>
      </c>
      <c r="BI143" s="57">
        <f ca="1">AVERAGE(OFFSET($BH$3,0,0,'Données projet'!$E$11+1,1))-AVERAGE(OFFSET($H$3,0,0,'Données projet'!$E$11+1,1))</f>
        <v>250.90550982248311</v>
      </c>
      <c r="BJ143" s="57">
        <f t="shared" si="146"/>
        <v>254.68874167908001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13.403758594669643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13.403758594669643</v>
      </c>
      <c r="BT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739.99999999999966</v>
      </c>
      <c r="BZ143" s="13">
        <f>BY143*VLOOKUP('Données projet'!$B$12,Paramètres!$A$1:$I$89,3,0)*VLOOKUP('Données projet'!$B$12,Paramètres!$A$1:$I$89,5,0)</f>
        <v>413.65999999999985</v>
      </c>
      <c r="CA143" s="13">
        <f t="shared" si="147"/>
        <v>94.540585122244352</v>
      </c>
      <c r="CB143" s="20">
        <f t="shared" si="118"/>
        <v>885.11601908790863</v>
      </c>
      <c r="CC143" s="57">
        <f t="shared" si="119"/>
        <v>1178.4493524212419</v>
      </c>
      <c r="CD143" s="57">
        <f ca="1">AVERAGE(OFFSET($CC$3,0,0,'Données projet'!$E$12+1,1))-AVERAGE(OFFSET($H$3,0,0,'Données projet'!$E$12+1,1))</f>
        <v>462.54745364638171</v>
      </c>
      <c r="CE143" s="57">
        <f t="shared" si="148"/>
        <v>571.50914830067313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25.327051343647256</v>
      </c>
      <c r="CL143" s="21">
        <f>EXP(-LN(2)/25)*CL142+(1-EXP(-LN(2)/25))/(LN(2)/25)*Calculateur!CG143*Calculateur!CI143*VLOOKUP('Données projet'!$B$12,Paramètres!$A$1:$I$89,3,0)*0.475*44/12</f>
        <v>2.7368940680348786</v>
      </c>
      <c r="CM143" s="21">
        <f>EXP(-LN(2)/2)*CM142+(1-EXP(-LN(2)/2))/(LN(2)/2)*CG143*CJ143*VLOOKUP('Données projet'!$B$12,Paramètres!$A$1:$I$89,3,0)*0.475*44/12</f>
        <v>2.3605655395355228E-17</v>
      </c>
      <c r="CN143" s="22">
        <f t="shared" si="120"/>
        <v>28.063945411682134</v>
      </c>
      <c r="CO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245.99999999999994</v>
      </c>
      <c r="CU143" s="17">
        <f>CT143*VLOOKUP('Données projet'!$B$13,Paramètres!$A$1:$I$89,3,0)*VLOOKUP('Données projet'!$B$13,Paramètres!$A$1:$I$89,5,0)</f>
        <v>234.09359999999998</v>
      </c>
      <c r="CV143" s="13">
        <f t="shared" si="149"/>
        <v>57.166902703920208</v>
      </c>
      <c r="CW143" s="20">
        <f t="shared" si="121"/>
        <v>507.27870887599425</v>
      </c>
      <c r="CX143" s="57">
        <f t="shared" si="122"/>
        <v>800.61204220932757</v>
      </c>
      <c r="CY143" s="57">
        <f ca="1">AVERAGE(OFFSET($CX$3,0,0,'Données projet'!$E$13+1,1))-AVERAGE(OFFSET($H$3,0,0,'Données projet'!$E$13+1,1))</f>
        <v>314.67680626853303</v>
      </c>
      <c r="CZ143" s="57">
        <f t="shared" si="150"/>
        <v>372.57247561536263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47.528373395144413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47.528373395144413</v>
      </c>
      <c r="DJ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319</v>
      </c>
      <c r="DP143" s="17">
        <f>DO143*VLOOKUP('Données projet'!$B$14,Paramètres!$A$1:$I$89,3,0)*VLOOKUP('Données projet'!$B$14,Paramètres!$A$1:$I$89,5,0)</f>
        <v>209.00879999999998</v>
      </c>
      <c r="DQ143" s="13">
        <f t="shared" si="151"/>
        <v>51.718923953824202</v>
      </c>
      <c r="DR143" s="20">
        <f t="shared" si="124"/>
        <v>454.10078588624373</v>
      </c>
      <c r="DS143" s="57">
        <f t="shared" si="125"/>
        <v>747.43411921957704</v>
      </c>
      <c r="DT143" s="57">
        <f ca="1">AVERAGE(OFFSET($DS$3,0,0,'Données projet'!$E$14+1,1))-AVERAGE(OFFSET($H$3,0,0,'Données projet'!$E$14+1,1))</f>
        <v>188.80259324758066</v>
      </c>
      <c r="DU143" s="57">
        <f t="shared" si="152"/>
        <v>195.48048518255354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10.826112711079336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10.826112711079336</v>
      </c>
      <c r="EE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319</v>
      </c>
      <c r="EK143" s="17">
        <f>EJ143*VLOOKUP('Données projet'!$B$15,Paramètres!$A$1:$I$89,3,0)*VLOOKUP('Données projet'!$B$15,Paramètres!$A$1:$I$89,5,0)</f>
        <v>258.77280000000002</v>
      </c>
      <c r="EL143" s="13">
        <f t="shared" si="153"/>
        <v>62.460716522234691</v>
      </c>
      <c r="EM143" s="20">
        <f t="shared" si="127"/>
        <v>559.48170794289206</v>
      </c>
      <c r="EN143" s="57">
        <f t="shared" si="128"/>
        <v>852.81504127622543</v>
      </c>
      <c r="EO143" s="57">
        <f ca="1">AVERAGE(OFFSET($EN$3,0,0,'Données projet'!$E$15+1,1))-AVERAGE(OFFSET($H$3,0,0,'Données projet'!$E$15+1,1))</f>
        <v>250.90550982248311</v>
      </c>
      <c r="EP143" s="57">
        <f t="shared" si="154"/>
        <v>254.68874167908001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13.403758594669643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13.403758594669643</v>
      </c>
      <c r="EZ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7" t="e">
        <f t="shared" si="131"/>
        <v>#N/A</v>
      </c>
      <c r="FJ143" s="57" t="e">
        <f ca="1">AVERAGE(OFFSET($FI$3,0,0,'Données projet'!$E$16+1,1))-AVERAGE(OFFSET($H$3,0,0,'Données projet'!$E$16+1,1))</f>
        <v>#N/A</v>
      </c>
      <c r="FK143" s="57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7" t="e">
        <f t="shared" si="134"/>
        <v>#N/A</v>
      </c>
      <c r="GE143" s="57" t="e">
        <f ca="1">AVERAGE(OFFSET($GD$3,0,0,'Données projet'!$E$17+1,1))-AVERAGE(OFFSET($H$3,0,0,'Données projet'!$E$17+1,1))</f>
        <v>#N/A</v>
      </c>
      <c r="GF143" s="57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7" t="e">
        <f t="shared" si="137"/>
        <v>#N/A</v>
      </c>
      <c r="GZ143" s="57" t="e">
        <f ca="1">AVERAGE(OFFSET($GY$3,0,0,'Données projet'!$E$18+1,1))-AVERAGE(OFFSET($H$3,0,0,'Données projet'!$E$18+1,1))</f>
        <v>#N/A</v>
      </c>
      <c r="HA143" s="57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0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4">
        <f t="shared" si="110"/>
        <v>564.32376307732648</v>
      </c>
      <c r="I144" s="6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258.61679999999996</v>
      </c>
      <c r="P144" s="13">
        <f t="shared" si="141"/>
        <v>62.427444141032439</v>
      </c>
      <c r="Q144" s="20">
        <f t="shared" si="108"/>
        <v>559.15205854563135</v>
      </c>
      <c r="R144" s="57">
        <f t="shared" si="109"/>
        <v>852.48539187896472</v>
      </c>
      <c r="S144" s="57">
        <f ca="1">AVERAGE(OFFSET($R$3,0,0,'Données projet'!$E$9+1,1))-AVERAGE(OFFSET($H$3,0,0,'Données projet'!$E$9+1,1))</f>
        <v>267.44861001389006</v>
      </c>
      <c r="T144" s="57">
        <f t="shared" si="142"/>
        <v>165.25921510802965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55.688546703818787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55.688546703818787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306.99999999999994</v>
      </c>
      <c r="AJ144" s="13">
        <f>AI144*VLOOKUP('Données projet'!$B$10,Paramètres!$A$1:$I$89,3,0)*VLOOKUP('Données projet'!$B$10,Paramètres!$A$1:$I$89,5,0)</f>
        <v>277.77359999999993</v>
      </c>
      <c r="AK144" s="13">
        <f t="shared" si="143"/>
        <v>66.496288176842356</v>
      </c>
      <c r="AL144" s="20">
        <f t="shared" si="112"/>
        <v>599.60338857466706</v>
      </c>
      <c r="AM144" s="57">
        <f t="shared" si="113"/>
        <v>892.93672190800044</v>
      </c>
      <c r="AN144" s="57">
        <f ca="1">AVERAGE(OFFSET($AM$3,0,0,'Données projet'!$E$10+1,1))-AVERAGE(OFFSET($H$3,0,0,'Données projet'!$E$10+1,1))</f>
        <v>294.92430430387071</v>
      </c>
      <c r="AO144" s="57">
        <f t="shared" si="144"/>
        <v>181.52228471516497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59.813624237434979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59.813624237434979</v>
      </c>
      <c r="AY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319</v>
      </c>
      <c r="BE144" s="13">
        <f>BD144*VLOOKUP('Données projet'!$B$11,Paramètres!$A$1:$I$89,3,0)*VLOOKUP('Données projet'!$B$11,Paramètres!$A$1:$I$89,5,0)</f>
        <v>258.77280000000002</v>
      </c>
      <c r="BF144" s="13">
        <f t="shared" si="145"/>
        <v>62.460716522234691</v>
      </c>
      <c r="BG144" s="20">
        <f t="shared" si="115"/>
        <v>559.48170794289206</v>
      </c>
      <c r="BH144" s="57">
        <f t="shared" si="116"/>
        <v>852.81504127622543</v>
      </c>
      <c r="BI144" s="57">
        <f ca="1">AVERAGE(OFFSET($BH$3,0,0,'Données projet'!$E$11+1,1))-AVERAGE(OFFSET($H$3,0,0,'Données projet'!$E$11+1,1))</f>
        <v>250.90550982248311</v>
      </c>
      <c r="BJ144" s="57">
        <f t="shared" si="146"/>
        <v>254.68874167908001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13.140919064113652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13.140919064113652</v>
      </c>
      <c r="BT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739.99999999999966</v>
      </c>
      <c r="BZ144" s="13">
        <f>BY144*VLOOKUP('Données projet'!$B$12,Paramètres!$A$1:$I$89,3,0)*VLOOKUP('Données projet'!$B$12,Paramètres!$A$1:$I$89,5,0)</f>
        <v>413.65999999999985</v>
      </c>
      <c r="CA144" s="13">
        <f t="shared" si="147"/>
        <v>94.540585122244352</v>
      </c>
      <c r="CB144" s="20">
        <f t="shared" si="118"/>
        <v>885.11601908790863</v>
      </c>
      <c r="CC144" s="57">
        <f t="shared" si="119"/>
        <v>1178.4493524212419</v>
      </c>
      <c r="CD144" s="57">
        <f ca="1">AVERAGE(OFFSET($CC$3,0,0,'Données projet'!$E$12+1,1))-AVERAGE(OFFSET($H$3,0,0,'Données projet'!$E$12+1,1))</f>
        <v>462.54745364638171</v>
      </c>
      <c r="CE144" s="57">
        <f t="shared" si="148"/>
        <v>571.50914830067313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24.830403314774291</v>
      </c>
      <c r="CL144" s="21">
        <f>EXP(-LN(2)/25)*CL143+(1-EXP(-LN(2)/25))/(LN(2)/25)*Calculateur!CG144*Calculateur!CI144*VLOOKUP('Données projet'!$B$12,Paramètres!$A$1:$I$89,3,0)*0.475*44/12</f>
        <v>2.6620535558174612</v>
      </c>
      <c r="CM144" s="21">
        <f>EXP(-LN(2)/2)*CM143+(1-EXP(-LN(2)/2))/(LN(2)/2)*CG144*CJ144*VLOOKUP('Données projet'!$B$12,Paramètres!$A$1:$I$89,3,0)*0.475*44/12</f>
        <v>1.6691719004408494E-17</v>
      </c>
      <c r="CN144" s="22">
        <f t="shared" si="120"/>
        <v>27.492456870591752</v>
      </c>
      <c r="CO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245.99999999999994</v>
      </c>
      <c r="CU144" s="17">
        <f>CT144*VLOOKUP('Données projet'!$B$13,Paramètres!$A$1:$I$89,3,0)*VLOOKUP('Données projet'!$B$13,Paramètres!$A$1:$I$89,5,0)</f>
        <v>234.09359999999998</v>
      </c>
      <c r="CV144" s="13">
        <f t="shared" si="149"/>
        <v>57.166902703920208</v>
      </c>
      <c r="CW144" s="20">
        <f t="shared" si="121"/>
        <v>507.27870887599425</v>
      </c>
      <c r="CX144" s="57">
        <f t="shared" si="122"/>
        <v>800.61204220932757</v>
      </c>
      <c r="CY144" s="57">
        <f ca="1">AVERAGE(OFFSET($CX$3,0,0,'Données projet'!$E$13+1,1))-AVERAGE(OFFSET($H$3,0,0,'Données projet'!$E$13+1,1))</f>
        <v>314.67680626853303</v>
      </c>
      <c r="CZ144" s="57">
        <f t="shared" si="150"/>
        <v>372.57247561536263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46.59637098231093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46.59637098231093</v>
      </c>
      <c r="DJ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319</v>
      </c>
      <c r="DP144" s="17">
        <f>DO144*VLOOKUP('Données projet'!$B$14,Paramètres!$A$1:$I$89,3,0)*VLOOKUP('Données projet'!$B$14,Paramètres!$A$1:$I$89,5,0)</f>
        <v>209.00879999999998</v>
      </c>
      <c r="DQ144" s="13">
        <f t="shared" si="151"/>
        <v>51.718923953824202</v>
      </c>
      <c r="DR144" s="20">
        <f t="shared" si="124"/>
        <v>454.10078588624373</v>
      </c>
      <c r="DS144" s="57">
        <f t="shared" si="125"/>
        <v>747.43411921957704</v>
      </c>
      <c r="DT144" s="57">
        <f ca="1">AVERAGE(OFFSET($DS$3,0,0,'Données projet'!$E$14+1,1))-AVERAGE(OFFSET($H$3,0,0,'Données projet'!$E$14+1,1))</f>
        <v>188.80259324758066</v>
      </c>
      <c r="DU144" s="57">
        <f t="shared" si="152"/>
        <v>195.48048518255354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10.613819244091804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10.613819244091804</v>
      </c>
      <c r="EE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319</v>
      </c>
      <c r="EK144" s="17">
        <f>EJ144*VLOOKUP('Données projet'!$B$15,Paramètres!$A$1:$I$89,3,0)*VLOOKUP('Données projet'!$B$15,Paramètres!$A$1:$I$89,5,0)</f>
        <v>258.77280000000002</v>
      </c>
      <c r="EL144" s="13">
        <f t="shared" si="153"/>
        <v>62.460716522234691</v>
      </c>
      <c r="EM144" s="20">
        <f t="shared" si="127"/>
        <v>559.48170794289206</v>
      </c>
      <c r="EN144" s="57">
        <f t="shared" si="128"/>
        <v>852.81504127622543</v>
      </c>
      <c r="EO144" s="57">
        <f ca="1">AVERAGE(OFFSET($EN$3,0,0,'Données projet'!$E$15+1,1))-AVERAGE(OFFSET($H$3,0,0,'Données projet'!$E$15+1,1))</f>
        <v>250.90550982248311</v>
      </c>
      <c r="EP144" s="57">
        <f t="shared" si="154"/>
        <v>254.68874167908001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13.140919064113652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13.140919064113652</v>
      </c>
      <c r="EZ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7" t="e">
        <f t="shared" si="131"/>
        <v>#N/A</v>
      </c>
      <c r="FJ144" s="57" t="e">
        <f ca="1">AVERAGE(OFFSET($FI$3,0,0,'Données projet'!$E$16+1,1))-AVERAGE(OFFSET($H$3,0,0,'Données projet'!$E$16+1,1))</f>
        <v>#N/A</v>
      </c>
      <c r="FK144" s="57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7" t="e">
        <f t="shared" si="134"/>
        <v>#N/A</v>
      </c>
      <c r="GE144" s="57" t="e">
        <f ca="1">AVERAGE(OFFSET($GD$3,0,0,'Données projet'!$E$17+1,1))-AVERAGE(OFFSET($H$3,0,0,'Données projet'!$E$17+1,1))</f>
        <v>#N/A</v>
      </c>
      <c r="GF144" s="57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7" t="e">
        <f t="shared" si="137"/>
        <v>#N/A</v>
      </c>
      <c r="GZ144" s="57" t="e">
        <f ca="1">AVERAGE(OFFSET($GY$3,0,0,'Données projet'!$E$18+1,1))-AVERAGE(OFFSET($H$3,0,0,'Données projet'!$E$18+1,1))</f>
        <v>#N/A</v>
      </c>
      <c r="HA144" s="57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0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4">
        <f t="shared" si="110"/>
        <v>566.1989290492287</v>
      </c>
      <c r="I145" s="6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258.61679999999996</v>
      </c>
      <c r="P145" s="13">
        <f t="shared" si="141"/>
        <v>62.427444141032439</v>
      </c>
      <c r="Q145" s="20">
        <f t="shared" si="108"/>
        <v>559.15205854563135</v>
      </c>
      <c r="R145" s="57">
        <f t="shared" si="109"/>
        <v>852.48539187896472</v>
      </c>
      <c r="S145" s="57">
        <f ca="1">AVERAGE(OFFSET($R$3,0,0,'Données projet'!$E$9+1,1))-AVERAGE(OFFSET($H$3,0,0,'Données projet'!$E$9+1,1))</f>
        <v>267.44861001389006</v>
      </c>
      <c r="T145" s="57">
        <f t="shared" si="142"/>
        <v>165.25921510802965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54.596528269616464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54.596528269616464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306.99999999999994</v>
      </c>
      <c r="AJ145" s="13">
        <f>AI145*VLOOKUP('Données projet'!$B$10,Paramètres!$A$1:$I$89,3,0)*VLOOKUP('Données projet'!$B$10,Paramètres!$A$1:$I$89,5,0)</f>
        <v>277.77359999999993</v>
      </c>
      <c r="AK145" s="13">
        <f t="shared" si="143"/>
        <v>66.496288176842356</v>
      </c>
      <c r="AL145" s="20">
        <f t="shared" si="112"/>
        <v>599.60338857466706</v>
      </c>
      <c r="AM145" s="57">
        <f t="shared" si="113"/>
        <v>892.93672190800044</v>
      </c>
      <c r="AN145" s="57">
        <f ca="1">AVERAGE(OFFSET($AM$3,0,0,'Données projet'!$E$10+1,1))-AVERAGE(OFFSET($H$3,0,0,'Données projet'!$E$10+1,1))</f>
        <v>294.92430430387071</v>
      </c>
      <c r="AO145" s="57">
        <f t="shared" si="144"/>
        <v>181.52228471516497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58.640715548847297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58.640715548847297</v>
      </c>
      <c r="AY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319</v>
      </c>
      <c r="BE145" s="13">
        <f>BD145*VLOOKUP('Données projet'!$B$11,Paramètres!$A$1:$I$89,3,0)*VLOOKUP('Données projet'!$B$11,Paramètres!$A$1:$I$89,5,0)</f>
        <v>258.77280000000002</v>
      </c>
      <c r="BF145" s="13">
        <f t="shared" si="145"/>
        <v>62.460716522234691</v>
      </c>
      <c r="BG145" s="20">
        <f t="shared" si="115"/>
        <v>559.48170794289206</v>
      </c>
      <c r="BH145" s="57">
        <f t="shared" si="116"/>
        <v>852.81504127622543</v>
      </c>
      <c r="BI145" s="57">
        <f ca="1">AVERAGE(OFFSET($BH$3,0,0,'Données projet'!$E$11+1,1))-AVERAGE(OFFSET($H$3,0,0,'Données projet'!$E$11+1,1))</f>
        <v>250.90550982248311</v>
      </c>
      <c r="BJ145" s="57">
        <f t="shared" si="146"/>
        <v>254.68874167908001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12.88323365643558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12.88323365643558</v>
      </c>
      <c r="BT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739.99999999999966</v>
      </c>
      <c r="BZ145" s="13">
        <f>BY145*VLOOKUP('Données projet'!$B$12,Paramètres!$A$1:$I$89,3,0)*VLOOKUP('Données projet'!$B$12,Paramètres!$A$1:$I$89,5,0)</f>
        <v>413.65999999999985</v>
      </c>
      <c r="CA145" s="13">
        <f t="shared" si="147"/>
        <v>94.540585122244352</v>
      </c>
      <c r="CB145" s="20">
        <f t="shared" si="118"/>
        <v>885.11601908790863</v>
      </c>
      <c r="CC145" s="57">
        <f t="shared" si="119"/>
        <v>1178.4493524212419</v>
      </c>
      <c r="CD145" s="57">
        <f ca="1">AVERAGE(OFFSET($CC$3,0,0,'Données projet'!$E$12+1,1))-AVERAGE(OFFSET($H$3,0,0,'Données projet'!$E$12+1,1))</f>
        <v>462.54745364638171</v>
      </c>
      <c r="CE145" s="57">
        <f t="shared" si="148"/>
        <v>571.50914830067313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24.34349425082214</v>
      </c>
      <c r="CL145" s="21">
        <f>EXP(-LN(2)/25)*CL144+(1-EXP(-LN(2)/25))/(LN(2)/25)*Calculateur!CG145*Calculateur!CI145*VLOOKUP('Données projet'!$B$12,Paramètres!$A$1:$I$89,3,0)*0.475*44/12</f>
        <v>2.5892595613423204</v>
      </c>
      <c r="CM145" s="21">
        <f>EXP(-LN(2)/2)*CM144+(1-EXP(-LN(2)/2))/(LN(2)/2)*CG145*CJ145*VLOOKUP('Données projet'!$B$12,Paramètres!$A$1:$I$89,3,0)*0.475*44/12</f>
        <v>1.1802827697677614E-17</v>
      </c>
      <c r="CN145" s="22">
        <f t="shared" si="120"/>
        <v>26.93275381216446</v>
      </c>
      <c r="CO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245.99999999999994</v>
      </c>
      <c r="CU145" s="17">
        <f>CT145*VLOOKUP('Données projet'!$B$13,Paramètres!$A$1:$I$89,3,0)*VLOOKUP('Données projet'!$B$13,Paramètres!$A$1:$I$89,5,0)</f>
        <v>234.09359999999998</v>
      </c>
      <c r="CV145" s="13">
        <f t="shared" si="149"/>
        <v>57.166902703920208</v>
      </c>
      <c r="CW145" s="20">
        <f t="shared" si="121"/>
        <v>507.27870887599425</v>
      </c>
      <c r="CX145" s="57">
        <f t="shared" si="122"/>
        <v>800.61204220932757</v>
      </c>
      <c r="CY145" s="57">
        <f ca="1">AVERAGE(OFFSET($CX$3,0,0,'Données projet'!$E$13+1,1))-AVERAGE(OFFSET($H$3,0,0,'Données projet'!$E$13+1,1))</f>
        <v>314.67680626853303</v>
      </c>
      <c r="CZ145" s="57">
        <f t="shared" si="150"/>
        <v>372.57247561536263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45.682644568327774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45.682644568327774</v>
      </c>
      <c r="DJ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319</v>
      </c>
      <c r="DP145" s="17">
        <f>DO145*VLOOKUP('Données projet'!$B$14,Paramètres!$A$1:$I$89,3,0)*VLOOKUP('Données projet'!$B$14,Paramètres!$A$1:$I$89,5,0)</f>
        <v>209.00879999999998</v>
      </c>
      <c r="DQ145" s="13">
        <f t="shared" si="151"/>
        <v>51.718923953824202</v>
      </c>
      <c r="DR145" s="20">
        <f t="shared" si="124"/>
        <v>454.10078588624373</v>
      </c>
      <c r="DS145" s="57">
        <f t="shared" si="125"/>
        <v>747.43411921957704</v>
      </c>
      <c r="DT145" s="57">
        <f ca="1">AVERAGE(OFFSET($DS$3,0,0,'Données projet'!$E$14+1,1))-AVERAGE(OFFSET($H$3,0,0,'Données projet'!$E$14+1,1))</f>
        <v>188.80259324758066</v>
      </c>
      <c r="DU145" s="57">
        <f t="shared" si="152"/>
        <v>195.48048518255354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10.405688722505669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10.405688722505669</v>
      </c>
      <c r="EE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319</v>
      </c>
      <c r="EK145" s="17">
        <f>EJ145*VLOOKUP('Données projet'!$B$15,Paramètres!$A$1:$I$89,3,0)*VLOOKUP('Données projet'!$B$15,Paramètres!$A$1:$I$89,5,0)</f>
        <v>258.77280000000002</v>
      </c>
      <c r="EL145" s="13">
        <f t="shared" si="153"/>
        <v>62.460716522234691</v>
      </c>
      <c r="EM145" s="20">
        <f t="shared" si="127"/>
        <v>559.48170794289206</v>
      </c>
      <c r="EN145" s="57">
        <f t="shared" si="128"/>
        <v>852.81504127622543</v>
      </c>
      <c r="EO145" s="57">
        <f ca="1">AVERAGE(OFFSET($EN$3,0,0,'Données projet'!$E$15+1,1))-AVERAGE(OFFSET($H$3,0,0,'Données projet'!$E$15+1,1))</f>
        <v>250.90550982248311</v>
      </c>
      <c r="EP145" s="57">
        <f t="shared" si="154"/>
        <v>254.68874167908001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12.88323365643558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12.88323365643558</v>
      </c>
      <c r="EZ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7" t="e">
        <f t="shared" si="131"/>
        <v>#N/A</v>
      </c>
      <c r="FJ145" s="57" t="e">
        <f ca="1">AVERAGE(OFFSET($FI$3,0,0,'Données projet'!$E$16+1,1))-AVERAGE(OFFSET($H$3,0,0,'Données projet'!$E$16+1,1))</f>
        <v>#N/A</v>
      </c>
      <c r="FK145" s="57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7" t="e">
        <f t="shared" si="134"/>
        <v>#N/A</v>
      </c>
      <c r="GE145" s="57" t="e">
        <f ca="1">AVERAGE(OFFSET($GD$3,0,0,'Données projet'!$E$17+1,1))-AVERAGE(OFFSET($H$3,0,0,'Données projet'!$E$17+1,1))</f>
        <v>#N/A</v>
      </c>
      <c r="GF145" s="57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7" t="e">
        <f t="shared" si="137"/>
        <v>#N/A</v>
      </c>
      <c r="GZ145" s="57" t="e">
        <f ca="1">AVERAGE(OFFSET($GY$3,0,0,'Données projet'!$E$18+1,1))-AVERAGE(OFFSET($H$3,0,0,'Données projet'!$E$18+1,1))</f>
        <v>#N/A</v>
      </c>
      <c r="HA145" s="57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0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4">
        <f t="shared" si="110"/>
        <v>568.0738052473007</v>
      </c>
      <c r="I146" s="6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258.61679999999996</v>
      </c>
      <c r="P146" s="13">
        <f t="shared" si="141"/>
        <v>62.427444141032439</v>
      </c>
      <c r="Q146" s="20">
        <f t="shared" si="108"/>
        <v>559.15205854563135</v>
      </c>
      <c r="R146" s="57">
        <f t="shared" si="109"/>
        <v>852.48539187896472</v>
      </c>
      <c r="S146" s="57">
        <f ca="1">AVERAGE(OFFSET($R$3,0,0,'Données projet'!$E$9+1,1))-AVERAGE(OFFSET($H$3,0,0,'Données projet'!$E$9+1,1))</f>
        <v>267.44861001389006</v>
      </c>
      <c r="T146" s="57">
        <f t="shared" si="142"/>
        <v>165.25921510802965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53.525923650843367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53.525923650843367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306.99999999999994</v>
      </c>
      <c r="AJ146" s="13">
        <f>AI146*VLOOKUP('Données projet'!$B$10,Paramètres!$A$1:$I$89,3,0)*VLOOKUP('Données projet'!$B$10,Paramètres!$A$1:$I$89,5,0)</f>
        <v>277.77359999999993</v>
      </c>
      <c r="AK146" s="13">
        <f t="shared" si="143"/>
        <v>66.496288176842356</v>
      </c>
      <c r="AL146" s="20">
        <f t="shared" si="112"/>
        <v>599.60338857466706</v>
      </c>
      <c r="AM146" s="57">
        <f t="shared" si="113"/>
        <v>892.93672190800044</v>
      </c>
      <c r="AN146" s="57">
        <f ca="1">AVERAGE(OFFSET($AM$3,0,0,'Données projet'!$E$10+1,1))-AVERAGE(OFFSET($H$3,0,0,'Données projet'!$E$10+1,1))</f>
        <v>294.92430430387071</v>
      </c>
      <c r="AO146" s="57">
        <f t="shared" si="144"/>
        <v>181.52228471516497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57.490806884239156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57.490806884239156</v>
      </c>
      <c r="AY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319</v>
      </c>
      <c r="BE146" s="13">
        <f>BD146*VLOOKUP('Données projet'!$B$11,Paramètres!$A$1:$I$89,3,0)*VLOOKUP('Données projet'!$B$11,Paramètres!$A$1:$I$89,5,0)</f>
        <v>258.77280000000002</v>
      </c>
      <c r="BF146" s="13">
        <f t="shared" si="145"/>
        <v>62.460716522234691</v>
      </c>
      <c r="BG146" s="20">
        <f t="shared" si="115"/>
        <v>559.48170794289206</v>
      </c>
      <c r="BH146" s="57">
        <f t="shared" si="116"/>
        <v>852.81504127622543</v>
      </c>
      <c r="BI146" s="57">
        <f ca="1">AVERAGE(OFFSET($BH$3,0,0,'Données projet'!$E$11+1,1))-AVERAGE(OFFSET($H$3,0,0,'Données projet'!$E$11+1,1))</f>
        <v>250.90550982248311</v>
      </c>
      <c r="BJ146" s="57">
        <f t="shared" si="146"/>
        <v>254.68874167908001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12.630601302429497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12.630601302429497</v>
      </c>
      <c r="BT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739.99999999999966</v>
      </c>
      <c r="BZ146" s="13">
        <f>BY146*VLOOKUP('Données projet'!$B$12,Paramètres!$A$1:$I$89,3,0)*VLOOKUP('Données projet'!$B$12,Paramètres!$A$1:$I$89,5,0)</f>
        <v>413.65999999999985</v>
      </c>
      <c r="CA146" s="13">
        <f t="shared" si="147"/>
        <v>94.540585122244352</v>
      </c>
      <c r="CB146" s="20">
        <f t="shared" si="118"/>
        <v>885.11601908790863</v>
      </c>
      <c r="CC146" s="57">
        <f t="shared" si="119"/>
        <v>1178.4493524212419</v>
      </c>
      <c r="CD146" s="57">
        <f ca="1">AVERAGE(OFFSET($CC$3,0,0,'Données projet'!$E$12+1,1))-AVERAGE(OFFSET($H$3,0,0,'Données projet'!$E$12+1,1))</f>
        <v>462.54745364638171</v>
      </c>
      <c r="CE146" s="57">
        <f t="shared" si="148"/>
        <v>571.50914830067313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23.866133176628885</v>
      </c>
      <c r="CL146" s="21">
        <f>EXP(-LN(2)/25)*CL145+(1-EXP(-LN(2)/25))/(LN(2)/25)*Calculateur!CG146*Calculateur!CI146*VLOOKUP('Données projet'!$B$12,Paramètres!$A$1:$I$89,3,0)*0.475*44/12</f>
        <v>2.5184561224741722</v>
      </c>
      <c r="CM146" s="21">
        <f>EXP(-LN(2)/2)*CM145+(1-EXP(-LN(2)/2))/(LN(2)/2)*CG146*CJ146*VLOOKUP('Données projet'!$B$12,Paramètres!$A$1:$I$89,3,0)*0.475*44/12</f>
        <v>8.345859502204247E-18</v>
      </c>
      <c r="CN146" s="22">
        <f t="shared" si="120"/>
        <v>26.384589299103059</v>
      </c>
      <c r="CO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245.99999999999994</v>
      </c>
      <c r="CU146" s="17">
        <f>CT146*VLOOKUP('Données projet'!$B$13,Paramètres!$A$1:$I$89,3,0)*VLOOKUP('Données projet'!$B$13,Paramètres!$A$1:$I$89,5,0)</f>
        <v>234.09359999999998</v>
      </c>
      <c r="CV146" s="13">
        <f t="shared" si="149"/>
        <v>57.166902703920208</v>
      </c>
      <c r="CW146" s="20">
        <f t="shared" si="121"/>
        <v>507.27870887599425</v>
      </c>
      <c r="CX146" s="57">
        <f t="shared" si="122"/>
        <v>800.61204220932757</v>
      </c>
      <c r="CY146" s="57">
        <f ca="1">AVERAGE(OFFSET($CX$3,0,0,'Données projet'!$E$13+1,1))-AVERAGE(OFFSET($H$3,0,0,'Données projet'!$E$13+1,1))</f>
        <v>314.67680626853303</v>
      </c>
      <c r="CZ146" s="57">
        <f t="shared" si="150"/>
        <v>372.57247561536263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44.786835772004743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44.786835772004743</v>
      </c>
      <c r="DJ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319</v>
      </c>
      <c r="DP146" s="17">
        <f>DO146*VLOOKUP('Données projet'!$B$14,Paramètres!$A$1:$I$89,3,0)*VLOOKUP('Données projet'!$B$14,Paramètres!$A$1:$I$89,5,0)</f>
        <v>209.00879999999998</v>
      </c>
      <c r="DQ146" s="13">
        <f t="shared" si="151"/>
        <v>51.718923953824202</v>
      </c>
      <c r="DR146" s="20">
        <f t="shared" si="124"/>
        <v>454.10078588624373</v>
      </c>
      <c r="DS146" s="57">
        <f t="shared" si="125"/>
        <v>747.43411921957704</v>
      </c>
      <c r="DT146" s="57">
        <f ca="1">AVERAGE(OFFSET($DS$3,0,0,'Données projet'!$E$14+1,1))-AVERAGE(OFFSET($H$3,0,0,'Données projet'!$E$14+1,1))</f>
        <v>188.80259324758066</v>
      </c>
      <c r="DU146" s="57">
        <f t="shared" si="152"/>
        <v>195.48048518255354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10.201639513500755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10.201639513500755</v>
      </c>
      <c r="EE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319</v>
      </c>
      <c r="EK146" s="17">
        <f>EJ146*VLOOKUP('Données projet'!$B$15,Paramètres!$A$1:$I$89,3,0)*VLOOKUP('Données projet'!$B$15,Paramètres!$A$1:$I$89,5,0)</f>
        <v>258.77280000000002</v>
      </c>
      <c r="EL146" s="13">
        <f t="shared" si="153"/>
        <v>62.460716522234691</v>
      </c>
      <c r="EM146" s="20">
        <f t="shared" si="127"/>
        <v>559.48170794289206</v>
      </c>
      <c r="EN146" s="57">
        <f t="shared" si="128"/>
        <v>852.81504127622543</v>
      </c>
      <c r="EO146" s="57">
        <f ca="1">AVERAGE(OFFSET($EN$3,0,0,'Données projet'!$E$15+1,1))-AVERAGE(OFFSET($H$3,0,0,'Données projet'!$E$15+1,1))</f>
        <v>250.90550982248311</v>
      </c>
      <c r="EP146" s="57">
        <f t="shared" si="154"/>
        <v>254.68874167908001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12.630601302429497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12.630601302429497</v>
      </c>
      <c r="EZ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7" t="e">
        <f t="shared" si="131"/>
        <v>#N/A</v>
      </c>
      <c r="FJ146" s="57" t="e">
        <f ca="1">AVERAGE(OFFSET($FI$3,0,0,'Données projet'!$E$16+1,1))-AVERAGE(OFFSET($H$3,0,0,'Données projet'!$E$16+1,1))</f>
        <v>#N/A</v>
      </c>
      <c r="FK146" s="57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7" t="e">
        <f t="shared" si="134"/>
        <v>#N/A</v>
      </c>
      <c r="GE146" s="57" t="e">
        <f ca="1">AVERAGE(OFFSET($GD$3,0,0,'Données projet'!$E$17+1,1))-AVERAGE(OFFSET($H$3,0,0,'Données projet'!$E$17+1,1))</f>
        <v>#N/A</v>
      </c>
      <c r="GF146" s="57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7" t="e">
        <f t="shared" si="137"/>
        <v>#N/A</v>
      </c>
      <c r="GZ146" s="57" t="e">
        <f ca="1">AVERAGE(OFFSET($GY$3,0,0,'Données projet'!$E$18+1,1))-AVERAGE(OFFSET($H$3,0,0,'Données projet'!$E$18+1,1))</f>
        <v>#N/A</v>
      </c>
      <c r="HA146" s="57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0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4">
        <f t="shared" si="110"/>
        <v>569.94839393292125</v>
      </c>
      <c r="I147" s="6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258.61679999999996</v>
      </c>
      <c r="P147" s="13">
        <f t="shared" si="141"/>
        <v>62.427444141032439</v>
      </c>
      <c r="Q147" s="20">
        <f t="shared" si="108"/>
        <v>559.15205854563135</v>
      </c>
      <c r="R147" s="57">
        <f t="shared" si="109"/>
        <v>852.48539187896472</v>
      </c>
      <c r="S147" s="57">
        <f ca="1">AVERAGE(OFFSET($R$3,0,0,'Données projet'!$E$9+1,1))-AVERAGE(OFFSET($H$3,0,0,'Données projet'!$E$9+1,1))</f>
        <v>267.44861001389006</v>
      </c>
      <c r="T147" s="57">
        <f t="shared" si="142"/>
        <v>165.25921510802965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52.476312935640074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52.476312935640074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306.99999999999994</v>
      </c>
      <c r="AJ147" s="13">
        <f>AI147*VLOOKUP('Données projet'!$B$10,Paramètres!$A$1:$I$89,3,0)*VLOOKUP('Données projet'!$B$10,Paramètres!$A$1:$I$89,5,0)</f>
        <v>277.77359999999993</v>
      </c>
      <c r="AK147" s="13">
        <f t="shared" si="143"/>
        <v>66.496288176842356</v>
      </c>
      <c r="AL147" s="20">
        <f t="shared" si="112"/>
        <v>599.60338857466706</v>
      </c>
      <c r="AM147" s="57">
        <f t="shared" si="113"/>
        <v>892.93672190800044</v>
      </c>
      <c r="AN147" s="57">
        <f ca="1">AVERAGE(OFFSET($AM$3,0,0,'Données projet'!$E$10+1,1))-AVERAGE(OFFSET($H$3,0,0,'Données projet'!$E$10+1,1))</f>
        <v>294.92430430387071</v>
      </c>
      <c r="AO147" s="57">
        <f t="shared" si="144"/>
        <v>181.52228471516497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56.363447227168955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56.363447227168955</v>
      </c>
      <c r="AY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319</v>
      </c>
      <c r="BE147" s="13">
        <f>BD147*VLOOKUP('Données projet'!$B$11,Paramètres!$A$1:$I$89,3,0)*VLOOKUP('Données projet'!$B$11,Paramètres!$A$1:$I$89,5,0)</f>
        <v>258.77280000000002</v>
      </c>
      <c r="BF147" s="13">
        <f t="shared" si="145"/>
        <v>62.460716522234691</v>
      </c>
      <c r="BG147" s="20">
        <f t="shared" si="115"/>
        <v>559.48170794289206</v>
      </c>
      <c r="BH147" s="57">
        <f t="shared" si="116"/>
        <v>852.81504127622543</v>
      </c>
      <c r="BI147" s="57">
        <f ca="1">AVERAGE(OFFSET($BH$3,0,0,'Données projet'!$E$11+1,1))-AVERAGE(OFFSET($H$3,0,0,'Données projet'!$E$11+1,1))</f>
        <v>250.90550982248311</v>
      </c>
      <c r="BJ147" s="57">
        <f t="shared" si="146"/>
        <v>254.68874167908001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12.382922914794952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12.382922914794952</v>
      </c>
      <c r="BT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739.99999999999966</v>
      </c>
      <c r="BZ147" s="13">
        <f>BY147*VLOOKUP('Données projet'!$B$12,Paramètres!$A$1:$I$89,3,0)*VLOOKUP('Données projet'!$B$12,Paramètres!$A$1:$I$89,5,0)</f>
        <v>413.65999999999985</v>
      </c>
      <c r="CA147" s="13">
        <f t="shared" si="147"/>
        <v>94.540585122244352</v>
      </c>
      <c r="CB147" s="20">
        <f t="shared" si="118"/>
        <v>885.11601908790863</v>
      </c>
      <c r="CC147" s="57">
        <f t="shared" si="119"/>
        <v>1178.4493524212419</v>
      </c>
      <c r="CD147" s="57">
        <f ca="1">AVERAGE(OFFSET($CC$3,0,0,'Données projet'!$E$12+1,1))-AVERAGE(OFFSET($H$3,0,0,'Données projet'!$E$12+1,1))</f>
        <v>462.54745364638171</v>
      </c>
      <c r="CE147" s="57">
        <f t="shared" si="148"/>
        <v>571.50914830067313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23.398132861939057</v>
      </c>
      <c r="CL147" s="21">
        <f>EXP(-LN(2)/25)*CL146+(1-EXP(-LN(2)/25))/(LN(2)/25)*Calculateur!CG147*Calculateur!CI147*VLOOKUP('Données projet'!$B$12,Paramètres!$A$1:$I$89,3,0)*0.475*44/12</f>
        <v>2.4495888073652643</v>
      </c>
      <c r="CM147" s="21">
        <f>EXP(-LN(2)/2)*CM146+(1-EXP(-LN(2)/2))/(LN(2)/2)*CG147*CJ147*VLOOKUP('Données projet'!$B$12,Paramètres!$A$1:$I$89,3,0)*0.475*44/12</f>
        <v>5.9014138488388071E-18</v>
      </c>
      <c r="CN147" s="22">
        <f t="shared" si="120"/>
        <v>25.84772166930432</v>
      </c>
      <c r="CO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245.99999999999994</v>
      </c>
      <c r="CU147" s="17">
        <f>CT147*VLOOKUP('Données projet'!$B$13,Paramètres!$A$1:$I$89,3,0)*VLOOKUP('Données projet'!$B$13,Paramètres!$A$1:$I$89,5,0)</f>
        <v>234.09359999999998</v>
      </c>
      <c r="CV147" s="13">
        <f t="shared" si="149"/>
        <v>57.166902703920208</v>
      </c>
      <c r="CW147" s="20">
        <f t="shared" si="121"/>
        <v>507.27870887599425</v>
      </c>
      <c r="CX147" s="57">
        <f t="shared" si="122"/>
        <v>800.61204220932757</v>
      </c>
      <c r="CY147" s="57">
        <f ca="1">AVERAGE(OFFSET($CX$3,0,0,'Données projet'!$E$13+1,1))-AVERAGE(OFFSET($H$3,0,0,'Données projet'!$E$13+1,1))</f>
        <v>314.67680626853303</v>
      </c>
      <c r="CZ147" s="57">
        <f t="shared" si="150"/>
        <v>372.57247561536263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43.908593239788196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43.908593239788196</v>
      </c>
      <c r="DJ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319</v>
      </c>
      <c r="DP147" s="17">
        <f>DO147*VLOOKUP('Données projet'!$B$14,Paramètres!$A$1:$I$89,3,0)*VLOOKUP('Données projet'!$B$14,Paramètres!$A$1:$I$89,5,0)</f>
        <v>209.00879999999998</v>
      </c>
      <c r="DQ147" s="13">
        <f t="shared" si="151"/>
        <v>51.718923953824202</v>
      </c>
      <c r="DR147" s="20">
        <f t="shared" si="124"/>
        <v>454.10078588624373</v>
      </c>
      <c r="DS147" s="57">
        <f t="shared" si="125"/>
        <v>747.43411921957704</v>
      </c>
      <c r="DT147" s="57">
        <f ca="1">AVERAGE(OFFSET($DS$3,0,0,'Données projet'!$E$14+1,1))-AVERAGE(OFFSET($H$3,0,0,'Données projet'!$E$14+1,1))</f>
        <v>188.80259324758066</v>
      </c>
      <c r="DU147" s="57">
        <f t="shared" si="152"/>
        <v>195.48048518255354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10.001591585026699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10.001591585026699</v>
      </c>
      <c r="EE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319</v>
      </c>
      <c r="EK147" s="17">
        <f>EJ147*VLOOKUP('Données projet'!$B$15,Paramètres!$A$1:$I$89,3,0)*VLOOKUP('Données projet'!$B$15,Paramètres!$A$1:$I$89,5,0)</f>
        <v>258.77280000000002</v>
      </c>
      <c r="EL147" s="13">
        <f t="shared" si="153"/>
        <v>62.460716522234691</v>
      </c>
      <c r="EM147" s="20">
        <f t="shared" si="127"/>
        <v>559.48170794289206</v>
      </c>
      <c r="EN147" s="57">
        <f t="shared" si="128"/>
        <v>852.81504127622543</v>
      </c>
      <c r="EO147" s="57">
        <f ca="1">AVERAGE(OFFSET($EN$3,0,0,'Données projet'!$E$15+1,1))-AVERAGE(OFFSET($H$3,0,0,'Données projet'!$E$15+1,1))</f>
        <v>250.90550982248311</v>
      </c>
      <c r="EP147" s="57">
        <f t="shared" si="154"/>
        <v>254.68874167908001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12.382922914794952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12.382922914794952</v>
      </c>
      <c r="EZ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7" t="e">
        <f t="shared" si="131"/>
        <v>#N/A</v>
      </c>
      <c r="FJ147" s="57" t="e">
        <f ca="1">AVERAGE(OFFSET($FI$3,0,0,'Données projet'!$E$16+1,1))-AVERAGE(OFFSET($H$3,0,0,'Données projet'!$E$16+1,1))</f>
        <v>#N/A</v>
      </c>
      <c r="FK147" s="57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7" t="e">
        <f t="shared" si="134"/>
        <v>#N/A</v>
      </c>
      <c r="GE147" s="57" t="e">
        <f ca="1">AVERAGE(OFFSET($GD$3,0,0,'Données projet'!$E$17+1,1))-AVERAGE(OFFSET($H$3,0,0,'Données projet'!$E$17+1,1))</f>
        <v>#N/A</v>
      </c>
      <c r="GF147" s="57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7" t="e">
        <f t="shared" si="137"/>
        <v>#N/A</v>
      </c>
      <c r="GZ147" s="57" t="e">
        <f ca="1">AVERAGE(OFFSET($GY$3,0,0,'Données projet'!$E$18+1,1))-AVERAGE(OFFSET($H$3,0,0,'Données projet'!$E$18+1,1))</f>
        <v>#N/A</v>
      </c>
      <c r="HA147" s="57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0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4">
        <f t="shared" si="110"/>
        <v>571.82269733424562</v>
      </c>
      <c r="I148" s="6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258.61679999999996</v>
      </c>
      <c r="P148" s="13">
        <f t="shared" si="141"/>
        <v>62.427444141032439</v>
      </c>
      <c r="Q148" s="20">
        <f t="shared" si="108"/>
        <v>559.15205854563135</v>
      </c>
      <c r="R148" s="57">
        <f t="shared" si="109"/>
        <v>852.48539187896472</v>
      </c>
      <c r="S148" s="57">
        <f ca="1">AVERAGE(OFFSET($R$3,0,0,'Données projet'!$E$9+1,1))-AVERAGE(OFFSET($H$3,0,0,'Données projet'!$E$9+1,1))</f>
        <v>267.44861001389006</v>
      </c>
      <c r="T148" s="57">
        <f t="shared" si="142"/>
        <v>165.25921510802965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51.447284446362595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51.447284446362595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306.99999999999994</v>
      </c>
      <c r="AJ148" s="13">
        <f>AI148*VLOOKUP('Données projet'!$B$10,Paramètres!$A$1:$I$89,3,0)*VLOOKUP('Données projet'!$B$10,Paramètres!$A$1:$I$89,5,0)</f>
        <v>277.77359999999993</v>
      </c>
      <c r="AK148" s="13">
        <f t="shared" si="143"/>
        <v>66.496288176842356</v>
      </c>
      <c r="AL148" s="20">
        <f t="shared" si="112"/>
        <v>599.60338857466706</v>
      </c>
      <c r="AM148" s="57">
        <f t="shared" si="113"/>
        <v>892.93672190800044</v>
      </c>
      <c r="AN148" s="57">
        <f ca="1">AVERAGE(OFFSET($AM$3,0,0,'Données projet'!$E$10+1,1))-AVERAGE(OFFSET($H$3,0,0,'Données projet'!$E$10+1,1))</f>
        <v>294.92430430387071</v>
      </c>
      <c r="AO148" s="57">
        <f t="shared" si="144"/>
        <v>181.52228471516497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55.258194405352405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55.258194405352405</v>
      </c>
      <c r="AY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319</v>
      </c>
      <c r="BE148" s="13">
        <f>BD148*VLOOKUP('Données projet'!$B$11,Paramètres!$A$1:$I$89,3,0)*VLOOKUP('Données projet'!$B$11,Paramètres!$A$1:$I$89,5,0)</f>
        <v>258.77280000000002</v>
      </c>
      <c r="BF148" s="13">
        <f t="shared" si="145"/>
        <v>62.460716522234691</v>
      </c>
      <c r="BG148" s="20">
        <f t="shared" si="115"/>
        <v>559.48170794289206</v>
      </c>
      <c r="BH148" s="57">
        <f t="shared" si="116"/>
        <v>852.81504127622543</v>
      </c>
      <c r="BI148" s="57">
        <f ca="1">AVERAGE(OFFSET($BH$3,0,0,'Données projet'!$E$11+1,1))-AVERAGE(OFFSET($H$3,0,0,'Données projet'!$E$11+1,1))</f>
        <v>250.90550982248311</v>
      </c>
      <c r="BJ148" s="57">
        <f t="shared" si="146"/>
        <v>254.68874167908001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12.140101349273019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12.140101349273019</v>
      </c>
      <c r="BT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739.99999999999966</v>
      </c>
      <c r="BZ148" s="13">
        <f>BY148*VLOOKUP('Données projet'!$B$12,Paramètres!$A$1:$I$89,3,0)*VLOOKUP('Données projet'!$B$12,Paramètres!$A$1:$I$89,5,0)</f>
        <v>413.65999999999985</v>
      </c>
      <c r="CA148" s="13">
        <f t="shared" si="147"/>
        <v>94.540585122244352</v>
      </c>
      <c r="CB148" s="20">
        <f t="shared" si="118"/>
        <v>885.11601908790863</v>
      </c>
      <c r="CC148" s="57">
        <f t="shared" si="119"/>
        <v>1178.4493524212419</v>
      </c>
      <c r="CD148" s="57">
        <f ca="1">AVERAGE(OFFSET($CC$3,0,0,'Données projet'!$E$12+1,1))-AVERAGE(OFFSET($H$3,0,0,'Données projet'!$E$12+1,1))</f>
        <v>462.54745364638171</v>
      </c>
      <c r="CE148" s="57">
        <f t="shared" si="148"/>
        <v>571.50914830067313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22.939309747968288</v>
      </c>
      <c r="CL148" s="21">
        <f>EXP(-LN(2)/25)*CL147+(1-EXP(-LN(2)/25))/(LN(2)/25)*Calculateur!CG148*Calculateur!CI148*VLOOKUP('Données projet'!$B$12,Paramètres!$A$1:$I$89,3,0)*0.475*44/12</f>
        <v>2.3826046726095842</v>
      </c>
      <c r="CM148" s="21">
        <f>EXP(-LN(2)/2)*CM147+(1-EXP(-LN(2)/2))/(LN(2)/2)*CG148*CJ148*VLOOKUP('Données projet'!$B$12,Paramètres!$A$1:$I$89,3,0)*0.475*44/12</f>
        <v>4.1729297511021235E-18</v>
      </c>
      <c r="CN148" s="22">
        <f t="shared" si="120"/>
        <v>25.321914420577873</v>
      </c>
      <c r="CO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245.99999999999994</v>
      </c>
      <c r="CU148" s="17">
        <f>CT148*VLOOKUP('Données projet'!$B$13,Paramètres!$A$1:$I$89,3,0)*VLOOKUP('Données projet'!$B$13,Paramètres!$A$1:$I$89,5,0)</f>
        <v>234.09359999999998</v>
      </c>
      <c r="CV148" s="13">
        <f t="shared" si="149"/>
        <v>57.166902703920208</v>
      </c>
      <c r="CW148" s="20">
        <f t="shared" si="121"/>
        <v>507.27870887599425</v>
      </c>
      <c r="CX148" s="57">
        <f t="shared" si="122"/>
        <v>800.61204220932757</v>
      </c>
      <c r="CY148" s="57">
        <f ca="1">AVERAGE(OFFSET($CX$3,0,0,'Données projet'!$E$13+1,1))-AVERAGE(OFFSET($H$3,0,0,'Données projet'!$E$13+1,1))</f>
        <v>314.67680626853303</v>
      </c>
      <c r="CZ148" s="57">
        <f t="shared" si="150"/>
        <v>372.57247561536263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43.047572507953362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43.047572507953362</v>
      </c>
      <c r="DJ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319</v>
      </c>
      <c r="DP148" s="17">
        <f>DO148*VLOOKUP('Données projet'!$B$14,Paramètres!$A$1:$I$89,3,0)*VLOOKUP('Données projet'!$B$14,Paramètres!$A$1:$I$89,5,0)</f>
        <v>209.00879999999998</v>
      </c>
      <c r="DQ148" s="13">
        <f t="shared" si="151"/>
        <v>51.718923953824202</v>
      </c>
      <c r="DR148" s="20">
        <f t="shared" si="124"/>
        <v>454.10078588624373</v>
      </c>
      <c r="DS148" s="57">
        <f t="shared" si="125"/>
        <v>747.43411921957704</v>
      </c>
      <c r="DT148" s="57">
        <f ca="1">AVERAGE(OFFSET($DS$3,0,0,'Données projet'!$E$14+1,1))-AVERAGE(OFFSET($H$3,0,0,'Données projet'!$E$14+1,1))</f>
        <v>188.80259324758066</v>
      </c>
      <c r="DU148" s="57">
        <f t="shared" si="152"/>
        <v>195.48048518255354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9.8054664744128299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9.8054664744128299</v>
      </c>
      <c r="EE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319</v>
      </c>
      <c r="EK148" s="17">
        <f>EJ148*VLOOKUP('Données projet'!$B$15,Paramètres!$A$1:$I$89,3,0)*VLOOKUP('Données projet'!$B$15,Paramètres!$A$1:$I$89,5,0)</f>
        <v>258.77280000000002</v>
      </c>
      <c r="EL148" s="13">
        <f t="shared" si="153"/>
        <v>62.460716522234691</v>
      </c>
      <c r="EM148" s="20">
        <f t="shared" si="127"/>
        <v>559.48170794289206</v>
      </c>
      <c r="EN148" s="57">
        <f t="shared" si="128"/>
        <v>852.81504127622543</v>
      </c>
      <c r="EO148" s="57">
        <f ca="1">AVERAGE(OFFSET($EN$3,0,0,'Données projet'!$E$15+1,1))-AVERAGE(OFFSET($H$3,0,0,'Données projet'!$E$15+1,1))</f>
        <v>250.90550982248311</v>
      </c>
      <c r="EP148" s="57">
        <f t="shared" si="154"/>
        <v>254.68874167908001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12.140101349273019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12.140101349273019</v>
      </c>
      <c r="EZ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7" t="e">
        <f t="shared" si="131"/>
        <v>#N/A</v>
      </c>
      <c r="FJ148" s="57" t="e">
        <f ca="1">AVERAGE(OFFSET($FI$3,0,0,'Données projet'!$E$16+1,1))-AVERAGE(OFFSET($H$3,0,0,'Données projet'!$E$16+1,1))</f>
        <v>#N/A</v>
      </c>
      <c r="FK148" s="57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7" t="e">
        <f t="shared" si="134"/>
        <v>#N/A</v>
      </c>
      <c r="GE148" s="57" t="e">
        <f ca="1">AVERAGE(OFFSET($GD$3,0,0,'Données projet'!$E$17+1,1))-AVERAGE(OFFSET($H$3,0,0,'Données projet'!$E$17+1,1))</f>
        <v>#N/A</v>
      </c>
      <c r="GF148" s="57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7" t="e">
        <f t="shared" si="137"/>
        <v>#N/A</v>
      </c>
      <c r="GZ148" s="57" t="e">
        <f ca="1">AVERAGE(OFFSET($GY$3,0,0,'Données projet'!$E$18+1,1))-AVERAGE(OFFSET($H$3,0,0,'Données projet'!$E$18+1,1))</f>
        <v>#N/A</v>
      </c>
      <c r="HA148" s="57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0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4">
        <f t="shared" si="110"/>
        <v>573.69671764691986</v>
      </c>
      <c r="I149" s="6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258.61679999999996</v>
      </c>
      <c r="P149" s="13">
        <f t="shared" si="141"/>
        <v>62.427444141032439</v>
      </c>
      <c r="Q149" s="20">
        <f t="shared" si="108"/>
        <v>559.15205854563135</v>
      </c>
      <c r="R149" s="57">
        <f t="shared" si="109"/>
        <v>852.48539187896472</v>
      </c>
      <c r="S149" s="57">
        <f ca="1">AVERAGE(OFFSET($R$3,0,0,'Données projet'!$E$9+1,1))-AVERAGE(OFFSET($H$3,0,0,'Données projet'!$E$9+1,1))</f>
        <v>267.44861001389006</v>
      </c>
      <c r="T149" s="57">
        <f t="shared" si="142"/>
        <v>165.25921510802965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50.438434578114446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50.438434578114446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306.99999999999994</v>
      </c>
      <c r="AJ149" s="13">
        <f>AI149*VLOOKUP('Données projet'!$B$10,Paramètres!$A$1:$I$89,3,0)*VLOOKUP('Données projet'!$B$10,Paramètres!$A$1:$I$89,5,0)</f>
        <v>277.77359999999993</v>
      </c>
      <c r="AK149" s="13">
        <f t="shared" si="143"/>
        <v>66.496288176842356</v>
      </c>
      <c r="AL149" s="20">
        <f t="shared" si="112"/>
        <v>599.60338857466706</v>
      </c>
      <c r="AM149" s="57">
        <f t="shared" si="113"/>
        <v>892.93672190800044</v>
      </c>
      <c r="AN149" s="57">
        <f ca="1">AVERAGE(OFFSET($AM$3,0,0,'Données projet'!$E$10+1,1))-AVERAGE(OFFSET($H$3,0,0,'Données projet'!$E$10+1,1))</f>
        <v>294.92430430387071</v>
      </c>
      <c r="AO149" s="57">
        <f t="shared" si="144"/>
        <v>181.52228471516497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54.174614917234024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54.174614917234024</v>
      </c>
      <c r="AY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319</v>
      </c>
      <c r="BE149" s="13">
        <f>BD149*VLOOKUP('Données projet'!$B$11,Paramètres!$A$1:$I$89,3,0)*VLOOKUP('Données projet'!$B$11,Paramètres!$A$1:$I$89,5,0)</f>
        <v>258.77280000000002</v>
      </c>
      <c r="BF149" s="13">
        <f t="shared" si="145"/>
        <v>62.460716522234691</v>
      </c>
      <c r="BG149" s="20">
        <f t="shared" si="115"/>
        <v>559.48170794289206</v>
      </c>
      <c r="BH149" s="57">
        <f t="shared" si="116"/>
        <v>852.81504127622543</v>
      </c>
      <c r="BI149" s="57">
        <f ca="1">AVERAGE(OFFSET($BH$3,0,0,'Données projet'!$E$11+1,1))-AVERAGE(OFFSET($H$3,0,0,'Données projet'!$E$11+1,1))</f>
        <v>250.90550982248311</v>
      </c>
      <c r="BJ149" s="57">
        <f t="shared" si="146"/>
        <v>254.68874167908001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11.902041366544442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11.902041366544442</v>
      </c>
      <c r="BT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739.99999999999966</v>
      </c>
      <c r="BZ149" s="13">
        <f>BY149*VLOOKUP('Données projet'!$B$12,Paramètres!$A$1:$I$89,3,0)*VLOOKUP('Données projet'!$B$12,Paramètres!$A$1:$I$89,5,0)</f>
        <v>413.65999999999985</v>
      </c>
      <c r="CA149" s="13">
        <f t="shared" si="147"/>
        <v>94.540585122244352</v>
      </c>
      <c r="CB149" s="20">
        <f t="shared" si="118"/>
        <v>885.11601908790863</v>
      </c>
      <c r="CC149" s="57">
        <f t="shared" si="119"/>
        <v>1178.4493524212419</v>
      </c>
      <c r="CD149" s="57">
        <f ca="1">AVERAGE(OFFSET($CC$3,0,0,'Données projet'!$E$12+1,1))-AVERAGE(OFFSET($H$3,0,0,'Données projet'!$E$12+1,1))</f>
        <v>462.54745364638171</v>
      </c>
      <c r="CE149" s="57">
        <f t="shared" si="148"/>
        <v>571.50914830067313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22.48948387540802</v>
      </c>
      <c r="CL149" s="21">
        <f>EXP(-LN(2)/25)*CL148+(1-EXP(-LN(2)/25))/(LN(2)/25)*Calculateur!CG149*Calculateur!CI149*VLOOKUP('Données projet'!$B$12,Paramètres!$A$1:$I$89,3,0)*0.475*44/12</f>
        <v>2.3174522225413408</v>
      </c>
      <c r="CM149" s="21">
        <f>EXP(-LN(2)/2)*CM148+(1-EXP(-LN(2)/2))/(LN(2)/2)*CG149*CJ149*VLOOKUP('Données projet'!$B$12,Paramètres!$A$1:$I$89,3,0)*0.475*44/12</f>
        <v>2.9507069244194035E-18</v>
      </c>
      <c r="CN149" s="22">
        <f t="shared" si="120"/>
        <v>24.806936097949361</v>
      </c>
      <c r="CO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245.99999999999994</v>
      </c>
      <c r="CU149" s="17">
        <f>CT149*VLOOKUP('Données projet'!$B$13,Paramètres!$A$1:$I$89,3,0)*VLOOKUP('Données projet'!$B$13,Paramètres!$A$1:$I$89,5,0)</f>
        <v>234.09359999999998</v>
      </c>
      <c r="CV149" s="13">
        <f t="shared" si="149"/>
        <v>57.166902703920208</v>
      </c>
      <c r="CW149" s="20">
        <f t="shared" si="121"/>
        <v>507.27870887599425</v>
      </c>
      <c r="CX149" s="57">
        <f t="shared" si="122"/>
        <v>800.61204220932757</v>
      </c>
      <c r="CY149" s="57">
        <f ca="1">AVERAGE(OFFSET($CX$3,0,0,'Données projet'!$E$13+1,1))-AVERAGE(OFFSET($H$3,0,0,'Données projet'!$E$13+1,1))</f>
        <v>314.67680626853303</v>
      </c>
      <c r="CZ149" s="57">
        <f t="shared" si="150"/>
        <v>372.57247561536263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42.203435867499017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42.203435867499017</v>
      </c>
      <c r="DJ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319</v>
      </c>
      <c r="DP149" s="17">
        <f>DO149*VLOOKUP('Données projet'!$B$14,Paramètres!$A$1:$I$89,3,0)*VLOOKUP('Données projet'!$B$14,Paramètres!$A$1:$I$89,5,0)</f>
        <v>209.00879999999998</v>
      </c>
      <c r="DQ149" s="13">
        <f t="shared" si="151"/>
        <v>51.718923953824202</v>
      </c>
      <c r="DR149" s="20">
        <f t="shared" si="124"/>
        <v>454.10078588624373</v>
      </c>
      <c r="DS149" s="57">
        <f t="shared" si="125"/>
        <v>747.43411921957704</v>
      </c>
      <c r="DT149" s="57">
        <f ca="1">AVERAGE(OFFSET($DS$3,0,0,'Données projet'!$E$14+1,1))-AVERAGE(OFFSET($H$3,0,0,'Données projet'!$E$14+1,1))</f>
        <v>188.80259324758066</v>
      </c>
      <c r="DU149" s="57">
        <f t="shared" si="152"/>
        <v>195.48048518255354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9.6131872575935944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9.6131872575935944</v>
      </c>
      <c r="EE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319</v>
      </c>
      <c r="EK149" s="17">
        <f>EJ149*VLOOKUP('Données projet'!$B$15,Paramètres!$A$1:$I$89,3,0)*VLOOKUP('Données projet'!$B$15,Paramètres!$A$1:$I$89,5,0)</f>
        <v>258.77280000000002</v>
      </c>
      <c r="EL149" s="13">
        <f t="shared" si="153"/>
        <v>62.460716522234691</v>
      </c>
      <c r="EM149" s="20">
        <f t="shared" si="127"/>
        <v>559.48170794289206</v>
      </c>
      <c r="EN149" s="57">
        <f t="shared" si="128"/>
        <v>852.81504127622543</v>
      </c>
      <c r="EO149" s="57">
        <f ca="1">AVERAGE(OFFSET($EN$3,0,0,'Données projet'!$E$15+1,1))-AVERAGE(OFFSET($H$3,0,0,'Données projet'!$E$15+1,1))</f>
        <v>250.90550982248311</v>
      </c>
      <c r="EP149" s="57">
        <f t="shared" si="154"/>
        <v>254.68874167908001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11.902041366544442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11.902041366544442</v>
      </c>
      <c r="EZ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7" t="e">
        <f t="shared" si="131"/>
        <v>#N/A</v>
      </c>
      <c r="FJ149" s="57" t="e">
        <f ca="1">AVERAGE(OFFSET($FI$3,0,0,'Données projet'!$E$16+1,1))-AVERAGE(OFFSET($H$3,0,0,'Données projet'!$E$16+1,1))</f>
        <v>#N/A</v>
      </c>
      <c r="FK149" s="57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7" t="e">
        <f t="shared" si="134"/>
        <v>#N/A</v>
      </c>
      <c r="GE149" s="57" t="e">
        <f ca="1">AVERAGE(OFFSET($GD$3,0,0,'Données projet'!$E$17+1,1))-AVERAGE(OFFSET($H$3,0,0,'Données projet'!$E$17+1,1))</f>
        <v>#N/A</v>
      </c>
      <c r="GF149" s="57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7" t="e">
        <f t="shared" si="137"/>
        <v>#N/A</v>
      </c>
      <c r="GZ149" s="57" t="e">
        <f ca="1">AVERAGE(OFFSET($GY$3,0,0,'Données projet'!$E$18+1,1))-AVERAGE(OFFSET($H$3,0,0,'Données projet'!$E$18+1,1))</f>
        <v>#N/A</v>
      </c>
      <c r="HA149" s="57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0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4">
        <f t="shared" si="110"/>
        <v>575.57045703477377</v>
      </c>
      <c r="I150" s="6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258.61679999999996</v>
      </c>
      <c r="P150" s="13">
        <f t="shared" si="141"/>
        <v>62.427444141032439</v>
      </c>
      <c r="Q150" s="20">
        <f t="shared" si="108"/>
        <v>559.15205854563135</v>
      </c>
      <c r="R150" s="57">
        <f t="shared" si="109"/>
        <v>852.48539187896472</v>
      </c>
      <c r="S150" s="57">
        <f ca="1">AVERAGE(OFFSET($R$3,0,0,'Données projet'!$E$9+1,1))-AVERAGE(OFFSET($H$3,0,0,'Données projet'!$E$9+1,1))</f>
        <v>267.44861001389006</v>
      </c>
      <c r="T150" s="57">
        <f t="shared" si="142"/>
        <v>165.25921510802965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49.449367640444983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49.449367640444983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306.99999999999994</v>
      </c>
      <c r="AJ150" s="13">
        <f>AI150*VLOOKUP('Données projet'!$B$10,Paramètres!$A$1:$I$89,3,0)*VLOOKUP('Données projet'!$B$10,Paramètres!$A$1:$I$89,5,0)</f>
        <v>277.77359999999993</v>
      </c>
      <c r="AK150" s="13">
        <f t="shared" si="143"/>
        <v>66.496288176842356</v>
      </c>
      <c r="AL150" s="20">
        <f t="shared" si="112"/>
        <v>599.60338857466706</v>
      </c>
      <c r="AM150" s="57">
        <f t="shared" si="113"/>
        <v>892.93672190800044</v>
      </c>
      <c r="AN150" s="57">
        <f ca="1">AVERAGE(OFFSET($AM$3,0,0,'Données projet'!$E$10+1,1))-AVERAGE(OFFSET($H$3,0,0,'Données projet'!$E$10+1,1))</f>
        <v>294.92430430387071</v>
      </c>
      <c r="AO150" s="57">
        <f t="shared" si="144"/>
        <v>181.52228471516497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53.112283761959411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53.112283761959411</v>
      </c>
      <c r="AY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319</v>
      </c>
      <c r="BE150" s="13">
        <f>BD150*VLOOKUP('Données projet'!$B$11,Paramètres!$A$1:$I$89,3,0)*VLOOKUP('Données projet'!$B$11,Paramètres!$A$1:$I$89,5,0)</f>
        <v>258.77280000000002</v>
      </c>
      <c r="BF150" s="13">
        <f t="shared" si="145"/>
        <v>62.460716522234691</v>
      </c>
      <c r="BG150" s="20">
        <f t="shared" si="115"/>
        <v>559.48170794289206</v>
      </c>
      <c r="BH150" s="57">
        <f t="shared" si="116"/>
        <v>852.81504127622543</v>
      </c>
      <c r="BI150" s="57">
        <f ca="1">AVERAGE(OFFSET($BH$3,0,0,'Données projet'!$E$11+1,1))-AVERAGE(OFFSET($H$3,0,0,'Données projet'!$E$11+1,1))</f>
        <v>250.90550982248311</v>
      </c>
      <c r="BJ150" s="57">
        <f t="shared" si="146"/>
        <v>254.68874167908001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11.668649594874919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11.668649594874919</v>
      </c>
      <c r="BT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739.99999999999966</v>
      </c>
      <c r="BZ150" s="13">
        <f>BY150*VLOOKUP('Données projet'!$B$12,Paramètres!$A$1:$I$89,3,0)*VLOOKUP('Données projet'!$B$12,Paramètres!$A$1:$I$89,5,0)</f>
        <v>413.65999999999985</v>
      </c>
      <c r="CA150" s="13">
        <f t="shared" si="147"/>
        <v>94.540585122244352</v>
      </c>
      <c r="CB150" s="20">
        <f t="shared" si="118"/>
        <v>885.11601908790863</v>
      </c>
      <c r="CC150" s="57">
        <f t="shared" si="119"/>
        <v>1178.4493524212419</v>
      </c>
      <c r="CD150" s="57">
        <f ca="1">AVERAGE(OFFSET($CC$3,0,0,'Données projet'!$E$12+1,1))-AVERAGE(OFFSET($H$3,0,0,'Données projet'!$E$12+1,1))</f>
        <v>462.54745364638171</v>
      </c>
      <c r="CE150" s="57">
        <f t="shared" si="148"/>
        <v>571.50914830067313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22.048478813841967</v>
      </c>
      <c r="CL150" s="21">
        <f>EXP(-LN(2)/25)*CL149+(1-EXP(-LN(2)/25))/(LN(2)/25)*Calculateur!CG150*Calculateur!CI150*VLOOKUP('Données projet'!$B$12,Paramètres!$A$1:$I$89,3,0)*0.475*44/12</f>
        <v>2.2540813696464319</v>
      </c>
      <c r="CM150" s="21">
        <f>EXP(-LN(2)/2)*CM149+(1-EXP(-LN(2)/2))/(LN(2)/2)*CG150*CJ150*VLOOKUP('Données projet'!$B$12,Paramètres!$A$1:$I$89,3,0)*0.475*44/12</f>
        <v>2.0864648755510617E-18</v>
      </c>
      <c r="CN150" s="22">
        <f t="shared" si="120"/>
        <v>24.302560183488399</v>
      </c>
      <c r="CO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245.99999999999994</v>
      </c>
      <c r="CU150" s="17">
        <f>CT150*VLOOKUP('Données projet'!$B$13,Paramètres!$A$1:$I$89,3,0)*VLOOKUP('Données projet'!$B$13,Paramètres!$A$1:$I$89,5,0)</f>
        <v>234.09359999999998</v>
      </c>
      <c r="CV150" s="13">
        <f t="shared" si="149"/>
        <v>57.166902703920208</v>
      </c>
      <c r="CW150" s="20">
        <f t="shared" si="121"/>
        <v>507.27870887599425</v>
      </c>
      <c r="CX150" s="57">
        <f t="shared" si="122"/>
        <v>800.61204220932757</v>
      </c>
      <c r="CY150" s="57">
        <f ca="1">AVERAGE(OFFSET($CX$3,0,0,'Données projet'!$E$13+1,1))-AVERAGE(OFFSET($H$3,0,0,'Données projet'!$E$13+1,1))</f>
        <v>314.67680626853303</v>
      </c>
      <c r="CZ150" s="57">
        <f t="shared" si="150"/>
        <v>372.57247561536263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41.375852231691475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41.375852231691475</v>
      </c>
      <c r="DJ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319</v>
      </c>
      <c r="DP150" s="17">
        <f>DO150*VLOOKUP('Données projet'!$B$14,Paramètres!$A$1:$I$89,3,0)*VLOOKUP('Données projet'!$B$14,Paramètres!$A$1:$I$89,5,0)</f>
        <v>209.00879999999998</v>
      </c>
      <c r="DQ150" s="13">
        <f t="shared" si="151"/>
        <v>51.718923953824202</v>
      </c>
      <c r="DR150" s="20">
        <f t="shared" si="124"/>
        <v>454.10078588624373</v>
      </c>
      <c r="DS150" s="57">
        <f t="shared" si="125"/>
        <v>747.43411921957704</v>
      </c>
      <c r="DT150" s="57">
        <f ca="1">AVERAGE(OFFSET($DS$3,0,0,'Données projet'!$E$14+1,1))-AVERAGE(OFFSET($H$3,0,0,'Données projet'!$E$14+1,1))</f>
        <v>188.80259324758066</v>
      </c>
      <c r="DU150" s="57">
        <f t="shared" si="152"/>
        <v>195.48048518255354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9.4246785189374425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9.4246785189374425</v>
      </c>
      <c r="EE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319</v>
      </c>
      <c r="EK150" s="17">
        <f>EJ150*VLOOKUP('Données projet'!$B$15,Paramètres!$A$1:$I$89,3,0)*VLOOKUP('Données projet'!$B$15,Paramètres!$A$1:$I$89,5,0)</f>
        <v>258.77280000000002</v>
      </c>
      <c r="EL150" s="13">
        <f t="shared" si="153"/>
        <v>62.460716522234691</v>
      </c>
      <c r="EM150" s="20">
        <f t="shared" si="127"/>
        <v>559.48170794289206</v>
      </c>
      <c r="EN150" s="57">
        <f t="shared" si="128"/>
        <v>852.81504127622543</v>
      </c>
      <c r="EO150" s="57">
        <f ca="1">AVERAGE(OFFSET($EN$3,0,0,'Données projet'!$E$15+1,1))-AVERAGE(OFFSET($H$3,0,0,'Données projet'!$E$15+1,1))</f>
        <v>250.90550982248311</v>
      </c>
      <c r="EP150" s="57">
        <f t="shared" si="154"/>
        <v>254.68874167908001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11.668649594874919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11.668649594874919</v>
      </c>
      <c r="EZ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7" t="e">
        <f t="shared" si="131"/>
        <v>#N/A</v>
      </c>
      <c r="FJ150" s="57" t="e">
        <f ca="1">AVERAGE(OFFSET($FI$3,0,0,'Données projet'!$E$16+1,1))-AVERAGE(OFFSET($H$3,0,0,'Données projet'!$E$16+1,1))</f>
        <v>#N/A</v>
      </c>
      <c r="FK150" s="57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7" t="e">
        <f t="shared" si="134"/>
        <v>#N/A</v>
      </c>
      <c r="GE150" s="57" t="e">
        <f ca="1">AVERAGE(OFFSET($GD$3,0,0,'Données projet'!$E$17+1,1))-AVERAGE(OFFSET($H$3,0,0,'Données projet'!$E$17+1,1))</f>
        <v>#N/A</v>
      </c>
      <c r="GF150" s="57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7" t="e">
        <f t="shared" si="137"/>
        <v>#N/A</v>
      </c>
      <c r="GZ150" s="57" t="e">
        <f ca="1">AVERAGE(OFFSET($GY$3,0,0,'Données projet'!$E$18+1,1))-AVERAGE(OFFSET($H$3,0,0,'Données projet'!$E$18+1,1))</f>
        <v>#N/A</v>
      </c>
      <c r="HA150" s="57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0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4">
        <f t="shared" si="110"/>
        <v>577.44391763049589</v>
      </c>
      <c r="I151" s="6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258.61679999999996</v>
      </c>
      <c r="P151" s="13">
        <f t="shared" si="141"/>
        <v>62.427444141032439</v>
      </c>
      <c r="Q151" s="20">
        <f t="shared" si="108"/>
        <v>559.15205854563135</v>
      </c>
      <c r="R151" s="57">
        <f t="shared" si="109"/>
        <v>852.48539187896472</v>
      </c>
      <c r="S151" s="57">
        <f ca="1">AVERAGE(OFFSET($R$3,0,0,'Données projet'!$E$9+1,1))-AVERAGE(OFFSET($H$3,0,0,'Données projet'!$E$9+1,1))</f>
        <v>267.44861001389006</v>
      </c>
      <c r="T151" s="57">
        <f t="shared" si="142"/>
        <v>165.25921510802965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48.47969570215195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48.47969570215195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306.99999999999994</v>
      </c>
      <c r="AJ151" s="13">
        <f>AI151*VLOOKUP('Données projet'!$B$10,Paramètres!$A$1:$I$89,3,0)*VLOOKUP('Données projet'!$B$10,Paramètres!$A$1:$I$89,5,0)</f>
        <v>277.77359999999993</v>
      </c>
      <c r="AK151" s="13">
        <f t="shared" si="143"/>
        <v>66.496288176842356</v>
      </c>
      <c r="AL151" s="20">
        <f t="shared" si="112"/>
        <v>599.60338857466706</v>
      </c>
      <c r="AM151" s="57">
        <f t="shared" si="113"/>
        <v>892.93672190800044</v>
      </c>
      <c r="AN151" s="57">
        <f ca="1">AVERAGE(OFFSET($AM$3,0,0,'Données projet'!$E$10+1,1))-AVERAGE(OFFSET($H$3,0,0,'Données projet'!$E$10+1,1))</f>
        <v>294.92430430387071</v>
      </c>
      <c r="AO151" s="57">
        <f t="shared" si="144"/>
        <v>181.52228471516497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52.070784272681713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52.070784272681713</v>
      </c>
      <c r="AY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319</v>
      </c>
      <c r="BE151" s="13">
        <f>BD151*VLOOKUP('Données projet'!$B$11,Paramètres!$A$1:$I$89,3,0)*VLOOKUP('Données projet'!$B$11,Paramètres!$A$1:$I$89,5,0)</f>
        <v>258.77280000000002</v>
      </c>
      <c r="BF151" s="13">
        <f t="shared" si="145"/>
        <v>62.460716522234691</v>
      </c>
      <c r="BG151" s="20">
        <f t="shared" si="115"/>
        <v>559.48170794289206</v>
      </c>
      <c r="BH151" s="57">
        <f t="shared" si="116"/>
        <v>852.81504127622543</v>
      </c>
      <c r="BI151" s="57">
        <f ca="1">AVERAGE(OFFSET($BH$3,0,0,'Données projet'!$E$11+1,1))-AVERAGE(OFFSET($H$3,0,0,'Données projet'!$E$11+1,1))</f>
        <v>250.90550982248311</v>
      </c>
      <c r="BJ151" s="57">
        <f t="shared" si="146"/>
        <v>254.68874167908001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11.439834493492912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11.439834493492912</v>
      </c>
      <c r="BT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739.99999999999966</v>
      </c>
      <c r="BZ151" s="13">
        <f>BY151*VLOOKUP('Données projet'!$B$12,Paramètres!$A$1:$I$89,3,0)*VLOOKUP('Données projet'!$B$12,Paramètres!$A$1:$I$89,5,0)</f>
        <v>413.65999999999985</v>
      </c>
      <c r="CA151" s="13">
        <f t="shared" si="147"/>
        <v>94.540585122244352</v>
      </c>
      <c r="CB151" s="20">
        <f t="shared" si="118"/>
        <v>885.11601908790863</v>
      </c>
      <c r="CC151" s="57">
        <f t="shared" si="119"/>
        <v>1178.4493524212419</v>
      </c>
      <c r="CD151" s="57">
        <f ca="1">AVERAGE(OFFSET($CC$3,0,0,'Données projet'!$E$12+1,1))-AVERAGE(OFFSET($H$3,0,0,'Données projet'!$E$12+1,1))</f>
        <v>462.54745364638171</v>
      </c>
      <c r="CE151" s="57">
        <f t="shared" si="148"/>
        <v>571.50914830067313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21.616121592546698</v>
      </c>
      <c r="CL151" s="21">
        <f>EXP(-LN(2)/25)*CL150+(1-EXP(-LN(2)/25))/(LN(2)/25)*Calculateur!CG151*Calculateur!CI151*VLOOKUP('Données projet'!$B$12,Paramètres!$A$1:$I$89,3,0)*0.475*44/12</f>
        <v>2.1924433960564627</v>
      </c>
      <c r="CM151" s="21">
        <f>EXP(-LN(2)/2)*CM150+(1-EXP(-LN(2)/2))/(LN(2)/2)*CG151*CJ151*VLOOKUP('Données projet'!$B$12,Paramètres!$A$1:$I$89,3,0)*0.475*44/12</f>
        <v>1.4753534622097018E-18</v>
      </c>
      <c r="CN151" s="22">
        <f t="shared" si="120"/>
        <v>23.808564988603159</v>
      </c>
      <c r="CO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245.99999999999994</v>
      </c>
      <c r="CU151" s="17">
        <f>CT151*VLOOKUP('Données projet'!$B$13,Paramètres!$A$1:$I$89,3,0)*VLOOKUP('Données projet'!$B$13,Paramètres!$A$1:$I$89,5,0)</f>
        <v>234.09359999999998</v>
      </c>
      <c r="CV151" s="13">
        <f t="shared" si="149"/>
        <v>57.166902703920208</v>
      </c>
      <c r="CW151" s="20">
        <f t="shared" si="121"/>
        <v>507.27870887599425</v>
      </c>
      <c r="CX151" s="57">
        <f t="shared" si="122"/>
        <v>800.61204220932757</v>
      </c>
      <c r="CY151" s="57">
        <f ca="1">AVERAGE(OFFSET($CX$3,0,0,'Données projet'!$E$13+1,1))-AVERAGE(OFFSET($H$3,0,0,'Données projet'!$E$13+1,1))</f>
        <v>314.67680626853303</v>
      </c>
      <c r="CZ151" s="57">
        <f t="shared" si="150"/>
        <v>372.57247561536263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40.56449700620594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40.56449700620594</v>
      </c>
      <c r="DJ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319</v>
      </c>
      <c r="DP151" s="17">
        <f>DO151*VLOOKUP('Données projet'!$B$14,Paramètres!$A$1:$I$89,3,0)*VLOOKUP('Données projet'!$B$14,Paramètres!$A$1:$I$89,5,0)</f>
        <v>209.00879999999998</v>
      </c>
      <c r="DQ151" s="13">
        <f t="shared" si="151"/>
        <v>51.718923953824202</v>
      </c>
      <c r="DR151" s="20">
        <f t="shared" si="124"/>
        <v>454.10078588624373</v>
      </c>
      <c r="DS151" s="57">
        <f t="shared" si="125"/>
        <v>747.43411921957704</v>
      </c>
      <c r="DT151" s="57">
        <f ca="1">AVERAGE(OFFSET($DS$3,0,0,'Données projet'!$E$14+1,1))-AVERAGE(OFFSET($H$3,0,0,'Données projet'!$E$14+1,1))</f>
        <v>188.80259324758066</v>
      </c>
      <c r="DU151" s="57">
        <f t="shared" si="152"/>
        <v>195.48048518255354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9.2398663216673604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9.2398663216673604</v>
      </c>
      <c r="EE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319</v>
      </c>
      <c r="EK151" s="17">
        <f>EJ151*VLOOKUP('Données projet'!$B$15,Paramètres!$A$1:$I$89,3,0)*VLOOKUP('Données projet'!$B$15,Paramètres!$A$1:$I$89,5,0)</f>
        <v>258.77280000000002</v>
      </c>
      <c r="EL151" s="13">
        <f t="shared" si="153"/>
        <v>62.460716522234691</v>
      </c>
      <c r="EM151" s="20">
        <f t="shared" si="127"/>
        <v>559.48170794289206</v>
      </c>
      <c r="EN151" s="57">
        <f t="shared" si="128"/>
        <v>852.81504127622543</v>
      </c>
      <c r="EO151" s="57">
        <f ca="1">AVERAGE(OFFSET($EN$3,0,0,'Données projet'!$E$15+1,1))-AVERAGE(OFFSET($H$3,0,0,'Données projet'!$E$15+1,1))</f>
        <v>250.90550982248311</v>
      </c>
      <c r="EP151" s="57">
        <f t="shared" si="154"/>
        <v>254.68874167908001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11.439834493492912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11.439834493492912</v>
      </c>
      <c r="EZ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7" t="e">
        <f t="shared" si="131"/>
        <v>#N/A</v>
      </c>
      <c r="FJ151" s="57" t="e">
        <f ca="1">AVERAGE(OFFSET($FI$3,0,0,'Données projet'!$E$16+1,1))-AVERAGE(OFFSET($H$3,0,0,'Données projet'!$E$16+1,1))</f>
        <v>#N/A</v>
      </c>
      <c r="FK151" s="57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7" t="e">
        <f t="shared" si="134"/>
        <v>#N/A</v>
      </c>
      <c r="GE151" s="57" t="e">
        <f ca="1">AVERAGE(OFFSET($GD$3,0,0,'Données projet'!$E$17+1,1))-AVERAGE(OFFSET($H$3,0,0,'Données projet'!$E$17+1,1))</f>
        <v>#N/A</v>
      </c>
      <c r="GF151" s="57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7" t="e">
        <f t="shared" si="137"/>
        <v>#N/A</v>
      </c>
      <c r="GZ151" s="57" t="e">
        <f ca="1">AVERAGE(OFFSET($GY$3,0,0,'Données projet'!$E$18+1,1))-AVERAGE(OFFSET($H$3,0,0,'Données projet'!$E$18+1,1))</f>
        <v>#N/A</v>
      </c>
      <c r="HA151" s="57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0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4">
        <f t="shared" si="110"/>
        <v>579.31710153628819</v>
      </c>
      <c r="I152" s="6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258.61679999999996</v>
      </c>
      <c r="P152" s="13">
        <f t="shared" si="141"/>
        <v>62.427444141032439</v>
      </c>
      <c r="Q152" s="20">
        <f t="shared" si="108"/>
        <v>559.15205854563135</v>
      </c>
      <c r="R152" s="57">
        <f t="shared" si="109"/>
        <v>852.48539187896472</v>
      </c>
      <c r="S152" s="57">
        <f ca="1">AVERAGE(OFFSET($R$3,0,0,'Données projet'!$E$9+1,1))-AVERAGE(OFFSET($H$3,0,0,'Données projet'!$E$9+1,1))</f>
        <v>267.44861001389006</v>
      </c>
      <c r="T152" s="57">
        <f t="shared" si="142"/>
        <v>165.25921510802965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47.529038439127362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47.529038439127362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306.99999999999994</v>
      </c>
      <c r="AJ152" s="13">
        <f>AI152*VLOOKUP('Données projet'!$B$10,Paramètres!$A$1:$I$89,3,0)*VLOOKUP('Données projet'!$B$10,Paramètres!$A$1:$I$89,5,0)</f>
        <v>277.77359999999993</v>
      </c>
      <c r="AK152" s="13">
        <f t="shared" si="143"/>
        <v>66.496288176842356</v>
      </c>
      <c r="AL152" s="20">
        <f t="shared" si="112"/>
        <v>599.60338857466706</v>
      </c>
      <c r="AM152" s="57">
        <f t="shared" si="113"/>
        <v>892.93672190800044</v>
      </c>
      <c r="AN152" s="57">
        <f ca="1">AVERAGE(OFFSET($AM$3,0,0,'Données projet'!$E$10+1,1))-AVERAGE(OFFSET($H$3,0,0,'Données projet'!$E$10+1,1))</f>
        <v>294.92430430387071</v>
      </c>
      <c r="AO152" s="57">
        <f t="shared" si="144"/>
        <v>181.52228471516497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51.049707953136789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51.049707953136789</v>
      </c>
      <c r="AY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319</v>
      </c>
      <c r="BE152" s="13">
        <f>BD152*VLOOKUP('Données projet'!$B$11,Paramètres!$A$1:$I$89,3,0)*VLOOKUP('Données projet'!$B$11,Paramètres!$A$1:$I$89,5,0)</f>
        <v>258.77280000000002</v>
      </c>
      <c r="BF152" s="13">
        <f t="shared" si="145"/>
        <v>62.460716522234691</v>
      </c>
      <c r="BG152" s="20">
        <f t="shared" si="115"/>
        <v>559.48170794289206</v>
      </c>
      <c r="BH152" s="57">
        <f t="shared" si="116"/>
        <v>852.81504127622543</v>
      </c>
      <c r="BI152" s="57">
        <f ca="1">AVERAGE(OFFSET($BH$3,0,0,'Données projet'!$E$11+1,1))-AVERAGE(OFFSET($H$3,0,0,'Données projet'!$E$11+1,1))</f>
        <v>250.90550982248311</v>
      </c>
      <c r="BJ152" s="57">
        <f t="shared" si="146"/>
        <v>254.68874167908001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11.215506316685575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11.215506316685575</v>
      </c>
      <c r="BT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739.99999999999966</v>
      </c>
      <c r="BZ152" s="13">
        <f>BY152*VLOOKUP('Données projet'!$B$12,Paramètres!$A$1:$I$89,3,0)*VLOOKUP('Données projet'!$B$12,Paramètres!$A$1:$I$89,5,0)</f>
        <v>413.65999999999985</v>
      </c>
      <c r="CA152" s="13">
        <f t="shared" si="147"/>
        <v>94.540585122244352</v>
      </c>
      <c r="CB152" s="20">
        <f t="shared" si="118"/>
        <v>885.11601908790863</v>
      </c>
      <c r="CC152" s="57">
        <f t="shared" si="119"/>
        <v>1178.4493524212419</v>
      </c>
      <c r="CD152" s="57">
        <f ca="1">AVERAGE(OFFSET($CC$3,0,0,'Données projet'!$E$12+1,1))-AVERAGE(OFFSET($H$3,0,0,'Données projet'!$E$12+1,1))</f>
        <v>462.54745364638171</v>
      </c>
      <c r="CE152" s="57">
        <f t="shared" si="148"/>
        <v>571.50914830067313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21.192242632649165</v>
      </c>
      <c r="CL152" s="21">
        <f>EXP(-LN(2)/25)*CL151+(1-EXP(-LN(2)/25))/(LN(2)/25)*Calculateur!CG152*Calculateur!CI152*VLOOKUP('Données projet'!$B$12,Paramètres!$A$1:$I$89,3,0)*0.475*44/12</f>
        <v>2.1324909160957115</v>
      </c>
      <c r="CM152" s="21">
        <f>EXP(-LN(2)/2)*CM151+(1-EXP(-LN(2)/2))/(LN(2)/2)*CG152*CJ152*VLOOKUP('Données projet'!$B$12,Paramètres!$A$1:$I$89,3,0)*0.475*44/12</f>
        <v>1.0432324377755309E-18</v>
      </c>
      <c r="CN152" s="22">
        <f t="shared" si="120"/>
        <v>23.324733548744877</v>
      </c>
      <c r="CO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245.99999999999994</v>
      </c>
      <c r="CU152" s="17">
        <f>CT152*VLOOKUP('Données projet'!$B$13,Paramètres!$A$1:$I$89,3,0)*VLOOKUP('Données projet'!$B$13,Paramètres!$A$1:$I$89,5,0)</f>
        <v>234.09359999999998</v>
      </c>
      <c r="CV152" s="13">
        <f t="shared" si="149"/>
        <v>57.166902703920208</v>
      </c>
      <c r="CW152" s="20">
        <f t="shared" si="121"/>
        <v>507.27870887599425</v>
      </c>
      <c r="CX152" s="57">
        <f t="shared" si="122"/>
        <v>800.61204220932757</v>
      </c>
      <c r="CY152" s="57">
        <f ca="1">AVERAGE(OFFSET($CX$3,0,0,'Données projet'!$E$13+1,1))-AVERAGE(OFFSET($H$3,0,0,'Données projet'!$E$13+1,1))</f>
        <v>314.67680626853303</v>
      </c>
      <c r="CZ152" s="57">
        <f t="shared" si="150"/>
        <v>372.57247561536263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39.769051961814355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39.769051961814355</v>
      </c>
      <c r="DJ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319</v>
      </c>
      <c r="DP152" s="17">
        <f>DO152*VLOOKUP('Données projet'!$B$14,Paramètres!$A$1:$I$89,3,0)*VLOOKUP('Données projet'!$B$14,Paramètres!$A$1:$I$89,5,0)</f>
        <v>209.00879999999998</v>
      </c>
      <c r="DQ152" s="13">
        <f t="shared" si="151"/>
        <v>51.718923953824202</v>
      </c>
      <c r="DR152" s="20">
        <f t="shared" si="124"/>
        <v>454.10078588624373</v>
      </c>
      <c r="DS152" s="57">
        <f t="shared" si="125"/>
        <v>747.43411921957704</v>
      </c>
      <c r="DT152" s="57">
        <f ca="1">AVERAGE(OFFSET($DS$3,0,0,'Données projet'!$E$14+1,1))-AVERAGE(OFFSET($H$3,0,0,'Données projet'!$E$14+1,1))</f>
        <v>188.80259324758066</v>
      </c>
      <c r="DU152" s="57">
        <f t="shared" si="152"/>
        <v>195.48048518255354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9.0586781788614346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9.0586781788614346</v>
      </c>
      <c r="EE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319</v>
      </c>
      <c r="EK152" s="17">
        <f>EJ152*VLOOKUP('Données projet'!$B$15,Paramètres!$A$1:$I$89,3,0)*VLOOKUP('Données projet'!$B$15,Paramètres!$A$1:$I$89,5,0)</f>
        <v>258.77280000000002</v>
      </c>
      <c r="EL152" s="13">
        <f t="shared" si="153"/>
        <v>62.460716522234691</v>
      </c>
      <c r="EM152" s="20">
        <f t="shared" si="127"/>
        <v>559.48170794289206</v>
      </c>
      <c r="EN152" s="57">
        <f t="shared" si="128"/>
        <v>852.81504127622543</v>
      </c>
      <c r="EO152" s="57">
        <f ca="1">AVERAGE(OFFSET($EN$3,0,0,'Données projet'!$E$15+1,1))-AVERAGE(OFFSET($H$3,0,0,'Données projet'!$E$15+1,1))</f>
        <v>250.90550982248311</v>
      </c>
      <c r="EP152" s="57">
        <f t="shared" si="154"/>
        <v>254.68874167908001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11.215506316685575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11.215506316685575</v>
      </c>
      <c r="EZ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7" t="e">
        <f t="shared" si="131"/>
        <v>#N/A</v>
      </c>
      <c r="FJ152" s="57" t="e">
        <f ca="1">AVERAGE(OFFSET($FI$3,0,0,'Données projet'!$E$16+1,1))-AVERAGE(OFFSET($H$3,0,0,'Données projet'!$E$16+1,1))</f>
        <v>#N/A</v>
      </c>
      <c r="FK152" s="57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7" t="e">
        <f t="shared" si="134"/>
        <v>#N/A</v>
      </c>
      <c r="GE152" s="57" t="e">
        <f ca="1">AVERAGE(OFFSET($GD$3,0,0,'Données projet'!$E$17+1,1))-AVERAGE(OFFSET($H$3,0,0,'Données projet'!$E$17+1,1))</f>
        <v>#N/A</v>
      </c>
      <c r="GF152" s="57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7" t="e">
        <f t="shared" si="137"/>
        <v>#N/A</v>
      </c>
      <c r="GZ152" s="57" t="e">
        <f ca="1">AVERAGE(OFFSET($GY$3,0,0,'Données projet'!$E$18+1,1))-AVERAGE(OFFSET($H$3,0,0,'Données projet'!$E$18+1,1))</f>
        <v>#N/A</v>
      </c>
      <c r="HA152" s="57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0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4">
        <f t="shared" si="110"/>
        <v>581.19001082450416</v>
      </c>
      <c r="I153" s="6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258.61679999999996</v>
      </c>
      <c r="P153" s="13">
        <f t="shared" si="141"/>
        <v>62.427444141032439</v>
      </c>
      <c r="Q153" s="20">
        <f t="shared" si="108"/>
        <v>559.15205854563135</v>
      </c>
      <c r="R153" s="57">
        <f t="shared" si="109"/>
        <v>852.48539187896472</v>
      </c>
      <c r="S153" s="57">
        <f ca="1">AVERAGE(OFFSET($R$3,0,0,'Données projet'!$E$9+1,1))-AVERAGE(OFFSET($H$3,0,0,'Données projet'!$E$9+1,1))</f>
        <v>267.44861001389006</v>
      </c>
      <c r="T153" s="57">
        <f t="shared" si="142"/>
        <v>165.25921510802965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46.59702298518701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46.59702298518701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306.99999999999994</v>
      </c>
      <c r="AJ153" s="13">
        <f>AI153*VLOOKUP('Données projet'!$B$10,Paramètres!$A$1:$I$89,3,0)*VLOOKUP('Données projet'!$B$10,Paramètres!$A$1:$I$89,5,0)</f>
        <v>277.77359999999993</v>
      </c>
      <c r="AK153" s="13">
        <f t="shared" si="143"/>
        <v>66.496288176842356</v>
      </c>
      <c r="AL153" s="20">
        <f t="shared" si="112"/>
        <v>599.60338857466706</v>
      </c>
      <c r="AM153" s="57">
        <f t="shared" si="113"/>
        <v>892.93672190800044</v>
      </c>
      <c r="AN153" s="57">
        <f ca="1">AVERAGE(OFFSET($AM$3,0,0,'Données projet'!$E$10+1,1))-AVERAGE(OFFSET($H$3,0,0,'Données projet'!$E$10+1,1))</f>
        <v>294.92430430387071</v>
      </c>
      <c r="AO153" s="57">
        <f t="shared" si="144"/>
        <v>181.52228471516497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50.048654317423079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50.048654317423079</v>
      </c>
      <c r="AY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319</v>
      </c>
      <c r="BE153" s="13">
        <f>BD153*VLOOKUP('Données projet'!$B$11,Paramètres!$A$1:$I$89,3,0)*VLOOKUP('Données projet'!$B$11,Paramètres!$A$1:$I$89,5,0)</f>
        <v>258.77280000000002</v>
      </c>
      <c r="BF153" s="13">
        <f t="shared" si="145"/>
        <v>62.460716522234691</v>
      </c>
      <c r="BG153" s="20">
        <f t="shared" si="115"/>
        <v>559.48170794289206</v>
      </c>
      <c r="BH153" s="57">
        <f t="shared" si="116"/>
        <v>852.81504127622543</v>
      </c>
      <c r="BI153" s="57">
        <f ca="1">AVERAGE(OFFSET($BH$3,0,0,'Données projet'!$E$11+1,1))-AVERAGE(OFFSET($H$3,0,0,'Données projet'!$E$11+1,1))</f>
        <v>250.90550982248311</v>
      </c>
      <c r="BJ153" s="57">
        <f t="shared" si="146"/>
        <v>254.68874167908001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10.995577078598753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10.995577078598753</v>
      </c>
      <c r="BT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739.99999999999966</v>
      </c>
      <c r="BZ153" s="13">
        <f>BY153*VLOOKUP('Données projet'!$B$12,Paramètres!$A$1:$I$89,3,0)*VLOOKUP('Données projet'!$B$12,Paramètres!$A$1:$I$89,5,0)</f>
        <v>413.65999999999985</v>
      </c>
      <c r="CA153" s="13">
        <f t="shared" si="147"/>
        <v>94.540585122244352</v>
      </c>
      <c r="CB153" s="20">
        <f t="shared" si="118"/>
        <v>885.11601908790863</v>
      </c>
      <c r="CC153" s="57">
        <f t="shared" si="119"/>
        <v>1178.4493524212419</v>
      </c>
      <c r="CD153" s="57">
        <f ca="1">AVERAGE(OFFSET($CC$3,0,0,'Données projet'!$E$12+1,1))-AVERAGE(OFFSET($H$3,0,0,'Données projet'!$E$12+1,1))</f>
        <v>462.54745364638171</v>
      </c>
      <c r="CE153" s="57">
        <f t="shared" si="148"/>
        <v>571.50914830067313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20.776675680614584</v>
      </c>
      <c r="CL153" s="21">
        <f>EXP(-LN(2)/25)*CL152+(1-EXP(-LN(2)/25))/(LN(2)/25)*Calculateur!CG153*Calculateur!CI153*VLOOKUP('Données projet'!$B$12,Paramètres!$A$1:$I$89,3,0)*0.475*44/12</f>
        <v>2.074177839852251</v>
      </c>
      <c r="CM153" s="21">
        <f>EXP(-LN(2)/2)*CM152+(1-EXP(-LN(2)/2))/(LN(2)/2)*CG153*CJ153*VLOOKUP('Données projet'!$B$12,Paramètres!$A$1:$I$89,3,0)*0.475*44/12</f>
        <v>7.3767673110485088E-19</v>
      </c>
      <c r="CN153" s="22">
        <f t="shared" si="120"/>
        <v>22.850853520466835</v>
      </c>
      <c r="CO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245.99999999999994</v>
      </c>
      <c r="CU153" s="17">
        <f>CT153*VLOOKUP('Données projet'!$B$13,Paramètres!$A$1:$I$89,3,0)*VLOOKUP('Données projet'!$B$13,Paramètres!$A$1:$I$89,5,0)</f>
        <v>234.09359999999998</v>
      </c>
      <c r="CV153" s="13">
        <f t="shared" si="149"/>
        <v>57.166902703920208</v>
      </c>
      <c r="CW153" s="20">
        <f t="shared" si="121"/>
        <v>507.27870887599425</v>
      </c>
      <c r="CX153" s="57">
        <f t="shared" si="122"/>
        <v>800.61204220932757</v>
      </c>
      <c r="CY153" s="57">
        <f ca="1">AVERAGE(OFFSET($CX$3,0,0,'Données projet'!$E$13+1,1))-AVERAGE(OFFSET($H$3,0,0,'Données projet'!$E$13+1,1))</f>
        <v>314.67680626853303</v>
      </c>
      <c r="CZ153" s="57">
        <f t="shared" si="150"/>
        <v>372.57247561536263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38.989205109569717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38.989205109569717</v>
      </c>
      <c r="DJ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319</v>
      </c>
      <c r="DP153" s="17">
        <f>DO153*VLOOKUP('Données projet'!$B$14,Paramètres!$A$1:$I$89,3,0)*VLOOKUP('Données projet'!$B$14,Paramètres!$A$1:$I$89,5,0)</f>
        <v>209.00879999999998</v>
      </c>
      <c r="DQ153" s="13">
        <f t="shared" si="151"/>
        <v>51.718923953824202</v>
      </c>
      <c r="DR153" s="20">
        <f t="shared" si="124"/>
        <v>454.10078588624373</v>
      </c>
      <c r="DS153" s="57">
        <f t="shared" si="125"/>
        <v>747.43411921957704</v>
      </c>
      <c r="DT153" s="57">
        <f ca="1">AVERAGE(OFFSET($DS$3,0,0,'Données projet'!$E$14+1,1))-AVERAGE(OFFSET($H$3,0,0,'Données projet'!$E$14+1,1))</f>
        <v>188.80259324758066</v>
      </c>
      <c r="DU153" s="57">
        <f t="shared" si="152"/>
        <v>195.48048518255354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8.8810430250220787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8.8810430250220787</v>
      </c>
      <c r="EE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319</v>
      </c>
      <c r="EK153" s="17">
        <f>EJ153*VLOOKUP('Données projet'!$B$15,Paramètres!$A$1:$I$89,3,0)*VLOOKUP('Données projet'!$B$15,Paramètres!$A$1:$I$89,5,0)</f>
        <v>258.77280000000002</v>
      </c>
      <c r="EL153" s="13">
        <f t="shared" si="153"/>
        <v>62.460716522234691</v>
      </c>
      <c r="EM153" s="20">
        <f t="shared" si="127"/>
        <v>559.48170794289206</v>
      </c>
      <c r="EN153" s="57">
        <f t="shared" si="128"/>
        <v>852.81504127622543</v>
      </c>
      <c r="EO153" s="57">
        <f ca="1">AVERAGE(OFFSET($EN$3,0,0,'Données projet'!$E$15+1,1))-AVERAGE(OFFSET($H$3,0,0,'Données projet'!$E$15+1,1))</f>
        <v>250.90550982248311</v>
      </c>
      <c r="EP153" s="57">
        <f t="shared" si="154"/>
        <v>254.68874167908001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10.995577078598753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10.995577078598753</v>
      </c>
      <c r="EZ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7" t="e">
        <f t="shared" si="131"/>
        <v>#N/A</v>
      </c>
      <c r="FJ153" s="57" t="e">
        <f ca="1">AVERAGE(OFFSET($FI$3,0,0,'Données projet'!$E$16+1,1))-AVERAGE(OFFSET($H$3,0,0,'Données projet'!$E$16+1,1))</f>
        <v>#N/A</v>
      </c>
      <c r="FK153" s="57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7" t="e">
        <f t="shared" si="134"/>
        <v>#N/A</v>
      </c>
      <c r="GE153" s="57" t="e">
        <f ca="1">AVERAGE(OFFSET($GD$3,0,0,'Données projet'!$E$17+1,1))-AVERAGE(OFFSET($H$3,0,0,'Données projet'!$E$17+1,1))</f>
        <v>#N/A</v>
      </c>
      <c r="GF153" s="57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7" t="e">
        <f t="shared" si="137"/>
        <v>#N/A</v>
      </c>
      <c r="GZ153" s="57" t="e">
        <f ca="1">AVERAGE(OFFSET($GY$3,0,0,'Données projet'!$E$18+1,1))-AVERAGE(OFFSET($H$3,0,0,'Données projet'!$E$18+1,1))</f>
        <v>#N/A</v>
      </c>
      <c r="HA153" s="57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0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4">
        <f t="shared" si="110"/>
        <v>583.06264753826849</v>
      </c>
      <c r="I154" s="6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258.61679999999996</v>
      </c>
      <c r="P154" s="13">
        <f t="shared" si="141"/>
        <v>62.427444141032439</v>
      </c>
      <c r="Q154" s="20">
        <f t="shared" ref="Q154:Q203" si="162">(O154+P154)*0.475*44/12</f>
        <v>559.15205854563135</v>
      </c>
      <c r="R154" s="57">
        <f t="shared" si="109"/>
        <v>852.48539187896472</v>
      </c>
      <c r="S154" s="57">
        <f ca="1">AVERAGE(OFFSET($R$3,0,0,'Données projet'!$E$9+1,1))-AVERAGE(OFFSET($H$3,0,0,'Données projet'!$E$9+1,1))</f>
        <v>267.44861001389006</v>
      </c>
      <c r="T154" s="57">
        <f t="shared" si="142"/>
        <v>165.25921510802965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45.683283785825132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45.683283785825132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306.99999999999994</v>
      </c>
      <c r="AJ154" s="13">
        <f>AI154*VLOOKUP('Données projet'!$B$10,Paramètres!$A$1:$I$89,3,0)*VLOOKUP('Données projet'!$B$10,Paramètres!$A$1:$I$89,5,0)</f>
        <v>277.77359999999993</v>
      </c>
      <c r="AK154" s="13">
        <f t="shared" ref="AK154:AK203" si="164">EXP(-1.0587+0.8836*LN(AJ154)+0.284)</f>
        <v>66.496288176842356</v>
      </c>
      <c r="AL154" s="20">
        <f t="shared" ref="AL154:AL203" si="165">(AJ154+AK154)*0.475*44/12</f>
        <v>599.60338857466706</v>
      </c>
      <c r="AM154" s="57">
        <f t="shared" si="113"/>
        <v>892.93672190800044</v>
      </c>
      <c r="AN154" s="57">
        <f ca="1">AVERAGE(OFFSET($AM$3,0,0,'Données projet'!$E$10+1,1))-AVERAGE(OFFSET($H$3,0,0,'Données projet'!$E$10+1,1))</f>
        <v>294.92430430387071</v>
      </c>
      <c r="AO154" s="57">
        <f t="shared" si="144"/>
        <v>181.52228471516497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49.067230732923285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49.067230732923285</v>
      </c>
      <c r="AY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319</v>
      </c>
      <c r="BE154" s="13">
        <f>BD154*VLOOKUP('Données projet'!$B$11,Paramètres!$A$1:$I$89,3,0)*VLOOKUP('Données projet'!$B$11,Paramètres!$A$1:$I$89,5,0)</f>
        <v>258.77280000000002</v>
      </c>
      <c r="BF154" s="13">
        <f t="shared" ref="BF154:BF203" si="167">EXP(-1.0587+0.8836*LN(BE154)+0.284)</f>
        <v>62.460716522234691</v>
      </c>
      <c r="BG154" s="20">
        <f t="shared" ref="BG154:BG203" si="168">(BE154+BF154)*0.475*44/12</f>
        <v>559.48170794289206</v>
      </c>
      <c r="BH154" s="57">
        <f t="shared" si="116"/>
        <v>852.81504127622543</v>
      </c>
      <c r="BI154" s="57">
        <f ca="1">AVERAGE(OFFSET($BH$3,0,0,'Données projet'!$E$11+1,1))-AVERAGE(OFFSET($H$3,0,0,'Données projet'!$E$11+1,1))</f>
        <v>250.90550982248311</v>
      </c>
      <c r="BJ154" s="57">
        <f t="shared" si="146"/>
        <v>254.68874167908001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10.779960518727224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10.779960518727224</v>
      </c>
      <c r="BT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739.99999999999966</v>
      </c>
      <c r="BZ154" s="13">
        <f>BY154*VLOOKUP('Données projet'!$B$12,Paramètres!$A$1:$I$89,3,0)*VLOOKUP('Données projet'!$B$12,Paramètres!$A$1:$I$89,5,0)</f>
        <v>413.65999999999985</v>
      </c>
      <c r="CA154" s="13">
        <f t="shared" ref="CA154:CA203" si="170">EXP(-1.0587+0.8836*LN(BZ154)+0.284)</f>
        <v>94.540585122244352</v>
      </c>
      <c r="CB154" s="20">
        <f t="shared" ref="CB154:CB203" si="171">(BZ154+CA154)*0.475*44/12</f>
        <v>885.11601908790863</v>
      </c>
      <c r="CC154" s="57">
        <f t="shared" si="119"/>
        <v>1178.4493524212419</v>
      </c>
      <c r="CD154" s="57">
        <f ca="1">AVERAGE(OFFSET($CC$3,0,0,'Données projet'!$E$12+1,1))-AVERAGE(OFFSET($H$3,0,0,'Données projet'!$E$12+1,1))</f>
        <v>462.54745364638171</v>
      </c>
      <c r="CE154" s="57">
        <f t="shared" si="148"/>
        <v>571.50914830067313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20.369257743038588</v>
      </c>
      <c r="CL154" s="21">
        <f>EXP(-LN(2)/25)*CL153+(1-EXP(-LN(2)/25))/(LN(2)/25)*Calculateur!CG154*Calculateur!CI154*VLOOKUP('Données projet'!$B$12,Paramètres!$A$1:$I$89,3,0)*0.475*44/12</f>
        <v>2.017459337745219</v>
      </c>
      <c r="CM154" s="21">
        <f>EXP(-LN(2)/2)*CM153+(1-EXP(-LN(2)/2))/(LN(2)/2)*CG154*CJ154*VLOOKUP('Données projet'!$B$12,Paramètres!$A$1:$I$89,3,0)*0.475*44/12</f>
        <v>5.2161621888776544E-19</v>
      </c>
      <c r="CN154" s="22">
        <f t="shared" ref="CN154:CN203" si="172">SUM(CK154:CM154)</f>
        <v>22.386717080783807</v>
      </c>
      <c r="CO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245.99999999999994</v>
      </c>
      <c r="CU154" s="17">
        <f>CT154*VLOOKUP('Données projet'!$B$13,Paramètres!$A$1:$I$89,3,0)*VLOOKUP('Données projet'!$B$13,Paramètres!$A$1:$I$89,5,0)</f>
        <v>234.09359999999998</v>
      </c>
      <c r="CV154" s="13">
        <f t="shared" ref="CV154:CV203" si="173">EXP(-1.0587+0.8836*LN(CU154)+0.284)</f>
        <v>57.166902703920208</v>
      </c>
      <c r="CW154" s="20">
        <f t="shared" ref="CW154:CW203" si="174">(CU154+CV154)*0.475*44/12</f>
        <v>507.27870887599425</v>
      </c>
      <c r="CX154" s="57">
        <f t="shared" si="122"/>
        <v>800.61204220932757</v>
      </c>
      <c r="CY154" s="57">
        <f ca="1">AVERAGE(OFFSET($CX$3,0,0,'Données projet'!$E$13+1,1))-AVERAGE(OFFSET($H$3,0,0,'Données projet'!$E$13+1,1))</f>
        <v>314.67680626853303</v>
      </c>
      <c r="CZ154" s="57">
        <f t="shared" si="150"/>
        <v>372.57247561536263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38.224650578437988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38.224650578437988</v>
      </c>
      <c r="DJ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319</v>
      </c>
      <c r="DP154" s="17">
        <f>DO154*VLOOKUP('Données projet'!$B$14,Paramètres!$A$1:$I$89,3,0)*VLOOKUP('Données projet'!$B$14,Paramètres!$A$1:$I$89,5,0)</f>
        <v>209.00879999999998</v>
      </c>
      <c r="DQ154" s="13">
        <f t="shared" ref="DQ154:DQ203" si="176">EXP(-1.0587+0.8836*LN(DP154)+0.284)</f>
        <v>51.718923953824202</v>
      </c>
      <c r="DR154" s="20">
        <f t="shared" ref="DR154:DR203" si="177">(DP154+DQ154)*0.475*44/12</f>
        <v>454.10078588624373</v>
      </c>
      <c r="DS154" s="57">
        <f t="shared" si="125"/>
        <v>747.43411921957704</v>
      </c>
      <c r="DT154" s="57">
        <f ca="1">AVERAGE(OFFSET($DS$3,0,0,'Données projet'!$E$14+1,1))-AVERAGE(OFFSET($H$3,0,0,'Données projet'!$E$14+1,1))</f>
        <v>188.80259324758066</v>
      </c>
      <c r="DU154" s="57">
        <f t="shared" si="152"/>
        <v>195.48048518255354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8.706891188202766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8.706891188202766</v>
      </c>
      <c r="EE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319</v>
      </c>
      <c r="EK154" s="17">
        <f>EJ154*VLOOKUP('Données projet'!$B$15,Paramètres!$A$1:$I$89,3,0)*VLOOKUP('Données projet'!$B$15,Paramètres!$A$1:$I$89,5,0)</f>
        <v>258.77280000000002</v>
      </c>
      <c r="EL154" s="13">
        <f t="shared" ref="EL154:EL203" si="179">EXP(-1.0587+0.8836*LN(EK154)+0.284)</f>
        <v>62.460716522234691</v>
      </c>
      <c r="EM154" s="20">
        <f t="shared" ref="EM154:EM203" si="180">(EK154+EL154)*0.475*44/12</f>
        <v>559.48170794289206</v>
      </c>
      <c r="EN154" s="57">
        <f t="shared" si="128"/>
        <v>852.81504127622543</v>
      </c>
      <c r="EO154" s="57">
        <f ca="1">AVERAGE(OFFSET($EN$3,0,0,'Données projet'!$E$15+1,1))-AVERAGE(OFFSET($H$3,0,0,'Données projet'!$E$15+1,1))</f>
        <v>250.90550982248311</v>
      </c>
      <c r="EP154" s="57">
        <f t="shared" si="154"/>
        <v>254.68874167908001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10.779960518727224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10.779960518727224</v>
      </c>
      <c r="EZ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7" t="e">
        <f t="shared" si="131"/>
        <v>#N/A</v>
      </c>
      <c r="FJ154" s="57" t="e">
        <f ca="1">AVERAGE(OFFSET($FI$3,0,0,'Données projet'!$E$16+1,1))-AVERAGE(OFFSET($H$3,0,0,'Données projet'!$E$16+1,1))</f>
        <v>#N/A</v>
      </c>
      <c r="FK154" s="57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7" t="e">
        <f t="shared" si="134"/>
        <v>#N/A</v>
      </c>
      <c r="GE154" s="57" t="e">
        <f ca="1">AVERAGE(OFFSET($GD$3,0,0,'Données projet'!$E$17+1,1))-AVERAGE(OFFSET($H$3,0,0,'Données projet'!$E$17+1,1))</f>
        <v>#N/A</v>
      </c>
      <c r="GF154" s="57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7" t="e">
        <f t="shared" si="137"/>
        <v>#N/A</v>
      </c>
      <c r="GZ154" s="57" t="e">
        <f ca="1">AVERAGE(OFFSET($GY$3,0,0,'Données projet'!$E$18+1,1))-AVERAGE(OFFSET($H$3,0,0,'Données projet'!$E$18+1,1))</f>
        <v>#N/A</v>
      </c>
      <c r="HA154" s="57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0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4">
        <f t="shared" si="110"/>
        <v>584.93501369207979</v>
      </c>
      <c r="I155" s="6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258.61679999999996</v>
      </c>
      <c r="P155" s="13">
        <f t="shared" si="141"/>
        <v>62.427444141032439</v>
      </c>
      <c r="Q155" s="20">
        <f t="shared" si="162"/>
        <v>559.15205854563135</v>
      </c>
      <c r="R155" s="57">
        <f t="shared" si="109"/>
        <v>852.48539187896472</v>
      </c>
      <c r="S155" s="57">
        <f ca="1">AVERAGE(OFFSET($R$3,0,0,'Données projet'!$E$9+1,1))-AVERAGE(OFFSET($H$3,0,0,'Données projet'!$E$9+1,1))</f>
        <v>267.44861001389006</v>
      </c>
      <c r="T155" s="57">
        <f t="shared" si="142"/>
        <v>165.25921510802965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44.787462454836863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44.787462454836863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306.99999999999994</v>
      </c>
      <c r="AJ155" s="13">
        <f>AI155*VLOOKUP('Données projet'!$B$10,Paramètres!$A$1:$I$89,3,0)*VLOOKUP('Données projet'!$B$10,Paramètres!$A$1:$I$89,5,0)</f>
        <v>277.77359999999993</v>
      </c>
      <c r="AK155" s="13">
        <f t="shared" si="164"/>
        <v>66.496288176842356</v>
      </c>
      <c r="AL155" s="20">
        <f t="shared" si="165"/>
        <v>599.60338857466706</v>
      </c>
      <c r="AM155" s="57">
        <f t="shared" si="113"/>
        <v>892.93672190800044</v>
      </c>
      <c r="AN155" s="57">
        <f ca="1">AVERAGE(OFFSET($AM$3,0,0,'Données projet'!$E$10+1,1))-AVERAGE(OFFSET($H$3,0,0,'Données projet'!$E$10+1,1))</f>
        <v>294.92430430387071</v>
      </c>
      <c r="AO155" s="57">
        <f t="shared" si="144"/>
        <v>181.52228471516497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48.105052266306259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48.105052266306259</v>
      </c>
      <c r="AY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319</v>
      </c>
      <c r="BE155" s="13">
        <f>BD155*VLOOKUP('Données projet'!$B$11,Paramètres!$A$1:$I$89,3,0)*VLOOKUP('Données projet'!$B$11,Paramètres!$A$1:$I$89,5,0)</f>
        <v>258.77280000000002</v>
      </c>
      <c r="BF155" s="13">
        <f t="shared" si="167"/>
        <v>62.460716522234691</v>
      </c>
      <c r="BG155" s="20">
        <f t="shared" si="168"/>
        <v>559.48170794289206</v>
      </c>
      <c r="BH155" s="57">
        <f t="shared" si="116"/>
        <v>852.81504127622543</v>
      </c>
      <c r="BI155" s="57">
        <f ca="1">AVERAGE(OFFSET($BH$3,0,0,'Données projet'!$E$11+1,1))-AVERAGE(OFFSET($H$3,0,0,'Données projet'!$E$11+1,1))</f>
        <v>250.90550982248311</v>
      </c>
      <c r="BJ155" s="57">
        <f t="shared" si="146"/>
        <v>254.68874167908001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10.568572068081659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10.568572068081659</v>
      </c>
      <c r="BT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739.99999999999966</v>
      </c>
      <c r="BZ155" s="13">
        <f>BY155*VLOOKUP('Données projet'!$B$12,Paramètres!$A$1:$I$89,3,0)*VLOOKUP('Données projet'!$B$12,Paramètres!$A$1:$I$89,5,0)</f>
        <v>413.65999999999985</v>
      </c>
      <c r="CA155" s="13">
        <f t="shared" si="170"/>
        <v>94.540585122244352</v>
      </c>
      <c r="CB155" s="20">
        <f t="shared" si="171"/>
        <v>885.11601908790863</v>
      </c>
      <c r="CC155" s="57">
        <f t="shared" si="119"/>
        <v>1178.4493524212419</v>
      </c>
      <c r="CD155" s="57">
        <f ca="1">AVERAGE(OFFSET($CC$3,0,0,'Données projet'!$E$12+1,1))-AVERAGE(OFFSET($H$3,0,0,'Données projet'!$E$12+1,1))</f>
        <v>462.54745364638171</v>
      </c>
      <c r="CE155" s="57">
        <f t="shared" si="148"/>
        <v>571.50914830067313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19.969829022718056</v>
      </c>
      <c r="CL155" s="21">
        <f>EXP(-LN(2)/25)*CL154+(1-EXP(-LN(2)/25))/(LN(2)/25)*Calculateur!CG155*Calculateur!CI155*VLOOKUP('Données projet'!$B$12,Paramètres!$A$1:$I$89,3,0)*0.475*44/12</f>
        <v>1.9622918060610004</v>
      </c>
      <c r="CM155" s="21">
        <f>EXP(-LN(2)/2)*CM154+(1-EXP(-LN(2)/2))/(LN(2)/2)*CG155*CJ155*VLOOKUP('Données projet'!$B$12,Paramètres!$A$1:$I$89,3,0)*0.475*44/12</f>
        <v>3.6883836555242544E-19</v>
      </c>
      <c r="CN155" s="22">
        <f t="shared" si="172"/>
        <v>21.932120828779055</v>
      </c>
      <c r="CO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245.99999999999994</v>
      </c>
      <c r="CU155" s="17">
        <f>CT155*VLOOKUP('Données projet'!$B$13,Paramètres!$A$1:$I$89,3,0)*VLOOKUP('Données projet'!$B$13,Paramètres!$A$1:$I$89,5,0)</f>
        <v>234.09359999999998</v>
      </c>
      <c r="CV155" s="13">
        <f t="shared" si="173"/>
        <v>57.166902703920208</v>
      </c>
      <c r="CW155" s="20">
        <f t="shared" si="174"/>
        <v>507.27870887599425</v>
      </c>
      <c r="CX155" s="57">
        <f t="shared" si="122"/>
        <v>800.61204220932757</v>
      </c>
      <c r="CY155" s="57">
        <f ca="1">AVERAGE(OFFSET($CX$3,0,0,'Données projet'!$E$13+1,1))-AVERAGE(OFFSET($H$3,0,0,'Données projet'!$E$13+1,1))</f>
        <v>314.67680626853303</v>
      </c>
      <c r="CZ155" s="57">
        <f t="shared" si="150"/>
        <v>372.57247561536263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37.47508849532953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37.47508849532953</v>
      </c>
      <c r="DJ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319</v>
      </c>
      <c r="DP155" s="17">
        <f>DO155*VLOOKUP('Données projet'!$B$14,Paramètres!$A$1:$I$89,3,0)*VLOOKUP('Données projet'!$B$14,Paramètres!$A$1:$I$89,5,0)</f>
        <v>209.00879999999998</v>
      </c>
      <c r="DQ155" s="13">
        <f t="shared" si="176"/>
        <v>51.718923953824202</v>
      </c>
      <c r="DR155" s="20">
        <f t="shared" si="177"/>
        <v>454.10078588624373</v>
      </c>
      <c r="DS155" s="57">
        <f t="shared" si="125"/>
        <v>747.43411921957704</v>
      </c>
      <c r="DT155" s="57">
        <f ca="1">AVERAGE(OFFSET($DS$3,0,0,'Données projet'!$E$14+1,1))-AVERAGE(OFFSET($H$3,0,0,'Données projet'!$E$14+1,1))</f>
        <v>188.80259324758066</v>
      </c>
      <c r="DU155" s="57">
        <f t="shared" si="152"/>
        <v>195.48048518255354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8.5361543626813479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8.5361543626813479</v>
      </c>
      <c r="EE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319</v>
      </c>
      <c r="EK155" s="17">
        <f>EJ155*VLOOKUP('Données projet'!$B$15,Paramètres!$A$1:$I$89,3,0)*VLOOKUP('Données projet'!$B$15,Paramètres!$A$1:$I$89,5,0)</f>
        <v>258.77280000000002</v>
      </c>
      <c r="EL155" s="13">
        <f t="shared" si="179"/>
        <v>62.460716522234691</v>
      </c>
      <c r="EM155" s="20">
        <f t="shared" si="180"/>
        <v>559.48170794289206</v>
      </c>
      <c r="EN155" s="57">
        <f t="shared" si="128"/>
        <v>852.81504127622543</v>
      </c>
      <c r="EO155" s="57">
        <f ca="1">AVERAGE(OFFSET($EN$3,0,0,'Données projet'!$E$15+1,1))-AVERAGE(OFFSET($H$3,0,0,'Données projet'!$E$15+1,1))</f>
        <v>250.90550982248311</v>
      </c>
      <c r="EP155" s="57">
        <f t="shared" si="154"/>
        <v>254.68874167908001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10.568572068081659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10.568572068081659</v>
      </c>
      <c r="EZ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7" t="e">
        <f t="shared" si="131"/>
        <v>#N/A</v>
      </c>
      <c r="FJ155" s="57" t="e">
        <f ca="1">AVERAGE(OFFSET($FI$3,0,0,'Données projet'!$E$16+1,1))-AVERAGE(OFFSET($H$3,0,0,'Données projet'!$E$16+1,1))</f>
        <v>#N/A</v>
      </c>
      <c r="FK155" s="57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7" t="e">
        <f t="shared" si="134"/>
        <v>#N/A</v>
      </c>
      <c r="GE155" s="57" t="e">
        <f ca="1">AVERAGE(OFFSET($GD$3,0,0,'Données projet'!$E$17+1,1))-AVERAGE(OFFSET($H$3,0,0,'Données projet'!$E$17+1,1))</f>
        <v>#N/A</v>
      </c>
      <c r="GF155" s="57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7" t="e">
        <f t="shared" si="137"/>
        <v>#N/A</v>
      </c>
      <c r="GZ155" s="57" t="e">
        <f ca="1">AVERAGE(OFFSET($GY$3,0,0,'Données projet'!$E$18+1,1))-AVERAGE(OFFSET($H$3,0,0,'Données projet'!$E$18+1,1))</f>
        <v>#N/A</v>
      </c>
      <c r="HA155" s="57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0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4">
        <f t="shared" si="110"/>
        <v>586.80711127239806</v>
      </c>
      <c r="I156" s="6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258.61679999999996</v>
      </c>
      <c r="P156" s="13">
        <f t="shared" si="141"/>
        <v>62.427444141032439</v>
      </c>
      <c r="Q156" s="20">
        <f t="shared" si="162"/>
        <v>559.15205854563135</v>
      </c>
      <c r="R156" s="57">
        <f t="shared" si="109"/>
        <v>852.48539187896472</v>
      </c>
      <c r="S156" s="57">
        <f ca="1">AVERAGE(OFFSET($R$3,0,0,'Données projet'!$E$9+1,1))-AVERAGE(OFFSET($H$3,0,0,'Données projet'!$E$9+1,1))</f>
        <v>267.44861001389006</v>
      </c>
      <c r="T156" s="57">
        <f t="shared" si="142"/>
        <v>165.25921510802965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43.909207633752217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43.909207633752217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306.99999999999994</v>
      </c>
      <c r="AJ156" s="13">
        <f>AI156*VLOOKUP('Données projet'!$B$10,Paramètres!$A$1:$I$89,3,0)*VLOOKUP('Données projet'!$B$10,Paramètres!$A$1:$I$89,5,0)</f>
        <v>277.77359999999993</v>
      </c>
      <c r="AK156" s="13">
        <f t="shared" si="164"/>
        <v>66.496288176842356</v>
      </c>
      <c r="AL156" s="20">
        <f t="shared" si="165"/>
        <v>599.60338857466706</v>
      </c>
      <c r="AM156" s="57">
        <f t="shared" si="113"/>
        <v>892.93672190800044</v>
      </c>
      <c r="AN156" s="57">
        <f ca="1">AVERAGE(OFFSET($AM$3,0,0,'Données projet'!$E$10+1,1))-AVERAGE(OFFSET($H$3,0,0,'Données projet'!$E$10+1,1))</f>
        <v>294.92430430387071</v>
      </c>
      <c r="AO156" s="57">
        <f t="shared" si="144"/>
        <v>181.52228471516497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47.161741532548675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47.161741532548675</v>
      </c>
      <c r="AY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319</v>
      </c>
      <c r="BE156" s="13">
        <f>BD156*VLOOKUP('Données projet'!$B$11,Paramètres!$A$1:$I$89,3,0)*VLOOKUP('Données projet'!$B$11,Paramètres!$A$1:$I$89,5,0)</f>
        <v>258.77280000000002</v>
      </c>
      <c r="BF156" s="13">
        <f t="shared" si="167"/>
        <v>62.460716522234691</v>
      </c>
      <c r="BG156" s="20">
        <f t="shared" si="168"/>
        <v>559.48170794289206</v>
      </c>
      <c r="BH156" s="57">
        <f t="shared" si="116"/>
        <v>852.81504127622543</v>
      </c>
      <c r="BI156" s="57">
        <f ca="1">AVERAGE(OFFSET($BH$3,0,0,'Données projet'!$E$11+1,1))-AVERAGE(OFFSET($H$3,0,0,'Données projet'!$E$11+1,1))</f>
        <v>250.90550982248311</v>
      </c>
      <c r="BJ156" s="57">
        <f t="shared" si="146"/>
        <v>254.68874167908001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10.36132881601903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10.36132881601903</v>
      </c>
      <c r="BT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739.99999999999966</v>
      </c>
      <c r="BZ156" s="13">
        <f>BY156*VLOOKUP('Données projet'!$B$12,Paramètres!$A$1:$I$89,3,0)*VLOOKUP('Données projet'!$B$12,Paramètres!$A$1:$I$89,5,0)</f>
        <v>413.65999999999985</v>
      </c>
      <c r="CA156" s="13">
        <f t="shared" si="170"/>
        <v>94.540585122244352</v>
      </c>
      <c r="CB156" s="20">
        <f t="shared" si="171"/>
        <v>885.11601908790863</v>
      </c>
      <c r="CC156" s="57">
        <f t="shared" si="119"/>
        <v>1178.4493524212419</v>
      </c>
      <c r="CD156" s="57">
        <f ca="1">AVERAGE(OFFSET($CC$3,0,0,'Données projet'!$E$12+1,1))-AVERAGE(OFFSET($H$3,0,0,'Données projet'!$E$12+1,1))</f>
        <v>462.54745364638171</v>
      </c>
      <c r="CE156" s="57">
        <f t="shared" si="148"/>
        <v>571.50914830067313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19.578232855975546</v>
      </c>
      <c r="CL156" s="21">
        <f>EXP(-LN(2)/25)*CL155+(1-EXP(-LN(2)/25))/(LN(2)/25)*Calculateur!CG156*Calculateur!CI156*VLOOKUP('Données projet'!$B$12,Paramètres!$A$1:$I$89,3,0)*0.475*44/12</f>
        <v>1.9086328334318212</v>
      </c>
      <c r="CM156" s="21">
        <f>EXP(-LN(2)/2)*CM155+(1-EXP(-LN(2)/2))/(LN(2)/2)*CG156*CJ156*VLOOKUP('Données projet'!$B$12,Paramètres!$A$1:$I$89,3,0)*0.475*44/12</f>
        <v>2.6080810944388272E-19</v>
      </c>
      <c r="CN156" s="22">
        <f t="shared" si="172"/>
        <v>21.486865689407367</v>
      </c>
      <c r="CO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245.99999999999994</v>
      </c>
      <c r="CU156" s="17">
        <f>CT156*VLOOKUP('Données projet'!$B$13,Paramètres!$A$1:$I$89,3,0)*VLOOKUP('Données projet'!$B$13,Paramètres!$A$1:$I$89,5,0)</f>
        <v>234.09359999999998</v>
      </c>
      <c r="CV156" s="13">
        <f t="shared" si="173"/>
        <v>57.166902703920208</v>
      </c>
      <c r="CW156" s="20">
        <f t="shared" si="174"/>
        <v>507.27870887599425</v>
      </c>
      <c r="CX156" s="57">
        <f t="shared" si="122"/>
        <v>800.61204220932757</v>
      </c>
      <c r="CY156" s="57">
        <f ca="1">AVERAGE(OFFSET($CX$3,0,0,'Données projet'!$E$13+1,1))-AVERAGE(OFFSET($H$3,0,0,'Données projet'!$E$13+1,1))</f>
        <v>314.67680626853303</v>
      </c>
      <c r="CZ156" s="57">
        <f t="shared" si="150"/>
        <v>372.57247561536263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36.740224867483107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36.740224867483107</v>
      </c>
      <c r="DJ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319</v>
      </c>
      <c r="DP156" s="17">
        <f>DO156*VLOOKUP('Données projet'!$B$14,Paramètres!$A$1:$I$89,3,0)*VLOOKUP('Données projet'!$B$14,Paramètres!$A$1:$I$89,5,0)</f>
        <v>209.00879999999998</v>
      </c>
      <c r="DQ156" s="13">
        <f t="shared" si="176"/>
        <v>51.718923953824202</v>
      </c>
      <c r="DR156" s="20">
        <f t="shared" si="177"/>
        <v>454.10078588624373</v>
      </c>
      <c r="DS156" s="57">
        <f t="shared" si="125"/>
        <v>747.43411921957704</v>
      </c>
      <c r="DT156" s="57">
        <f ca="1">AVERAGE(OFFSET($DS$3,0,0,'Données projet'!$E$14+1,1))-AVERAGE(OFFSET($H$3,0,0,'Données projet'!$E$14+1,1))</f>
        <v>188.80259324758066</v>
      </c>
      <c r="DU156" s="57">
        <f t="shared" si="152"/>
        <v>195.48048518255354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8.3687655821692246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8.3687655821692246</v>
      </c>
      <c r="EE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319</v>
      </c>
      <c r="EK156" s="17">
        <f>EJ156*VLOOKUP('Données projet'!$B$15,Paramètres!$A$1:$I$89,3,0)*VLOOKUP('Données projet'!$B$15,Paramètres!$A$1:$I$89,5,0)</f>
        <v>258.77280000000002</v>
      </c>
      <c r="EL156" s="13">
        <f t="shared" si="179"/>
        <v>62.460716522234691</v>
      </c>
      <c r="EM156" s="20">
        <f t="shared" si="180"/>
        <v>559.48170794289206</v>
      </c>
      <c r="EN156" s="57">
        <f t="shared" si="128"/>
        <v>852.81504127622543</v>
      </c>
      <c r="EO156" s="57">
        <f ca="1">AVERAGE(OFFSET($EN$3,0,0,'Données projet'!$E$15+1,1))-AVERAGE(OFFSET($H$3,0,0,'Données projet'!$E$15+1,1))</f>
        <v>250.90550982248311</v>
      </c>
      <c r="EP156" s="57">
        <f t="shared" si="154"/>
        <v>254.68874167908001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10.36132881601903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10.36132881601903</v>
      </c>
      <c r="EZ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7" t="e">
        <f t="shared" si="131"/>
        <v>#N/A</v>
      </c>
      <c r="FJ156" s="57" t="e">
        <f ca="1">AVERAGE(OFFSET($FI$3,0,0,'Données projet'!$E$16+1,1))-AVERAGE(OFFSET($H$3,0,0,'Données projet'!$E$16+1,1))</f>
        <v>#N/A</v>
      </c>
      <c r="FK156" s="57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7" t="e">
        <f t="shared" si="134"/>
        <v>#N/A</v>
      </c>
      <c r="GE156" s="57" t="e">
        <f ca="1">AVERAGE(OFFSET($GD$3,0,0,'Données projet'!$E$17+1,1))-AVERAGE(OFFSET($H$3,0,0,'Données projet'!$E$17+1,1))</f>
        <v>#N/A</v>
      </c>
      <c r="GF156" s="57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7" t="e">
        <f t="shared" si="137"/>
        <v>#N/A</v>
      </c>
      <c r="GZ156" s="57" t="e">
        <f ca="1">AVERAGE(OFFSET($GY$3,0,0,'Données projet'!$E$18+1,1))-AVERAGE(OFFSET($H$3,0,0,'Données projet'!$E$18+1,1))</f>
        <v>#N/A</v>
      </c>
      <c r="HA156" s="57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0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4">
        <f t="shared" si="110"/>
        <v>588.67894223821463</v>
      </c>
      <c r="I157" s="6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258.61679999999996</v>
      </c>
      <c r="P157" s="13">
        <f t="shared" si="141"/>
        <v>62.427444141032439</v>
      </c>
      <c r="Q157" s="20">
        <f t="shared" si="162"/>
        <v>559.15205854563135</v>
      </c>
      <c r="R157" s="57">
        <f t="shared" si="109"/>
        <v>852.48539187896472</v>
      </c>
      <c r="S157" s="57">
        <f ca="1">AVERAGE(OFFSET($R$3,0,0,'Données projet'!$E$9+1,1))-AVERAGE(OFFSET($H$3,0,0,'Données projet'!$E$9+1,1))</f>
        <v>267.44861001389006</v>
      </c>
      <c r="T157" s="57">
        <f t="shared" si="142"/>
        <v>165.25921510802965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43.048174854026492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43.048174854026492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306.99999999999994</v>
      </c>
      <c r="AJ157" s="13">
        <f>AI157*VLOOKUP('Données projet'!$B$10,Paramètres!$A$1:$I$89,3,0)*VLOOKUP('Données projet'!$B$10,Paramètres!$A$1:$I$89,5,0)</f>
        <v>277.77359999999993</v>
      </c>
      <c r="AK157" s="13">
        <f t="shared" si="164"/>
        <v>66.496288176842356</v>
      </c>
      <c r="AL157" s="20">
        <f t="shared" si="165"/>
        <v>599.60338857466706</v>
      </c>
      <c r="AM157" s="57">
        <f t="shared" si="113"/>
        <v>892.93672190800044</v>
      </c>
      <c r="AN157" s="57">
        <f ca="1">AVERAGE(OFFSET($AM$3,0,0,'Données projet'!$E$10+1,1))-AVERAGE(OFFSET($H$3,0,0,'Données projet'!$E$10+1,1))</f>
        <v>294.92430430387071</v>
      </c>
      <c r="AO157" s="57">
        <f t="shared" si="144"/>
        <v>181.52228471516497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46.236928546917341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46.236928546917341</v>
      </c>
      <c r="AY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319</v>
      </c>
      <c r="BE157" s="13">
        <f>BD157*VLOOKUP('Données projet'!$B$11,Paramètres!$A$1:$I$89,3,0)*VLOOKUP('Données projet'!$B$11,Paramètres!$A$1:$I$89,5,0)</f>
        <v>258.77280000000002</v>
      </c>
      <c r="BF157" s="13">
        <f t="shared" si="167"/>
        <v>62.460716522234691</v>
      </c>
      <c r="BG157" s="20">
        <f t="shared" si="168"/>
        <v>559.48170794289206</v>
      </c>
      <c r="BH157" s="57">
        <f t="shared" si="116"/>
        <v>852.81504127622543</v>
      </c>
      <c r="BI157" s="57">
        <f ca="1">AVERAGE(OFFSET($BH$3,0,0,'Données projet'!$E$11+1,1))-AVERAGE(OFFSET($H$3,0,0,'Données projet'!$E$11+1,1))</f>
        <v>250.90550982248311</v>
      </c>
      <c r="BJ157" s="57">
        <f t="shared" si="146"/>
        <v>254.68874167908001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10.158149477723448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10.158149477723448</v>
      </c>
      <c r="BT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739.99999999999966</v>
      </c>
      <c r="BZ157" s="13">
        <f>BY157*VLOOKUP('Données projet'!$B$12,Paramètres!$A$1:$I$89,3,0)*VLOOKUP('Données projet'!$B$12,Paramètres!$A$1:$I$89,5,0)</f>
        <v>413.65999999999985</v>
      </c>
      <c r="CA157" s="13">
        <f t="shared" si="170"/>
        <v>94.540585122244352</v>
      </c>
      <c r="CB157" s="20">
        <f t="shared" si="171"/>
        <v>885.11601908790863</v>
      </c>
      <c r="CC157" s="57">
        <f t="shared" si="119"/>
        <v>1178.4493524212419</v>
      </c>
      <c r="CD157" s="57">
        <f ca="1">AVERAGE(OFFSET($CC$3,0,0,'Données projet'!$E$12+1,1))-AVERAGE(OFFSET($H$3,0,0,'Données projet'!$E$12+1,1))</f>
        <v>462.54745364638171</v>
      </c>
      <c r="CE157" s="57">
        <f t="shared" si="148"/>
        <v>571.50914830067313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19.194315651212779</v>
      </c>
      <c r="CL157" s="21">
        <f>EXP(-LN(2)/25)*CL156+(1-EXP(-LN(2)/25))/(LN(2)/25)*Calculateur!CG157*Calculateur!CI157*VLOOKUP('Données projet'!$B$12,Paramètres!$A$1:$I$89,3,0)*0.475*44/12</f>
        <v>1.8564411682309896</v>
      </c>
      <c r="CM157" s="21">
        <f>EXP(-LN(2)/2)*CM156+(1-EXP(-LN(2)/2))/(LN(2)/2)*CG157*CJ157*VLOOKUP('Données projet'!$B$12,Paramètres!$A$1:$I$89,3,0)*0.475*44/12</f>
        <v>1.8441918277621272E-19</v>
      </c>
      <c r="CN157" s="22">
        <f t="shared" si="172"/>
        <v>21.05075681944377</v>
      </c>
      <c r="CO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245.99999999999994</v>
      </c>
      <c r="CU157" s="17">
        <f>CT157*VLOOKUP('Données projet'!$B$13,Paramètres!$A$1:$I$89,3,0)*VLOOKUP('Données projet'!$B$13,Paramètres!$A$1:$I$89,5,0)</f>
        <v>234.09359999999998</v>
      </c>
      <c r="CV157" s="13">
        <f t="shared" si="173"/>
        <v>57.166902703920208</v>
      </c>
      <c r="CW157" s="20">
        <f t="shared" si="174"/>
        <v>507.27870887599425</v>
      </c>
      <c r="CX157" s="57">
        <f t="shared" si="122"/>
        <v>800.61204220932757</v>
      </c>
      <c r="CY157" s="57">
        <f ca="1">AVERAGE(OFFSET($CX$3,0,0,'Données projet'!$E$13+1,1))-AVERAGE(OFFSET($H$3,0,0,'Données projet'!$E$13+1,1))</f>
        <v>314.67680626853303</v>
      </c>
      <c r="CZ157" s="57">
        <f t="shared" si="150"/>
        <v>372.57247561536263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36.019771467156197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36.019771467156197</v>
      </c>
      <c r="DJ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319</v>
      </c>
      <c r="DP157" s="17">
        <f>DO157*VLOOKUP('Données projet'!$B$14,Paramètres!$A$1:$I$89,3,0)*VLOOKUP('Données projet'!$B$14,Paramètres!$A$1:$I$89,5,0)</f>
        <v>209.00879999999998</v>
      </c>
      <c r="DQ157" s="13">
        <f t="shared" si="176"/>
        <v>51.718923953824202</v>
      </c>
      <c r="DR157" s="20">
        <f t="shared" si="177"/>
        <v>454.10078588624373</v>
      </c>
      <c r="DS157" s="57">
        <f t="shared" si="125"/>
        <v>747.43411921957704</v>
      </c>
      <c r="DT157" s="57">
        <f ca="1">AVERAGE(OFFSET($DS$3,0,0,'Données projet'!$E$14+1,1))-AVERAGE(OFFSET($H$3,0,0,'Données projet'!$E$14+1,1))</f>
        <v>188.80259324758066</v>
      </c>
      <c r="DU157" s="57">
        <f t="shared" si="152"/>
        <v>195.48048518255354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8.2046591935458686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8.2046591935458686</v>
      </c>
      <c r="EE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319</v>
      </c>
      <c r="EK157" s="17">
        <f>EJ157*VLOOKUP('Données projet'!$B$15,Paramètres!$A$1:$I$89,3,0)*VLOOKUP('Données projet'!$B$15,Paramètres!$A$1:$I$89,5,0)</f>
        <v>258.77280000000002</v>
      </c>
      <c r="EL157" s="13">
        <f t="shared" si="179"/>
        <v>62.460716522234691</v>
      </c>
      <c r="EM157" s="20">
        <f t="shared" si="180"/>
        <v>559.48170794289206</v>
      </c>
      <c r="EN157" s="57">
        <f t="shared" si="128"/>
        <v>852.81504127622543</v>
      </c>
      <c r="EO157" s="57">
        <f ca="1">AVERAGE(OFFSET($EN$3,0,0,'Données projet'!$E$15+1,1))-AVERAGE(OFFSET($H$3,0,0,'Données projet'!$E$15+1,1))</f>
        <v>250.90550982248311</v>
      </c>
      <c r="EP157" s="57">
        <f t="shared" si="154"/>
        <v>254.68874167908001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10.158149477723448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10.158149477723448</v>
      </c>
      <c r="EZ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7" t="e">
        <f t="shared" si="131"/>
        <v>#N/A</v>
      </c>
      <c r="FJ157" s="57" t="e">
        <f ca="1">AVERAGE(OFFSET($FI$3,0,0,'Données projet'!$E$16+1,1))-AVERAGE(OFFSET($H$3,0,0,'Données projet'!$E$16+1,1))</f>
        <v>#N/A</v>
      </c>
      <c r="FK157" s="57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7" t="e">
        <f t="shared" si="134"/>
        <v>#N/A</v>
      </c>
      <c r="GE157" s="57" t="e">
        <f ca="1">AVERAGE(OFFSET($GD$3,0,0,'Données projet'!$E$17+1,1))-AVERAGE(OFFSET($H$3,0,0,'Données projet'!$E$17+1,1))</f>
        <v>#N/A</v>
      </c>
      <c r="GF157" s="57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7" t="e">
        <f t="shared" si="137"/>
        <v>#N/A</v>
      </c>
      <c r="GZ157" s="57" t="e">
        <f ca="1">AVERAGE(OFFSET($GY$3,0,0,'Données projet'!$E$18+1,1))-AVERAGE(OFFSET($H$3,0,0,'Données projet'!$E$18+1,1))</f>
        <v>#N/A</v>
      </c>
      <c r="HA157" s="57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0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4">
        <f t="shared" si="110"/>
        <v>590.55050852160866</v>
      </c>
      <c r="I158" s="6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258.61679999999996</v>
      </c>
      <c r="P158" s="13">
        <f t="shared" si="141"/>
        <v>62.427444141032439</v>
      </c>
      <c r="Q158" s="20">
        <f t="shared" si="162"/>
        <v>559.15205854563135</v>
      </c>
      <c r="R158" s="57">
        <f t="shared" si="109"/>
        <v>852.48539187896472</v>
      </c>
      <c r="S158" s="57">
        <f ca="1">AVERAGE(OFFSET($R$3,0,0,'Données projet'!$E$9+1,1))-AVERAGE(OFFSET($H$3,0,0,'Données projet'!$E$9+1,1))</f>
        <v>267.44861001389006</v>
      </c>
      <c r="T158" s="57">
        <f t="shared" si="142"/>
        <v>165.25921510802965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42.204026401933049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42.204026401933049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306.99999999999994</v>
      </c>
      <c r="AJ158" s="13">
        <f>AI158*VLOOKUP('Données projet'!$B$10,Paramètres!$A$1:$I$89,3,0)*VLOOKUP('Données projet'!$B$10,Paramètres!$A$1:$I$89,5,0)</f>
        <v>277.77359999999993</v>
      </c>
      <c r="AK158" s="13">
        <f t="shared" si="164"/>
        <v>66.496288176842356</v>
      </c>
      <c r="AL158" s="20">
        <f t="shared" si="165"/>
        <v>599.60338857466706</v>
      </c>
      <c r="AM158" s="57">
        <f t="shared" si="113"/>
        <v>892.93672190800044</v>
      </c>
      <c r="AN158" s="57">
        <f ca="1">AVERAGE(OFFSET($AM$3,0,0,'Données projet'!$E$10+1,1))-AVERAGE(OFFSET($H$3,0,0,'Données projet'!$E$10+1,1))</f>
        <v>294.92430430387071</v>
      </c>
      <c r="AO158" s="57">
        <f t="shared" si="144"/>
        <v>181.52228471516497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45.330250579854017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45.330250579854017</v>
      </c>
      <c r="AY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319</v>
      </c>
      <c r="BE158" s="13">
        <f>BD158*VLOOKUP('Données projet'!$B$11,Paramètres!$A$1:$I$89,3,0)*VLOOKUP('Données projet'!$B$11,Paramètres!$A$1:$I$89,5,0)</f>
        <v>258.77280000000002</v>
      </c>
      <c r="BF158" s="13">
        <f t="shared" si="167"/>
        <v>62.460716522234691</v>
      </c>
      <c r="BG158" s="20">
        <f t="shared" si="168"/>
        <v>559.48170794289206</v>
      </c>
      <c r="BH158" s="57">
        <f t="shared" si="116"/>
        <v>852.81504127622543</v>
      </c>
      <c r="BI158" s="57">
        <f ca="1">AVERAGE(OFFSET($BH$3,0,0,'Données projet'!$E$11+1,1))-AVERAGE(OFFSET($H$3,0,0,'Données projet'!$E$11+1,1))</f>
        <v>250.90550982248311</v>
      </c>
      <c r="BJ158" s="57">
        <f t="shared" si="146"/>
        <v>254.68874167908001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9.9589543623246826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9.9589543623246826</v>
      </c>
      <c r="BT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739.99999999999966</v>
      </c>
      <c r="BZ158" s="13">
        <f>BY158*VLOOKUP('Données projet'!$B$12,Paramètres!$A$1:$I$89,3,0)*VLOOKUP('Données projet'!$B$12,Paramètres!$A$1:$I$89,5,0)</f>
        <v>413.65999999999985</v>
      </c>
      <c r="CA158" s="13">
        <f t="shared" si="170"/>
        <v>94.540585122244352</v>
      </c>
      <c r="CB158" s="20">
        <f t="shared" si="171"/>
        <v>885.11601908790863</v>
      </c>
      <c r="CC158" s="57">
        <f t="shared" si="119"/>
        <v>1178.4493524212419</v>
      </c>
      <c r="CD158" s="57">
        <f ca="1">AVERAGE(OFFSET($CC$3,0,0,'Données projet'!$E$12+1,1))-AVERAGE(OFFSET($H$3,0,0,'Données projet'!$E$12+1,1))</f>
        <v>462.54745364638171</v>
      </c>
      <c r="CE158" s="57">
        <f t="shared" si="148"/>
        <v>571.50914830067313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18.817926828669037</v>
      </c>
      <c r="CL158" s="21">
        <f>EXP(-LN(2)/25)*CL157+(1-EXP(-LN(2)/25))/(LN(2)/25)*Calculateur!CG158*Calculateur!CI158*VLOOKUP('Données projet'!$B$12,Paramètres!$A$1:$I$89,3,0)*0.475*44/12</f>
        <v>1.8056766868597152</v>
      </c>
      <c r="CM158" s="21">
        <f>EXP(-LN(2)/2)*CM157+(1-EXP(-LN(2)/2))/(LN(2)/2)*CG158*CJ158*VLOOKUP('Données projet'!$B$12,Paramètres!$A$1:$I$89,3,0)*0.475*44/12</f>
        <v>1.3040405472194136E-19</v>
      </c>
      <c r="CN158" s="22">
        <f t="shared" si="172"/>
        <v>20.623603515528753</v>
      </c>
      <c r="CO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245.99999999999994</v>
      </c>
      <c r="CU158" s="17">
        <f>CT158*VLOOKUP('Données projet'!$B$13,Paramètres!$A$1:$I$89,3,0)*VLOOKUP('Données projet'!$B$13,Paramètres!$A$1:$I$89,5,0)</f>
        <v>234.09359999999998</v>
      </c>
      <c r="CV158" s="13">
        <f t="shared" si="173"/>
        <v>57.166902703920208</v>
      </c>
      <c r="CW158" s="20">
        <f t="shared" si="174"/>
        <v>507.27870887599425</v>
      </c>
      <c r="CX158" s="57">
        <f t="shared" si="122"/>
        <v>800.61204220932757</v>
      </c>
      <c r="CY158" s="57">
        <f ca="1">AVERAGE(OFFSET($CX$3,0,0,'Données projet'!$E$13+1,1))-AVERAGE(OFFSET($H$3,0,0,'Données projet'!$E$13+1,1))</f>
        <v>314.67680626853303</v>
      </c>
      <c r="CZ158" s="57">
        <f t="shared" si="150"/>
        <v>372.57247561536263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35.31344571857651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35.31344571857651</v>
      </c>
      <c r="DJ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319</v>
      </c>
      <c r="DP158" s="17">
        <f>DO158*VLOOKUP('Données projet'!$B$14,Paramètres!$A$1:$I$89,3,0)*VLOOKUP('Données projet'!$B$14,Paramètres!$A$1:$I$89,5,0)</f>
        <v>209.00879999999998</v>
      </c>
      <c r="DQ158" s="13">
        <f t="shared" si="176"/>
        <v>51.718923953824202</v>
      </c>
      <c r="DR158" s="20">
        <f t="shared" si="177"/>
        <v>454.10078588624373</v>
      </c>
      <c r="DS158" s="57">
        <f t="shared" si="125"/>
        <v>747.43411921957704</v>
      </c>
      <c r="DT158" s="57">
        <f ca="1">AVERAGE(OFFSET($DS$3,0,0,'Données projet'!$E$14+1,1))-AVERAGE(OFFSET($H$3,0,0,'Données projet'!$E$14+1,1))</f>
        <v>188.80259324758066</v>
      </c>
      <c r="DU158" s="57">
        <f t="shared" si="152"/>
        <v>195.48048518255354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8.0437708311084037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8.0437708311084037</v>
      </c>
      <c r="EE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319</v>
      </c>
      <c r="EK158" s="17">
        <f>EJ158*VLOOKUP('Données projet'!$B$15,Paramètres!$A$1:$I$89,3,0)*VLOOKUP('Données projet'!$B$15,Paramètres!$A$1:$I$89,5,0)</f>
        <v>258.77280000000002</v>
      </c>
      <c r="EL158" s="13">
        <f t="shared" si="179"/>
        <v>62.460716522234691</v>
      </c>
      <c r="EM158" s="20">
        <f t="shared" si="180"/>
        <v>559.48170794289206</v>
      </c>
      <c r="EN158" s="57">
        <f t="shared" si="128"/>
        <v>852.81504127622543</v>
      </c>
      <c r="EO158" s="57">
        <f ca="1">AVERAGE(OFFSET($EN$3,0,0,'Données projet'!$E$15+1,1))-AVERAGE(OFFSET($H$3,0,0,'Données projet'!$E$15+1,1))</f>
        <v>250.90550982248311</v>
      </c>
      <c r="EP158" s="57">
        <f t="shared" si="154"/>
        <v>254.68874167908001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9.9589543623246826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9.9589543623246826</v>
      </c>
      <c r="EZ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7" t="e">
        <f t="shared" si="131"/>
        <v>#N/A</v>
      </c>
      <c r="FJ158" s="57" t="e">
        <f ca="1">AVERAGE(OFFSET($FI$3,0,0,'Données projet'!$E$16+1,1))-AVERAGE(OFFSET($H$3,0,0,'Données projet'!$E$16+1,1))</f>
        <v>#N/A</v>
      </c>
      <c r="FK158" s="57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7" t="e">
        <f t="shared" si="134"/>
        <v>#N/A</v>
      </c>
      <c r="GE158" s="57" t="e">
        <f ca="1">AVERAGE(OFFSET($GD$3,0,0,'Données projet'!$E$17+1,1))-AVERAGE(OFFSET($H$3,0,0,'Données projet'!$E$17+1,1))</f>
        <v>#N/A</v>
      </c>
      <c r="GF158" s="57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7" t="e">
        <f t="shared" si="137"/>
        <v>#N/A</v>
      </c>
      <c r="GZ158" s="57" t="e">
        <f ca="1">AVERAGE(OFFSET($GY$3,0,0,'Données projet'!$E$18+1,1))-AVERAGE(OFFSET($H$3,0,0,'Données projet'!$E$18+1,1))</f>
        <v>#N/A</v>
      </c>
      <c r="HA158" s="57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0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4">
        <f t="shared" si="110"/>
        <v>592.42181202828726</v>
      </c>
      <c r="I159" s="6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258.61679999999996</v>
      </c>
      <c r="P159" s="13">
        <f t="shared" si="141"/>
        <v>62.427444141032439</v>
      </c>
      <c r="Q159" s="20">
        <f t="shared" si="162"/>
        <v>559.15205854563135</v>
      </c>
      <c r="R159" s="57">
        <f t="shared" si="109"/>
        <v>852.48539187896472</v>
      </c>
      <c r="S159" s="57">
        <f ca="1">AVERAGE(OFFSET($R$3,0,0,'Données projet'!$E$9+1,1))-AVERAGE(OFFSET($H$3,0,0,'Données projet'!$E$9+1,1))</f>
        <v>267.44861001389006</v>
      </c>
      <c r="T159" s="57">
        <f t="shared" si="142"/>
        <v>165.25921510802965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41.376431186105442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41.376431186105442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306.99999999999994</v>
      </c>
      <c r="AJ159" s="13">
        <f>AI159*VLOOKUP('Données projet'!$B$10,Paramètres!$A$1:$I$89,3,0)*VLOOKUP('Données projet'!$B$10,Paramètres!$A$1:$I$89,5,0)</f>
        <v>277.77359999999993</v>
      </c>
      <c r="AK159" s="13">
        <f t="shared" si="164"/>
        <v>66.496288176842356</v>
      </c>
      <c r="AL159" s="20">
        <f t="shared" si="165"/>
        <v>599.60338857466706</v>
      </c>
      <c r="AM159" s="57">
        <f t="shared" si="113"/>
        <v>892.93672190800044</v>
      </c>
      <c r="AN159" s="57">
        <f ca="1">AVERAGE(OFFSET($AM$3,0,0,'Données projet'!$E$10+1,1))-AVERAGE(OFFSET($H$3,0,0,'Données projet'!$E$10+1,1))</f>
        <v>294.92430430387071</v>
      </c>
      <c r="AO159" s="57">
        <f t="shared" si="144"/>
        <v>181.52228471516497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44.441352014705849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44.441352014705849</v>
      </c>
      <c r="AY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319</v>
      </c>
      <c r="BE159" s="13">
        <f>BD159*VLOOKUP('Données projet'!$B$11,Paramètres!$A$1:$I$89,3,0)*VLOOKUP('Données projet'!$B$11,Paramètres!$A$1:$I$89,5,0)</f>
        <v>258.77280000000002</v>
      </c>
      <c r="BF159" s="13">
        <f t="shared" si="167"/>
        <v>62.460716522234691</v>
      </c>
      <c r="BG159" s="20">
        <f t="shared" si="168"/>
        <v>559.48170794289206</v>
      </c>
      <c r="BH159" s="57">
        <f t="shared" si="116"/>
        <v>852.81504127622543</v>
      </c>
      <c r="BI159" s="57">
        <f ca="1">AVERAGE(OFFSET($BH$3,0,0,'Données projet'!$E$11+1,1))-AVERAGE(OFFSET($H$3,0,0,'Données projet'!$E$11+1,1))</f>
        <v>250.90550982248311</v>
      </c>
      <c r="BJ159" s="57">
        <f t="shared" si="146"/>
        <v>254.68874167908001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9.7636653416418628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9.7636653416418628</v>
      </c>
      <c r="BT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739.99999999999966</v>
      </c>
      <c r="BZ159" s="13">
        <f>BY159*VLOOKUP('Données projet'!$B$12,Paramètres!$A$1:$I$89,3,0)*VLOOKUP('Données projet'!$B$12,Paramètres!$A$1:$I$89,5,0)</f>
        <v>413.65999999999985</v>
      </c>
      <c r="CA159" s="13">
        <f t="shared" si="170"/>
        <v>94.540585122244352</v>
      </c>
      <c r="CB159" s="20">
        <f t="shared" si="171"/>
        <v>885.11601908790863</v>
      </c>
      <c r="CC159" s="57">
        <f t="shared" si="119"/>
        <v>1178.4493524212419</v>
      </c>
      <c r="CD159" s="57">
        <f ca="1">AVERAGE(OFFSET($CC$3,0,0,'Données projet'!$E$12+1,1))-AVERAGE(OFFSET($H$3,0,0,'Données projet'!$E$12+1,1))</f>
        <v>462.54745364638171</v>
      </c>
      <c r="CE159" s="57">
        <f t="shared" si="148"/>
        <v>571.50914830067313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18.448918761360865</v>
      </c>
      <c r="CL159" s="21">
        <f>EXP(-LN(2)/25)*CL158+(1-EXP(-LN(2)/25))/(LN(2)/25)*Calculateur!CG159*Calculateur!CI159*VLOOKUP('Données projet'!$B$12,Paramètres!$A$1:$I$89,3,0)*0.475*44/12</f>
        <v>1.7563003629011262</v>
      </c>
      <c r="CM159" s="21">
        <f>EXP(-LN(2)/2)*CM158+(1-EXP(-LN(2)/2))/(LN(2)/2)*CG159*CJ159*VLOOKUP('Données projet'!$B$12,Paramètres!$A$1:$I$89,3,0)*0.475*44/12</f>
        <v>9.220959138810636E-20</v>
      </c>
      <c r="CN159" s="22">
        <f t="shared" si="172"/>
        <v>20.205219124261991</v>
      </c>
      <c r="CO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245.99999999999994</v>
      </c>
      <c r="CU159" s="17">
        <f>CT159*VLOOKUP('Données projet'!$B$13,Paramètres!$A$1:$I$89,3,0)*VLOOKUP('Données projet'!$B$13,Paramètres!$A$1:$I$89,5,0)</f>
        <v>234.09359999999998</v>
      </c>
      <c r="CV159" s="13">
        <f t="shared" si="173"/>
        <v>57.166902703920208</v>
      </c>
      <c r="CW159" s="20">
        <f t="shared" si="174"/>
        <v>507.27870887599425</v>
      </c>
      <c r="CX159" s="57">
        <f t="shared" si="122"/>
        <v>800.61204220932757</v>
      </c>
      <c r="CY159" s="57">
        <f ca="1">AVERAGE(OFFSET($CX$3,0,0,'Données projet'!$E$13+1,1))-AVERAGE(OFFSET($H$3,0,0,'Données projet'!$E$13+1,1))</f>
        <v>314.67680626853303</v>
      </c>
      <c r="CZ159" s="57">
        <f t="shared" si="150"/>
        <v>372.57247561536263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34.620970587110307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34.620970587110307</v>
      </c>
      <c r="DJ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319</v>
      </c>
      <c r="DP159" s="17">
        <f>DO159*VLOOKUP('Données projet'!$B$14,Paramètres!$A$1:$I$89,3,0)*VLOOKUP('Données projet'!$B$14,Paramètres!$A$1:$I$89,5,0)</f>
        <v>209.00879999999998</v>
      </c>
      <c r="DQ159" s="13">
        <f t="shared" si="176"/>
        <v>51.718923953824202</v>
      </c>
      <c r="DR159" s="20">
        <f t="shared" si="177"/>
        <v>454.10078588624373</v>
      </c>
      <c r="DS159" s="57">
        <f t="shared" si="125"/>
        <v>747.43411921957704</v>
      </c>
      <c r="DT159" s="57">
        <f ca="1">AVERAGE(OFFSET($DS$3,0,0,'Données projet'!$E$14+1,1))-AVERAGE(OFFSET($H$3,0,0,'Données projet'!$E$14+1,1))</f>
        <v>188.80259324758066</v>
      </c>
      <c r="DU159" s="57">
        <f t="shared" si="152"/>
        <v>195.48048518255354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7.8860373913261261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7.8860373913261261</v>
      </c>
      <c r="EE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319</v>
      </c>
      <c r="EK159" s="17">
        <f>EJ159*VLOOKUP('Données projet'!$B$15,Paramètres!$A$1:$I$89,3,0)*VLOOKUP('Données projet'!$B$15,Paramètres!$A$1:$I$89,5,0)</f>
        <v>258.77280000000002</v>
      </c>
      <c r="EL159" s="13">
        <f t="shared" si="179"/>
        <v>62.460716522234691</v>
      </c>
      <c r="EM159" s="20">
        <f t="shared" si="180"/>
        <v>559.48170794289206</v>
      </c>
      <c r="EN159" s="57">
        <f t="shared" si="128"/>
        <v>852.81504127622543</v>
      </c>
      <c r="EO159" s="57">
        <f ca="1">AVERAGE(OFFSET($EN$3,0,0,'Données projet'!$E$15+1,1))-AVERAGE(OFFSET($H$3,0,0,'Données projet'!$E$15+1,1))</f>
        <v>250.90550982248311</v>
      </c>
      <c r="EP159" s="57">
        <f t="shared" si="154"/>
        <v>254.68874167908001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9.7636653416418628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9.7636653416418628</v>
      </c>
      <c r="EZ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7" t="e">
        <f t="shared" si="131"/>
        <v>#N/A</v>
      </c>
      <c r="FJ159" s="57" t="e">
        <f ca="1">AVERAGE(OFFSET($FI$3,0,0,'Données projet'!$E$16+1,1))-AVERAGE(OFFSET($H$3,0,0,'Données projet'!$E$16+1,1))</f>
        <v>#N/A</v>
      </c>
      <c r="FK159" s="57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7" t="e">
        <f t="shared" si="134"/>
        <v>#N/A</v>
      </c>
      <c r="GE159" s="57" t="e">
        <f ca="1">AVERAGE(OFFSET($GD$3,0,0,'Données projet'!$E$17+1,1))-AVERAGE(OFFSET($H$3,0,0,'Données projet'!$E$17+1,1))</f>
        <v>#N/A</v>
      </c>
      <c r="GF159" s="57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7" t="e">
        <f t="shared" si="137"/>
        <v>#N/A</v>
      </c>
      <c r="GZ159" s="57" t="e">
        <f ca="1">AVERAGE(OFFSET($GY$3,0,0,'Données projet'!$E$18+1,1))-AVERAGE(OFFSET($H$3,0,0,'Données projet'!$E$18+1,1))</f>
        <v>#N/A</v>
      </c>
      <c r="HA159" s="57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0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4">
        <f t="shared" si="110"/>
        <v>594.29285463811289</v>
      </c>
      <c r="I160" s="6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258.61679999999996</v>
      </c>
      <c r="P160" s="13">
        <f t="shared" si="141"/>
        <v>62.427444141032439</v>
      </c>
      <c r="Q160" s="20">
        <f t="shared" si="162"/>
        <v>559.15205854563135</v>
      </c>
      <c r="R160" s="57">
        <f t="shared" si="109"/>
        <v>852.48539187896472</v>
      </c>
      <c r="S160" s="57">
        <f ca="1">AVERAGE(OFFSET($R$3,0,0,'Données projet'!$E$9+1,1))-AVERAGE(OFFSET($H$3,0,0,'Données projet'!$E$9+1,1))</f>
        <v>267.44861001389006</v>
      </c>
      <c r="T160" s="57">
        <f t="shared" si="142"/>
        <v>165.25921510802965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40.56506460767698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40.56506460767698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306.99999999999994</v>
      </c>
      <c r="AJ160" s="13">
        <f>AI160*VLOOKUP('Données projet'!$B$10,Paramètres!$A$1:$I$89,3,0)*VLOOKUP('Données projet'!$B$10,Paramètres!$A$1:$I$89,5,0)</f>
        <v>277.77359999999993</v>
      </c>
      <c r="AK160" s="13">
        <f t="shared" si="164"/>
        <v>66.496288176842356</v>
      </c>
      <c r="AL160" s="20">
        <f t="shared" si="165"/>
        <v>599.60338857466706</v>
      </c>
      <c r="AM160" s="57">
        <f t="shared" si="113"/>
        <v>892.93672190800044</v>
      </c>
      <c r="AN160" s="57">
        <f ca="1">AVERAGE(OFFSET($AM$3,0,0,'Données projet'!$E$10+1,1))-AVERAGE(OFFSET($H$3,0,0,'Données projet'!$E$10+1,1))</f>
        <v>294.92430430387071</v>
      </c>
      <c r="AO160" s="57">
        <f t="shared" si="144"/>
        <v>181.52228471516497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43.569884208245647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43.569884208245647</v>
      </c>
      <c r="AY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319</v>
      </c>
      <c r="BE160" s="13">
        <f>BD160*VLOOKUP('Données projet'!$B$11,Paramètres!$A$1:$I$89,3,0)*VLOOKUP('Données projet'!$B$11,Paramètres!$A$1:$I$89,5,0)</f>
        <v>258.77280000000002</v>
      </c>
      <c r="BF160" s="13">
        <f t="shared" si="167"/>
        <v>62.460716522234691</v>
      </c>
      <c r="BG160" s="20">
        <f t="shared" si="168"/>
        <v>559.48170794289206</v>
      </c>
      <c r="BH160" s="57">
        <f t="shared" si="116"/>
        <v>852.81504127622543</v>
      </c>
      <c r="BI160" s="57">
        <f ca="1">AVERAGE(OFFSET($BH$3,0,0,'Données projet'!$E$11+1,1))-AVERAGE(OFFSET($H$3,0,0,'Données projet'!$E$11+1,1))</f>
        <v>250.90550982248311</v>
      </c>
      <c r="BJ160" s="57">
        <f t="shared" si="146"/>
        <v>254.68874167908001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9.572205819540093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9.572205819540093</v>
      </c>
      <c r="BT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739.99999999999966</v>
      </c>
      <c r="BZ160" s="13">
        <f>BY160*VLOOKUP('Données projet'!$B$12,Paramètres!$A$1:$I$89,3,0)*VLOOKUP('Données projet'!$B$12,Paramètres!$A$1:$I$89,5,0)</f>
        <v>413.65999999999985</v>
      </c>
      <c r="CA160" s="13">
        <f t="shared" si="170"/>
        <v>94.540585122244352</v>
      </c>
      <c r="CB160" s="20">
        <f t="shared" si="171"/>
        <v>885.11601908790863</v>
      </c>
      <c r="CC160" s="57">
        <f t="shared" si="119"/>
        <v>1178.4493524212419</v>
      </c>
      <c r="CD160" s="57">
        <f ca="1">AVERAGE(OFFSET($CC$3,0,0,'Données projet'!$E$12+1,1))-AVERAGE(OFFSET($H$3,0,0,'Données projet'!$E$12+1,1))</f>
        <v>462.54745364638171</v>
      </c>
      <c r="CE160" s="57">
        <f t="shared" si="148"/>
        <v>571.50914830067313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18.087146717179909</v>
      </c>
      <c r="CL160" s="21">
        <f>EXP(-LN(2)/25)*CL159+(1-EXP(-LN(2)/25))/(LN(2)/25)*Calculateur!CG160*Calculateur!CI160*VLOOKUP('Données projet'!$B$12,Paramètres!$A$1:$I$89,3,0)*0.475*44/12</f>
        <v>1.7082742371177728</v>
      </c>
      <c r="CM160" s="21">
        <f>EXP(-LN(2)/2)*CM159+(1-EXP(-LN(2)/2))/(LN(2)/2)*CG160*CJ160*VLOOKUP('Données projet'!$B$12,Paramètres!$A$1:$I$89,3,0)*0.475*44/12</f>
        <v>6.520202736097068E-20</v>
      </c>
      <c r="CN160" s="22">
        <f t="shared" si="172"/>
        <v>19.795420954297683</v>
      </c>
      <c r="CO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245.99999999999994</v>
      </c>
      <c r="CU160" s="17">
        <f>CT160*VLOOKUP('Données projet'!$B$13,Paramètres!$A$1:$I$89,3,0)*VLOOKUP('Données projet'!$B$13,Paramètres!$A$1:$I$89,5,0)</f>
        <v>234.09359999999998</v>
      </c>
      <c r="CV160" s="13">
        <f t="shared" si="173"/>
        <v>57.166902703920208</v>
      </c>
      <c r="CW160" s="20">
        <f t="shared" si="174"/>
        <v>507.27870887599425</v>
      </c>
      <c r="CX160" s="57">
        <f t="shared" si="122"/>
        <v>800.61204220932757</v>
      </c>
      <c r="CY160" s="57">
        <f ca="1">AVERAGE(OFFSET($CX$3,0,0,'Données projet'!$E$13+1,1))-AVERAGE(OFFSET($H$3,0,0,'Données projet'!$E$13+1,1))</f>
        <v>314.67680626853303</v>
      </c>
      <c r="CZ160" s="57">
        <f t="shared" si="150"/>
        <v>372.57247561536263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33.942074470604027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33.942074470604027</v>
      </c>
      <c r="DJ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319</v>
      </c>
      <c r="DP160" s="17">
        <f>DO160*VLOOKUP('Données projet'!$B$14,Paramètres!$A$1:$I$89,3,0)*VLOOKUP('Données projet'!$B$14,Paramètres!$A$1:$I$89,5,0)</f>
        <v>209.00879999999998</v>
      </c>
      <c r="DQ160" s="13">
        <f t="shared" si="176"/>
        <v>51.718923953824202</v>
      </c>
      <c r="DR160" s="20">
        <f t="shared" si="177"/>
        <v>454.10078588624373</v>
      </c>
      <c r="DS160" s="57">
        <f t="shared" si="125"/>
        <v>747.43411921957704</v>
      </c>
      <c r="DT160" s="57">
        <f ca="1">AVERAGE(OFFSET($DS$3,0,0,'Données projet'!$E$14+1,1))-AVERAGE(OFFSET($H$3,0,0,'Données projet'!$E$14+1,1))</f>
        <v>188.80259324758066</v>
      </c>
      <c r="DU160" s="57">
        <f t="shared" si="152"/>
        <v>195.48048518255354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7.7313970080900809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7.7313970080900809</v>
      </c>
      <c r="EE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319</v>
      </c>
      <c r="EK160" s="17">
        <f>EJ160*VLOOKUP('Données projet'!$B$15,Paramètres!$A$1:$I$89,3,0)*VLOOKUP('Données projet'!$B$15,Paramètres!$A$1:$I$89,5,0)</f>
        <v>258.77280000000002</v>
      </c>
      <c r="EL160" s="13">
        <f t="shared" si="179"/>
        <v>62.460716522234691</v>
      </c>
      <c r="EM160" s="20">
        <f t="shared" si="180"/>
        <v>559.48170794289206</v>
      </c>
      <c r="EN160" s="57">
        <f t="shared" si="128"/>
        <v>852.81504127622543</v>
      </c>
      <c r="EO160" s="57">
        <f ca="1">AVERAGE(OFFSET($EN$3,0,0,'Données projet'!$E$15+1,1))-AVERAGE(OFFSET($H$3,0,0,'Données projet'!$E$15+1,1))</f>
        <v>250.90550982248311</v>
      </c>
      <c r="EP160" s="57">
        <f t="shared" si="154"/>
        <v>254.68874167908001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9.572205819540093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9.572205819540093</v>
      </c>
      <c r="EZ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7" t="e">
        <f t="shared" si="131"/>
        <v>#N/A</v>
      </c>
      <c r="FJ160" s="57" t="e">
        <f ca="1">AVERAGE(OFFSET($FI$3,0,0,'Données projet'!$E$16+1,1))-AVERAGE(OFFSET($H$3,0,0,'Données projet'!$E$16+1,1))</f>
        <v>#N/A</v>
      </c>
      <c r="FK160" s="57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7" t="e">
        <f t="shared" si="134"/>
        <v>#N/A</v>
      </c>
      <c r="GE160" s="57" t="e">
        <f ca="1">AVERAGE(OFFSET($GD$3,0,0,'Données projet'!$E$17+1,1))-AVERAGE(OFFSET($H$3,0,0,'Données projet'!$E$17+1,1))</f>
        <v>#N/A</v>
      </c>
      <c r="GF160" s="57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7" t="e">
        <f t="shared" si="137"/>
        <v>#N/A</v>
      </c>
      <c r="GZ160" s="57" t="e">
        <f ca="1">AVERAGE(OFFSET($GY$3,0,0,'Données projet'!$E$18+1,1))-AVERAGE(OFFSET($H$3,0,0,'Données projet'!$E$18+1,1))</f>
        <v>#N/A</v>
      </c>
      <c r="HA160" s="57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0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4">
        <f t="shared" si="110"/>
        <v>596.16363820561605</v>
      </c>
      <c r="I161" s="6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258.61679999999996</v>
      </c>
      <c r="P161" s="13">
        <f t="shared" si="141"/>
        <v>62.427444141032439</v>
      </c>
      <c r="Q161" s="20">
        <f t="shared" si="162"/>
        <v>559.15205854563135</v>
      </c>
      <c r="R161" s="57">
        <f t="shared" si="109"/>
        <v>852.48539187896472</v>
      </c>
      <c r="S161" s="57">
        <f ca="1">AVERAGE(OFFSET($R$3,0,0,'Données projet'!$E$9+1,1))-AVERAGE(OFFSET($H$3,0,0,'Données projet'!$E$9+1,1))</f>
        <v>267.44861001389006</v>
      </c>
      <c r="T161" s="57">
        <f t="shared" si="142"/>
        <v>165.25921510802965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39.769608432966749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39.769608432966749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306.99999999999994</v>
      </c>
      <c r="AJ161" s="13">
        <f>AI161*VLOOKUP('Données projet'!$B$10,Paramètres!$A$1:$I$89,3,0)*VLOOKUP('Données projet'!$B$10,Paramètres!$A$1:$I$89,5,0)</f>
        <v>277.77359999999993</v>
      </c>
      <c r="AK161" s="13">
        <f t="shared" si="164"/>
        <v>66.496288176842356</v>
      </c>
      <c r="AL161" s="20">
        <f t="shared" si="165"/>
        <v>599.60338857466706</v>
      </c>
      <c r="AM161" s="57">
        <f t="shared" si="113"/>
        <v>892.93672190800044</v>
      </c>
      <c r="AN161" s="57">
        <f ca="1">AVERAGE(OFFSET($AM$3,0,0,'Données projet'!$E$10+1,1))-AVERAGE(OFFSET($H$3,0,0,'Données projet'!$E$10+1,1))</f>
        <v>294.92430430387071</v>
      </c>
      <c r="AO161" s="57">
        <f t="shared" si="144"/>
        <v>181.52228471516497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42.715505353927256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42.715505353927256</v>
      </c>
      <c r="AY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319</v>
      </c>
      <c r="BE161" s="13">
        <f>BD161*VLOOKUP('Données projet'!$B$11,Paramètres!$A$1:$I$89,3,0)*VLOOKUP('Données projet'!$B$11,Paramètres!$A$1:$I$89,5,0)</f>
        <v>258.77280000000002</v>
      </c>
      <c r="BF161" s="13">
        <f t="shared" si="167"/>
        <v>62.460716522234691</v>
      </c>
      <c r="BG161" s="20">
        <f t="shared" si="168"/>
        <v>559.48170794289206</v>
      </c>
      <c r="BH161" s="57">
        <f t="shared" si="116"/>
        <v>852.81504127622543</v>
      </c>
      <c r="BI161" s="57">
        <f ca="1">AVERAGE(OFFSET($BH$3,0,0,'Données projet'!$E$11+1,1))-AVERAGE(OFFSET($H$3,0,0,'Données projet'!$E$11+1,1))</f>
        <v>250.90550982248311</v>
      </c>
      <c r="BJ161" s="57">
        <f t="shared" si="146"/>
        <v>254.68874167908001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9.3845007018879603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9.3845007018879603</v>
      </c>
      <c r="BT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739.99999999999966</v>
      </c>
      <c r="BZ161" s="13">
        <f>BY161*VLOOKUP('Données projet'!$B$12,Paramètres!$A$1:$I$89,3,0)*VLOOKUP('Données projet'!$B$12,Paramètres!$A$1:$I$89,5,0)</f>
        <v>413.65999999999985</v>
      </c>
      <c r="CA161" s="13">
        <f t="shared" si="170"/>
        <v>94.540585122244352</v>
      </c>
      <c r="CB161" s="20">
        <f t="shared" si="171"/>
        <v>885.11601908790863</v>
      </c>
      <c r="CC161" s="57">
        <f t="shared" si="119"/>
        <v>1178.4493524212419</v>
      </c>
      <c r="CD161" s="57">
        <f ca="1">AVERAGE(OFFSET($CC$3,0,0,'Données projet'!$E$12+1,1))-AVERAGE(OFFSET($H$3,0,0,'Données projet'!$E$12+1,1))</f>
        <v>462.54745364638171</v>
      </c>
      <c r="CE161" s="57">
        <f t="shared" si="148"/>
        <v>571.50914830067313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17.732468802126181</v>
      </c>
      <c r="CL161" s="21">
        <f>EXP(-LN(2)/25)*CL160+(1-EXP(-LN(2)/25))/(LN(2)/25)*Calculateur!CG161*Calculateur!CI161*VLOOKUP('Données projet'!$B$12,Paramètres!$A$1:$I$89,3,0)*0.475*44/12</f>
        <v>1.6615613882695495</v>
      </c>
      <c r="CM161" s="21">
        <f>EXP(-LN(2)/2)*CM160+(1-EXP(-LN(2)/2))/(LN(2)/2)*CG161*CJ161*VLOOKUP('Données projet'!$B$12,Paramètres!$A$1:$I$89,3,0)*0.475*44/12</f>
        <v>4.610479569405318E-20</v>
      </c>
      <c r="CN161" s="22">
        <f t="shared" si="172"/>
        <v>19.394030190395732</v>
      </c>
      <c r="CO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245.99999999999994</v>
      </c>
      <c r="CU161" s="17">
        <f>CT161*VLOOKUP('Données projet'!$B$13,Paramètres!$A$1:$I$89,3,0)*VLOOKUP('Données projet'!$B$13,Paramètres!$A$1:$I$89,5,0)</f>
        <v>234.09359999999998</v>
      </c>
      <c r="CV161" s="13">
        <f t="shared" si="173"/>
        <v>57.166902703920208</v>
      </c>
      <c r="CW161" s="20">
        <f t="shared" si="174"/>
        <v>507.27870887599425</v>
      </c>
      <c r="CX161" s="57">
        <f t="shared" si="122"/>
        <v>800.61204220932757</v>
      </c>
      <c r="CY161" s="57">
        <f ca="1">AVERAGE(OFFSET($CX$3,0,0,'Données projet'!$E$13+1,1))-AVERAGE(OFFSET($H$3,0,0,'Données projet'!$E$13+1,1))</f>
        <v>314.67680626853303</v>
      </c>
      <c r="CZ161" s="57">
        <f t="shared" si="150"/>
        <v>372.57247561536263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33.276491092856695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33.276491092856695</v>
      </c>
      <c r="DJ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319</v>
      </c>
      <c r="DP161" s="17">
        <f>DO161*VLOOKUP('Données projet'!$B$14,Paramètres!$A$1:$I$89,3,0)*VLOOKUP('Données projet'!$B$14,Paramètres!$A$1:$I$89,5,0)</f>
        <v>209.00879999999998</v>
      </c>
      <c r="DQ161" s="13">
        <f t="shared" si="176"/>
        <v>51.718923953824202</v>
      </c>
      <c r="DR161" s="20">
        <f t="shared" si="177"/>
        <v>454.10078588624373</v>
      </c>
      <c r="DS161" s="57">
        <f t="shared" si="125"/>
        <v>747.43411921957704</v>
      </c>
      <c r="DT161" s="57">
        <f ca="1">AVERAGE(OFFSET($DS$3,0,0,'Données projet'!$E$14+1,1))-AVERAGE(OFFSET($H$3,0,0,'Données projet'!$E$14+1,1))</f>
        <v>188.80259324758066</v>
      </c>
      <c r="DU161" s="57">
        <f t="shared" si="152"/>
        <v>195.48048518255354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7.5797890284479736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7.5797890284479736</v>
      </c>
      <c r="EE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319</v>
      </c>
      <c r="EK161" s="17">
        <f>EJ161*VLOOKUP('Données projet'!$B$15,Paramètres!$A$1:$I$89,3,0)*VLOOKUP('Données projet'!$B$15,Paramètres!$A$1:$I$89,5,0)</f>
        <v>258.77280000000002</v>
      </c>
      <c r="EL161" s="13">
        <f t="shared" si="179"/>
        <v>62.460716522234691</v>
      </c>
      <c r="EM161" s="20">
        <f t="shared" si="180"/>
        <v>559.48170794289206</v>
      </c>
      <c r="EN161" s="57">
        <f t="shared" si="128"/>
        <v>852.81504127622543</v>
      </c>
      <c r="EO161" s="57">
        <f ca="1">AVERAGE(OFFSET($EN$3,0,0,'Données projet'!$E$15+1,1))-AVERAGE(OFFSET($H$3,0,0,'Données projet'!$E$15+1,1))</f>
        <v>250.90550982248311</v>
      </c>
      <c r="EP161" s="57">
        <f t="shared" si="154"/>
        <v>254.68874167908001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9.3845007018879603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9.3845007018879603</v>
      </c>
      <c r="EZ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7" t="e">
        <f t="shared" si="131"/>
        <v>#N/A</v>
      </c>
      <c r="FJ161" s="57" t="e">
        <f ca="1">AVERAGE(OFFSET($FI$3,0,0,'Données projet'!$E$16+1,1))-AVERAGE(OFFSET($H$3,0,0,'Données projet'!$E$16+1,1))</f>
        <v>#N/A</v>
      </c>
      <c r="FK161" s="57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7" t="e">
        <f t="shared" si="134"/>
        <v>#N/A</v>
      </c>
      <c r="GE161" s="57" t="e">
        <f ca="1">AVERAGE(OFFSET($GD$3,0,0,'Données projet'!$E$17+1,1))-AVERAGE(OFFSET($H$3,0,0,'Données projet'!$E$17+1,1))</f>
        <v>#N/A</v>
      </c>
      <c r="GF161" s="57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7" t="e">
        <f t="shared" si="137"/>
        <v>#N/A</v>
      </c>
      <c r="GZ161" s="57" t="e">
        <f ca="1">AVERAGE(OFFSET($GY$3,0,0,'Données projet'!$E$18+1,1))-AVERAGE(OFFSET($H$3,0,0,'Données projet'!$E$18+1,1))</f>
        <v>#N/A</v>
      </c>
      <c r="HA161" s="57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0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4">
        <f t="shared" si="110"/>
        <v>598.03416456049399</v>
      </c>
      <c r="I162" s="6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258.61679999999996</v>
      </c>
      <c r="P162" s="13">
        <f t="shared" si="141"/>
        <v>62.427444141032439</v>
      </c>
      <c r="Q162" s="20">
        <f t="shared" si="162"/>
        <v>559.15205854563135</v>
      </c>
      <c r="R162" s="57">
        <f t="shared" si="109"/>
        <v>852.48539187896472</v>
      </c>
      <c r="S162" s="57">
        <f ca="1">AVERAGE(OFFSET($R$3,0,0,'Données projet'!$E$9+1,1))-AVERAGE(OFFSET($H$3,0,0,'Données projet'!$E$9+1,1))</f>
        <v>267.44861001389006</v>
      </c>
      <c r="T162" s="57">
        <f t="shared" si="142"/>
        <v>165.25921510802965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38.989750668662225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38.989750668662225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306.99999999999994</v>
      </c>
      <c r="AJ162" s="13">
        <f>AI162*VLOOKUP('Données projet'!$B$10,Paramètres!$A$1:$I$89,3,0)*VLOOKUP('Données projet'!$B$10,Paramètres!$A$1:$I$89,5,0)</f>
        <v>277.77359999999993</v>
      </c>
      <c r="AK162" s="13">
        <f t="shared" si="164"/>
        <v>66.496288176842356</v>
      </c>
      <c r="AL162" s="20">
        <f t="shared" si="165"/>
        <v>599.60338857466706</v>
      </c>
      <c r="AM162" s="57">
        <f t="shared" si="113"/>
        <v>892.93672190800044</v>
      </c>
      <c r="AN162" s="57">
        <f ca="1">AVERAGE(OFFSET($AM$3,0,0,'Données projet'!$E$10+1,1))-AVERAGE(OFFSET($H$3,0,0,'Données projet'!$E$10+1,1))</f>
        <v>294.92430430387071</v>
      </c>
      <c r="AO162" s="57">
        <f t="shared" si="144"/>
        <v>181.52228471516497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41.877880347822398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41.877880347822398</v>
      </c>
      <c r="AY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319</v>
      </c>
      <c r="BE162" s="13">
        <f>BD162*VLOOKUP('Données projet'!$B$11,Paramètres!$A$1:$I$89,3,0)*VLOOKUP('Données projet'!$B$11,Paramètres!$A$1:$I$89,5,0)</f>
        <v>258.77280000000002</v>
      </c>
      <c r="BF162" s="13">
        <f t="shared" si="167"/>
        <v>62.460716522234691</v>
      </c>
      <c r="BG162" s="20">
        <f t="shared" si="168"/>
        <v>559.48170794289206</v>
      </c>
      <c r="BH162" s="57">
        <f t="shared" si="116"/>
        <v>852.81504127622543</v>
      </c>
      <c r="BI162" s="57">
        <f ca="1">AVERAGE(OFFSET($BH$3,0,0,'Données projet'!$E$11+1,1))-AVERAGE(OFFSET($H$3,0,0,'Données projet'!$E$11+1,1))</f>
        <v>250.90550982248311</v>
      </c>
      <c r="BJ162" s="57">
        <f t="shared" si="146"/>
        <v>254.68874167908001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9.2004763671041694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9.2004763671041694</v>
      </c>
      <c r="BT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739.99999999999966</v>
      </c>
      <c r="BZ162" s="13">
        <f>BY162*VLOOKUP('Données projet'!$B$12,Paramètres!$A$1:$I$89,3,0)*VLOOKUP('Données projet'!$B$12,Paramètres!$A$1:$I$89,5,0)</f>
        <v>413.65999999999985</v>
      </c>
      <c r="CA162" s="13">
        <f t="shared" si="170"/>
        <v>94.540585122244352</v>
      </c>
      <c r="CB162" s="20">
        <f t="shared" si="171"/>
        <v>885.11601908790863</v>
      </c>
      <c r="CC162" s="57">
        <f t="shared" si="119"/>
        <v>1178.4493524212419</v>
      </c>
      <c r="CD162" s="57">
        <f ca="1">AVERAGE(OFFSET($CC$3,0,0,'Données projet'!$E$12+1,1))-AVERAGE(OFFSET($H$3,0,0,'Données projet'!$E$12+1,1))</f>
        <v>462.54745364638171</v>
      </c>
      <c r="CE162" s="57">
        <f t="shared" si="148"/>
        <v>571.50914830067313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17.384745904654491</v>
      </c>
      <c r="CL162" s="21">
        <f>EXP(-LN(2)/25)*CL161+(1-EXP(-LN(2)/25))/(LN(2)/25)*Calculateur!CG162*Calculateur!CI162*VLOOKUP('Données projet'!$B$12,Paramètres!$A$1:$I$89,3,0)*0.475*44/12</f>
        <v>1.6161259047296028</v>
      </c>
      <c r="CM162" s="21">
        <f>EXP(-LN(2)/2)*CM161+(1-EXP(-LN(2)/2))/(LN(2)/2)*CG162*CJ162*VLOOKUP('Données projet'!$B$12,Paramètres!$A$1:$I$89,3,0)*0.475*44/12</f>
        <v>3.260101368048534E-20</v>
      </c>
      <c r="CN162" s="22">
        <f t="shared" si="172"/>
        <v>19.000871809384094</v>
      </c>
      <c r="CO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245.99999999999994</v>
      </c>
      <c r="CU162" s="17">
        <f>CT162*VLOOKUP('Données projet'!$B$13,Paramètres!$A$1:$I$89,3,0)*VLOOKUP('Données projet'!$B$13,Paramètres!$A$1:$I$89,5,0)</f>
        <v>234.09359999999998</v>
      </c>
      <c r="CV162" s="13">
        <f t="shared" si="173"/>
        <v>57.166902703920208</v>
      </c>
      <c r="CW162" s="20">
        <f t="shared" si="174"/>
        <v>507.27870887599425</v>
      </c>
      <c r="CX162" s="57">
        <f t="shared" si="122"/>
        <v>800.61204220932757</v>
      </c>
      <c r="CY162" s="57">
        <f ca="1">AVERAGE(OFFSET($CX$3,0,0,'Données projet'!$E$13+1,1))-AVERAGE(OFFSET($H$3,0,0,'Données projet'!$E$13+1,1))</f>
        <v>314.67680626853303</v>
      </c>
      <c r="CZ162" s="57">
        <f t="shared" si="150"/>
        <v>372.57247561536263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32.62395939918121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32.62395939918121</v>
      </c>
      <c r="DJ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319</v>
      </c>
      <c r="DP162" s="17">
        <f>DO162*VLOOKUP('Données projet'!$B$14,Paramètres!$A$1:$I$89,3,0)*VLOOKUP('Données projet'!$B$14,Paramètres!$A$1:$I$89,5,0)</f>
        <v>209.00879999999998</v>
      </c>
      <c r="DQ162" s="13">
        <f t="shared" si="176"/>
        <v>51.718923953824202</v>
      </c>
      <c r="DR162" s="20">
        <f t="shared" si="177"/>
        <v>454.10078588624373</v>
      </c>
      <c r="DS162" s="57">
        <f t="shared" si="125"/>
        <v>747.43411921957704</v>
      </c>
      <c r="DT162" s="57">
        <f ca="1">AVERAGE(OFFSET($DS$3,0,0,'Données projet'!$E$14+1,1))-AVERAGE(OFFSET($H$3,0,0,'Données projet'!$E$14+1,1))</f>
        <v>188.80259324758066</v>
      </c>
      <c r="DU162" s="57">
        <f t="shared" si="152"/>
        <v>195.48048518255354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7.4311539888149118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7.4311539888149118</v>
      </c>
      <c r="EE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319</v>
      </c>
      <c r="EK162" s="17">
        <f>EJ162*VLOOKUP('Données projet'!$B$15,Paramètres!$A$1:$I$89,3,0)*VLOOKUP('Données projet'!$B$15,Paramètres!$A$1:$I$89,5,0)</f>
        <v>258.77280000000002</v>
      </c>
      <c r="EL162" s="13">
        <f t="shared" si="179"/>
        <v>62.460716522234691</v>
      </c>
      <c r="EM162" s="20">
        <f t="shared" si="180"/>
        <v>559.48170794289206</v>
      </c>
      <c r="EN162" s="57">
        <f t="shared" si="128"/>
        <v>852.81504127622543</v>
      </c>
      <c r="EO162" s="57">
        <f ca="1">AVERAGE(OFFSET($EN$3,0,0,'Données projet'!$E$15+1,1))-AVERAGE(OFFSET($H$3,0,0,'Données projet'!$E$15+1,1))</f>
        <v>250.90550982248311</v>
      </c>
      <c r="EP162" s="57">
        <f t="shared" si="154"/>
        <v>254.68874167908001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9.2004763671041694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9.2004763671041694</v>
      </c>
      <c r="EZ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7" t="e">
        <f t="shared" si="131"/>
        <v>#N/A</v>
      </c>
      <c r="FJ162" s="57" t="e">
        <f ca="1">AVERAGE(OFFSET($FI$3,0,0,'Données projet'!$E$16+1,1))-AVERAGE(OFFSET($H$3,0,0,'Données projet'!$E$16+1,1))</f>
        <v>#N/A</v>
      </c>
      <c r="FK162" s="57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7" t="e">
        <f t="shared" si="134"/>
        <v>#N/A</v>
      </c>
      <c r="GE162" s="57" t="e">
        <f ca="1">AVERAGE(OFFSET($GD$3,0,0,'Données projet'!$E$17+1,1))-AVERAGE(OFFSET($H$3,0,0,'Données projet'!$E$17+1,1))</f>
        <v>#N/A</v>
      </c>
      <c r="GF162" s="57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7" t="e">
        <f t="shared" si="137"/>
        <v>#N/A</v>
      </c>
      <c r="GZ162" s="57" t="e">
        <f ca="1">AVERAGE(OFFSET($GY$3,0,0,'Données projet'!$E$18+1,1))-AVERAGE(OFFSET($H$3,0,0,'Données projet'!$E$18+1,1))</f>
        <v>#N/A</v>
      </c>
      <c r="HA162" s="57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0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4">
        <f t="shared" si="110"/>
        <v>599.90443550809846</v>
      </c>
      <c r="I163" s="6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258.61679999999996</v>
      </c>
      <c r="P163" s="13">
        <f t="shared" si="141"/>
        <v>62.427444141032439</v>
      </c>
      <c r="Q163" s="20">
        <f t="shared" si="162"/>
        <v>559.15205854563135</v>
      </c>
      <c r="R163" s="57">
        <f t="shared" si="109"/>
        <v>852.48539187896472</v>
      </c>
      <c r="S163" s="57">
        <f ca="1">AVERAGE(OFFSET($R$3,0,0,'Données projet'!$E$9+1,1))-AVERAGE(OFFSET($H$3,0,0,'Données projet'!$E$9+1,1))</f>
        <v>267.44861001389006</v>
      </c>
      <c r="T163" s="57">
        <f t="shared" si="142"/>
        <v>165.25921510802965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38.225185439449447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38.225185439449447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306.99999999999994</v>
      </c>
      <c r="AJ163" s="13">
        <f>AI163*VLOOKUP('Données projet'!$B$10,Paramètres!$A$1:$I$89,3,0)*VLOOKUP('Données projet'!$B$10,Paramètres!$A$1:$I$89,5,0)</f>
        <v>277.77359999999993</v>
      </c>
      <c r="AK163" s="13">
        <f t="shared" si="164"/>
        <v>66.496288176842356</v>
      </c>
      <c r="AL163" s="20">
        <f t="shared" si="165"/>
        <v>599.60338857466706</v>
      </c>
      <c r="AM163" s="57">
        <f t="shared" si="113"/>
        <v>892.93672190800044</v>
      </c>
      <c r="AN163" s="57">
        <f ca="1">AVERAGE(OFFSET($AM$3,0,0,'Données projet'!$E$10+1,1))-AVERAGE(OFFSET($H$3,0,0,'Données projet'!$E$10+1,1))</f>
        <v>294.92430430387071</v>
      </c>
      <c r="AO163" s="57">
        <f t="shared" si="144"/>
        <v>181.52228471516497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41.056680657186455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41.056680657186455</v>
      </c>
      <c r="AY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319</v>
      </c>
      <c r="BE163" s="13">
        <f>BD163*VLOOKUP('Données projet'!$B$11,Paramètres!$A$1:$I$89,3,0)*VLOOKUP('Données projet'!$B$11,Paramètres!$A$1:$I$89,5,0)</f>
        <v>258.77280000000002</v>
      </c>
      <c r="BF163" s="13">
        <f t="shared" si="167"/>
        <v>62.460716522234691</v>
      </c>
      <c r="BG163" s="20">
        <f t="shared" si="168"/>
        <v>559.48170794289206</v>
      </c>
      <c r="BH163" s="57">
        <f t="shared" si="116"/>
        <v>852.81504127622543</v>
      </c>
      <c r="BI163" s="57">
        <f ca="1">AVERAGE(OFFSET($BH$3,0,0,'Données projet'!$E$11+1,1))-AVERAGE(OFFSET($H$3,0,0,'Données projet'!$E$11+1,1))</f>
        <v>250.90550982248311</v>
      </c>
      <c r="BJ163" s="57">
        <f t="shared" si="146"/>
        <v>254.68874167908001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9.0200606372817269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9.0200606372817269</v>
      </c>
      <c r="BT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739.99999999999966</v>
      </c>
      <c r="BZ163" s="13">
        <f>BY163*VLOOKUP('Données projet'!$B$12,Paramètres!$A$1:$I$89,3,0)*VLOOKUP('Données projet'!$B$12,Paramètres!$A$1:$I$89,5,0)</f>
        <v>413.65999999999985</v>
      </c>
      <c r="CA163" s="13">
        <f t="shared" si="170"/>
        <v>94.540585122244352</v>
      </c>
      <c r="CB163" s="20">
        <f t="shared" si="171"/>
        <v>885.11601908790863</v>
      </c>
      <c r="CC163" s="57">
        <f t="shared" si="119"/>
        <v>1178.4493524212419</v>
      </c>
      <c r="CD163" s="57">
        <f ca="1">AVERAGE(OFFSET($CC$3,0,0,'Données projet'!$E$12+1,1))-AVERAGE(OFFSET($H$3,0,0,'Données projet'!$E$12+1,1))</f>
        <v>462.54745364638171</v>
      </c>
      <c r="CE163" s="57">
        <f t="shared" si="148"/>
        <v>571.50914830067313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17.043841641112195</v>
      </c>
      <c r="CL163" s="21">
        <f>EXP(-LN(2)/25)*CL162+(1-EXP(-LN(2)/25))/(LN(2)/25)*Calculateur!CG163*Calculateur!CI163*VLOOKUP('Données projet'!$B$12,Paramètres!$A$1:$I$89,3,0)*0.475*44/12</f>
        <v>1.5719328568764042</v>
      </c>
      <c r="CM163" s="21">
        <f>EXP(-LN(2)/2)*CM162+(1-EXP(-LN(2)/2))/(LN(2)/2)*CG163*CJ163*VLOOKUP('Données projet'!$B$12,Paramètres!$A$1:$I$89,3,0)*0.475*44/12</f>
        <v>2.305239784702659E-20</v>
      </c>
      <c r="CN163" s="22">
        <f t="shared" si="172"/>
        <v>18.6157744979886</v>
      </c>
      <c r="CO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245.99999999999994</v>
      </c>
      <c r="CU163" s="17">
        <f>CT163*VLOOKUP('Données projet'!$B$13,Paramètres!$A$1:$I$89,3,0)*VLOOKUP('Données projet'!$B$13,Paramètres!$A$1:$I$89,5,0)</f>
        <v>234.09359999999998</v>
      </c>
      <c r="CV163" s="13">
        <f t="shared" si="173"/>
        <v>57.166902703920208</v>
      </c>
      <c r="CW163" s="20">
        <f t="shared" si="174"/>
        <v>507.27870887599425</v>
      </c>
      <c r="CX163" s="57">
        <f t="shared" si="122"/>
        <v>800.61204220932757</v>
      </c>
      <c r="CY163" s="57">
        <f ca="1">AVERAGE(OFFSET($CX$3,0,0,'Données projet'!$E$13+1,1))-AVERAGE(OFFSET($H$3,0,0,'Données projet'!$E$13+1,1))</f>
        <v>314.67680626853303</v>
      </c>
      <c r="CZ163" s="57">
        <f t="shared" si="150"/>
        <v>372.57247561536263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31.984223454013673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31.984223454013673</v>
      </c>
      <c r="DJ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319</v>
      </c>
      <c r="DP163" s="17">
        <f>DO163*VLOOKUP('Données projet'!$B$14,Paramètres!$A$1:$I$89,3,0)*VLOOKUP('Données projet'!$B$14,Paramètres!$A$1:$I$89,5,0)</f>
        <v>209.00879999999998</v>
      </c>
      <c r="DQ163" s="13">
        <f t="shared" si="176"/>
        <v>51.718923953824202</v>
      </c>
      <c r="DR163" s="20">
        <f t="shared" si="177"/>
        <v>454.10078588624373</v>
      </c>
      <c r="DS163" s="57">
        <f t="shared" si="125"/>
        <v>747.43411921957704</v>
      </c>
      <c r="DT163" s="57">
        <f ca="1">AVERAGE(OFFSET($DS$3,0,0,'Données projet'!$E$14+1,1))-AVERAGE(OFFSET($H$3,0,0,'Données projet'!$E$14+1,1))</f>
        <v>188.80259324758066</v>
      </c>
      <c r="DU163" s="57">
        <f t="shared" si="152"/>
        <v>195.48048518255354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7.2854335916506319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7.2854335916506319</v>
      </c>
      <c r="EE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319</v>
      </c>
      <c r="EK163" s="17">
        <f>EJ163*VLOOKUP('Données projet'!$B$15,Paramètres!$A$1:$I$89,3,0)*VLOOKUP('Données projet'!$B$15,Paramètres!$A$1:$I$89,5,0)</f>
        <v>258.77280000000002</v>
      </c>
      <c r="EL163" s="13">
        <f t="shared" si="179"/>
        <v>62.460716522234691</v>
      </c>
      <c r="EM163" s="20">
        <f t="shared" si="180"/>
        <v>559.48170794289206</v>
      </c>
      <c r="EN163" s="57">
        <f t="shared" si="128"/>
        <v>852.81504127622543</v>
      </c>
      <c r="EO163" s="57">
        <f ca="1">AVERAGE(OFFSET($EN$3,0,0,'Données projet'!$E$15+1,1))-AVERAGE(OFFSET($H$3,0,0,'Données projet'!$E$15+1,1))</f>
        <v>250.90550982248311</v>
      </c>
      <c r="EP163" s="57">
        <f t="shared" si="154"/>
        <v>254.68874167908001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9.0200606372817269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9.0200606372817269</v>
      </c>
      <c r="EZ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7" t="e">
        <f t="shared" si="131"/>
        <v>#N/A</v>
      </c>
      <c r="FJ163" s="57" t="e">
        <f ca="1">AVERAGE(OFFSET($FI$3,0,0,'Données projet'!$E$16+1,1))-AVERAGE(OFFSET($H$3,0,0,'Données projet'!$E$16+1,1))</f>
        <v>#N/A</v>
      </c>
      <c r="FK163" s="57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7" t="e">
        <f t="shared" si="134"/>
        <v>#N/A</v>
      </c>
      <c r="GE163" s="57" t="e">
        <f ca="1">AVERAGE(OFFSET($GD$3,0,0,'Données projet'!$E$17+1,1))-AVERAGE(OFFSET($H$3,0,0,'Données projet'!$E$17+1,1))</f>
        <v>#N/A</v>
      </c>
      <c r="GF163" s="57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7" t="e">
        <f t="shared" si="137"/>
        <v>#N/A</v>
      </c>
      <c r="GZ163" s="57" t="e">
        <f ca="1">AVERAGE(OFFSET($GY$3,0,0,'Données projet'!$E$18+1,1))-AVERAGE(OFFSET($H$3,0,0,'Données projet'!$E$18+1,1))</f>
        <v>#N/A</v>
      </c>
      <c r="HA163" s="57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0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4">
        <f t="shared" si="110"/>
        <v>601.77445282990868</v>
      </c>
      <c r="I164" s="6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258.61679999999996</v>
      </c>
      <c r="P164" s="13">
        <f t="shared" si="141"/>
        <v>62.427444141032439</v>
      </c>
      <c r="Q164" s="20">
        <f t="shared" si="162"/>
        <v>559.15205854563135</v>
      </c>
      <c r="R164" s="57">
        <f t="shared" si="109"/>
        <v>852.48539187896472</v>
      </c>
      <c r="S164" s="57">
        <f ca="1">AVERAGE(OFFSET($R$3,0,0,'Données projet'!$E$9+1,1))-AVERAGE(OFFSET($H$3,0,0,'Données projet'!$E$9+1,1))</f>
        <v>267.44861001389006</v>
      </c>
      <c r="T164" s="57">
        <f t="shared" si="142"/>
        <v>165.25921510802965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37.475612868042788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37.475612868042788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306.99999999999994</v>
      </c>
      <c r="AJ164" s="13">
        <f>AI164*VLOOKUP('Données projet'!$B$10,Paramètres!$A$1:$I$89,3,0)*VLOOKUP('Données projet'!$B$10,Paramètres!$A$1:$I$89,5,0)</f>
        <v>277.77359999999993</v>
      </c>
      <c r="AK164" s="13">
        <f t="shared" si="164"/>
        <v>66.496288176842356</v>
      </c>
      <c r="AL164" s="20">
        <f t="shared" si="165"/>
        <v>599.60338857466706</v>
      </c>
      <c r="AM164" s="57">
        <f t="shared" si="113"/>
        <v>892.93672190800044</v>
      </c>
      <c r="AN164" s="57">
        <f ca="1">AVERAGE(OFFSET($AM$3,0,0,'Données projet'!$E$10+1,1))-AVERAGE(OFFSET($H$3,0,0,'Données projet'!$E$10+1,1))</f>
        <v>294.92430430387071</v>
      </c>
      <c r="AO164" s="57">
        <f t="shared" si="144"/>
        <v>181.52228471516497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40.25158419160153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40.25158419160153</v>
      </c>
      <c r="AY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319</v>
      </c>
      <c r="BE164" s="13">
        <f>BD164*VLOOKUP('Données projet'!$B$11,Paramètres!$A$1:$I$89,3,0)*VLOOKUP('Données projet'!$B$11,Paramètres!$A$1:$I$89,5,0)</f>
        <v>258.77280000000002</v>
      </c>
      <c r="BF164" s="13">
        <f t="shared" si="167"/>
        <v>62.460716522234691</v>
      </c>
      <c r="BG164" s="20">
        <f t="shared" si="168"/>
        <v>559.48170794289206</v>
      </c>
      <c r="BH164" s="57">
        <f t="shared" si="116"/>
        <v>852.81504127622543</v>
      </c>
      <c r="BI164" s="57">
        <f ca="1">AVERAGE(OFFSET($BH$3,0,0,'Données projet'!$E$11+1,1))-AVERAGE(OFFSET($H$3,0,0,'Données projet'!$E$11+1,1))</f>
        <v>250.90550982248311</v>
      </c>
      <c r="BJ164" s="57">
        <f t="shared" si="146"/>
        <v>254.68874167908001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8.8431827498783733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8.8431827498783733</v>
      </c>
      <c r="BT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739.99999999999966</v>
      </c>
      <c r="BZ164" s="13">
        <f>BY164*VLOOKUP('Données projet'!$B$12,Paramètres!$A$1:$I$89,3,0)*VLOOKUP('Données projet'!$B$12,Paramètres!$A$1:$I$89,5,0)</f>
        <v>413.65999999999985</v>
      </c>
      <c r="CA164" s="13">
        <f t="shared" si="170"/>
        <v>94.540585122244352</v>
      </c>
      <c r="CB164" s="20">
        <f t="shared" si="171"/>
        <v>885.11601908790863</v>
      </c>
      <c r="CC164" s="57">
        <f t="shared" si="119"/>
        <v>1178.4493524212419</v>
      </c>
      <c r="CD164" s="57">
        <f ca="1">AVERAGE(OFFSET($CC$3,0,0,'Données projet'!$E$12+1,1))-AVERAGE(OFFSET($H$3,0,0,'Données projet'!$E$12+1,1))</f>
        <v>462.54745364638171</v>
      </c>
      <c r="CE164" s="57">
        <f t="shared" si="148"/>
        <v>571.50914830067313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16.709622302246895</v>
      </c>
      <c r="CL164" s="21">
        <f>EXP(-LN(2)/25)*CL163+(1-EXP(-LN(2)/25))/(LN(2)/25)*Calculateur!CG164*Calculateur!CI164*VLOOKUP('Données projet'!$B$12,Paramètres!$A$1:$I$89,3,0)*0.475*44/12</f>
        <v>1.5289482702407626</v>
      </c>
      <c r="CM164" s="21">
        <f>EXP(-LN(2)/2)*CM163+(1-EXP(-LN(2)/2))/(LN(2)/2)*CG164*CJ164*VLOOKUP('Données projet'!$B$12,Paramètres!$A$1:$I$89,3,0)*0.475*44/12</f>
        <v>1.630050684024267E-20</v>
      </c>
      <c r="CN164" s="22">
        <f t="shared" si="172"/>
        <v>18.238570572487657</v>
      </c>
      <c r="CO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245.99999999999994</v>
      </c>
      <c r="CU164" s="17">
        <f>CT164*VLOOKUP('Données projet'!$B$13,Paramètres!$A$1:$I$89,3,0)*VLOOKUP('Données projet'!$B$13,Paramètres!$A$1:$I$89,5,0)</f>
        <v>234.09359999999998</v>
      </c>
      <c r="CV164" s="13">
        <f t="shared" si="173"/>
        <v>57.166902703920208</v>
      </c>
      <c r="CW164" s="20">
        <f t="shared" si="174"/>
        <v>507.27870887599425</v>
      </c>
      <c r="CX164" s="57">
        <f t="shared" si="122"/>
        <v>800.61204220932757</v>
      </c>
      <c r="CY164" s="57">
        <f ca="1">AVERAGE(OFFSET($CX$3,0,0,'Données projet'!$E$13+1,1))-AVERAGE(OFFSET($H$3,0,0,'Données projet'!$E$13+1,1))</f>
        <v>314.67680626853303</v>
      </c>
      <c r="CZ164" s="57">
        <f t="shared" si="150"/>
        <v>372.57247561536263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31.357032340530473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31.357032340530473</v>
      </c>
      <c r="DJ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319</v>
      </c>
      <c r="DP164" s="17">
        <f>DO164*VLOOKUP('Données projet'!$B$14,Paramètres!$A$1:$I$89,3,0)*VLOOKUP('Données projet'!$B$14,Paramètres!$A$1:$I$89,5,0)</f>
        <v>209.00879999999998</v>
      </c>
      <c r="DQ164" s="13">
        <f t="shared" si="176"/>
        <v>51.718923953824202</v>
      </c>
      <c r="DR164" s="20">
        <f t="shared" si="177"/>
        <v>454.10078588624373</v>
      </c>
      <c r="DS164" s="57">
        <f t="shared" si="125"/>
        <v>747.43411921957704</v>
      </c>
      <c r="DT164" s="57">
        <f ca="1">AVERAGE(OFFSET($DS$3,0,0,'Données projet'!$E$14+1,1))-AVERAGE(OFFSET($H$3,0,0,'Données projet'!$E$14+1,1))</f>
        <v>188.80259324758066</v>
      </c>
      <c r="DU164" s="57">
        <f t="shared" si="152"/>
        <v>195.48048518255354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7.1425706825940773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7.1425706825940773</v>
      </c>
      <c r="EE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319</v>
      </c>
      <c r="EK164" s="17">
        <f>EJ164*VLOOKUP('Données projet'!$B$15,Paramètres!$A$1:$I$89,3,0)*VLOOKUP('Données projet'!$B$15,Paramètres!$A$1:$I$89,5,0)</f>
        <v>258.77280000000002</v>
      </c>
      <c r="EL164" s="13">
        <f t="shared" si="179"/>
        <v>62.460716522234691</v>
      </c>
      <c r="EM164" s="20">
        <f t="shared" si="180"/>
        <v>559.48170794289206</v>
      </c>
      <c r="EN164" s="57">
        <f t="shared" si="128"/>
        <v>852.81504127622543</v>
      </c>
      <c r="EO164" s="57">
        <f ca="1">AVERAGE(OFFSET($EN$3,0,0,'Données projet'!$E$15+1,1))-AVERAGE(OFFSET($H$3,0,0,'Données projet'!$E$15+1,1))</f>
        <v>250.90550982248311</v>
      </c>
      <c r="EP164" s="57">
        <f t="shared" si="154"/>
        <v>254.68874167908001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8.8431827498783733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8.8431827498783733</v>
      </c>
      <c r="EZ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7" t="e">
        <f t="shared" si="131"/>
        <v>#N/A</v>
      </c>
      <c r="FJ164" s="57" t="e">
        <f ca="1">AVERAGE(OFFSET($FI$3,0,0,'Données projet'!$E$16+1,1))-AVERAGE(OFFSET($H$3,0,0,'Données projet'!$E$16+1,1))</f>
        <v>#N/A</v>
      </c>
      <c r="FK164" s="57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7" t="e">
        <f t="shared" si="134"/>
        <v>#N/A</v>
      </c>
      <c r="GE164" s="57" t="e">
        <f ca="1">AVERAGE(OFFSET($GD$3,0,0,'Données projet'!$E$17+1,1))-AVERAGE(OFFSET($H$3,0,0,'Données projet'!$E$17+1,1))</f>
        <v>#N/A</v>
      </c>
      <c r="GF164" s="57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7" t="e">
        <f t="shared" si="137"/>
        <v>#N/A</v>
      </c>
      <c r="GZ164" s="57" t="e">
        <f ca="1">AVERAGE(OFFSET($GY$3,0,0,'Données projet'!$E$18+1,1))-AVERAGE(OFFSET($H$3,0,0,'Données projet'!$E$18+1,1))</f>
        <v>#N/A</v>
      </c>
      <c r="HA164" s="57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0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4">
        <f t="shared" si="110"/>
        <v>603.64421828399406</v>
      </c>
      <c r="I165" s="6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258.61679999999996</v>
      </c>
      <c r="P165" s="13">
        <f t="shared" si="141"/>
        <v>62.427444141032439</v>
      </c>
      <c r="Q165" s="20">
        <f t="shared" si="162"/>
        <v>559.15205854563135</v>
      </c>
      <c r="R165" s="57">
        <f t="shared" si="109"/>
        <v>852.48539187896472</v>
      </c>
      <c r="S165" s="57">
        <f ca="1">AVERAGE(OFFSET($R$3,0,0,'Données projet'!$E$9+1,1))-AVERAGE(OFFSET($H$3,0,0,'Données projet'!$E$9+1,1))</f>
        <v>267.44861001389006</v>
      </c>
      <c r="T165" s="57">
        <f t="shared" si="142"/>
        <v>165.25921510802965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36.740738957567288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36.740738957567288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306.99999999999994</v>
      </c>
      <c r="AJ165" s="13">
        <f>AI165*VLOOKUP('Données projet'!$B$10,Paramètres!$A$1:$I$89,3,0)*VLOOKUP('Données projet'!$B$10,Paramètres!$A$1:$I$89,5,0)</f>
        <v>277.77359999999993</v>
      </c>
      <c r="AK165" s="13">
        <f t="shared" si="164"/>
        <v>66.496288176842356</v>
      </c>
      <c r="AL165" s="20">
        <f t="shared" si="165"/>
        <v>599.60338857466706</v>
      </c>
      <c r="AM165" s="57">
        <f t="shared" si="113"/>
        <v>892.93672190800044</v>
      </c>
      <c r="AN165" s="57">
        <f ca="1">AVERAGE(OFFSET($AM$3,0,0,'Données projet'!$E$10+1,1))-AVERAGE(OFFSET($H$3,0,0,'Données projet'!$E$10+1,1))</f>
        <v>294.92430430387071</v>
      </c>
      <c r="AO165" s="57">
        <f t="shared" si="144"/>
        <v>181.52228471516497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39.462275176646365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39.462275176646365</v>
      </c>
      <c r="AY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319</v>
      </c>
      <c r="BE165" s="13">
        <f>BD165*VLOOKUP('Données projet'!$B$11,Paramètres!$A$1:$I$89,3,0)*VLOOKUP('Données projet'!$B$11,Paramètres!$A$1:$I$89,5,0)</f>
        <v>258.77280000000002</v>
      </c>
      <c r="BF165" s="13">
        <f t="shared" si="167"/>
        <v>62.460716522234691</v>
      </c>
      <c r="BG165" s="20">
        <f t="shared" si="168"/>
        <v>559.48170794289206</v>
      </c>
      <c r="BH165" s="57">
        <f t="shared" si="116"/>
        <v>852.81504127622543</v>
      </c>
      <c r="BI165" s="57">
        <f ca="1">AVERAGE(OFFSET($BH$3,0,0,'Données projet'!$E$11+1,1))-AVERAGE(OFFSET($H$3,0,0,'Données projet'!$E$11+1,1))</f>
        <v>250.90550982248311</v>
      </c>
      <c r="BJ165" s="57">
        <f t="shared" si="146"/>
        <v>254.68874167908001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8.6697733299621422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8.6697733299621422</v>
      </c>
      <c r="BT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739.99999999999966</v>
      </c>
      <c r="BZ165" s="13">
        <f>BY165*VLOOKUP('Données projet'!$B$12,Paramètres!$A$1:$I$89,3,0)*VLOOKUP('Données projet'!$B$12,Paramètres!$A$1:$I$89,5,0)</f>
        <v>413.65999999999985</v>
      </c>
      <c r="CA165" s="13">
        <f t="shared" si="170"/>
        <v>94.540585122244352</v>
      </c>
      <c r="CB165" s="20">
        <f t="shared" si="171"/>
        <v>885.11601908790863</v>
      </c>
      <c r="CC165" s="57">
        <f t="shared" si="119"/>
        <v>1178.4493524212419</v>
      </c>
      <c r="CD165" s="57">
        <f ca="1">AVERAGE(OFFSET($CC$3,0,0,'Données projet'!$E$12+1,1))-AVERAGE(OFFSET($H$3,0,0,'Données projet'!$E$12+1,1))</f>
        <v>462.54745364638171</v>
      </c>
      <c r="CE165" s="57">
        <f t="shared" si="148"/>
        <v>571.50914830067313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16.381956800763074</v>
      </c>
      <c r="CL165" s="21">
        <f>EXP(-LN(2)/25)*CL164+(1-EXP(-LN(2)/25))/(LN(2)/25)*Calculateur!CG165*Calculateur!CI165*VLOOKUP('Données projet'!$B$12,Paramètres!$A$1:$I$89,3,0)*0.475*44/12</f>
        <v>1.4871390993871338</v>
      </c>
      <c r="CM165" s="21">
        <f>EXP(-LN(2)/2)*CM164+(1-EXP(-LN(2)/2))/(LN(2)/2)*CG165*CJ165*VLOOKUP('Données projet'!$B$12,Paramètres!$A$1:$I$89,3,0)*0.475*44/12</f>
        <v>1.1526198923513295E-20</v>
      </c>
      <c r="CN165" s="22">
        <f t="shared" si="172"/>
        <v>17.869095900150207</v>
      </c>
      <c r="CO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245.99999999999994</v>
      </c>
      <c r="CU165" s="17">
        <f>CT165*VLOOKUP('Données projet'!$B$13,Paramètres!$A$1:$I$89,3,0)*VLOOKUP('Données projet'!$B$13,Paramètres!$A$1:$I$89,5,0)</f>
        <v>234.09359999999998</v>
      </c>
      <c r="CV165" s="13">
        <f t="shared" si="173"/>
        <v>57.166902703920208</v>
      </c>
      <c r="CW165" s="20">
        <f t="shared" si="174"/>
        <v>507.27870887599425</v>
      </c>
      <c r="CX165" s="57">
        <f t="shared" si="122"/>
        <v>800.61204220932757</v>
      </c>
      <c r="CY165" s="57">
        <f ca="1">AVERAGE(OFFSET($CX$3,0,0,'Données projet'!$E$13+1,1))-AVERAGE(OFFSET($H$3,0,0,'Données projet'!$E$13+1,1))</f>
        <v>314.67680626853303</v>
      </c>
      <c r="CZ165" s="57">
        <f t="shared" si="150"/>
        <v>372.57247561536263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30.742140062233872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30.742140062233872</v>
      </c>
      <c r="DJ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319</v>
      </c>
      <c r="DP165" s="17">
        <f>DO165*VLOOKUP('Données projet'!$B$14,Paramètres!$A$1:$I$89,3,0)*VLOOKUP('Données projet'!$B$14,Paramètres!$A$1:$I$89,5,0)</f>
        <v>209.00879999999998</v>
      </c>
      <c r="DQ165" s="13">
        <f t="shared" si="176"/>
        <v>51.718923953824202</v>
      </c>
      <c r="DR165" s="20">
        <f t="shared" si="177"/>
        <v>454.10078588624373</v>
      </c>
      <c r="DS165" s="57">
        <f t="shared" si="125"/>
        <v>747.43411921957704</v>
      </c>
      <c r="DT165" s="57">
        <f ca="1">AVERAGE(OFFSET($DS$3,0,0,'Données projet'!$E$14+1,1))-AVERAGE(OFFSET($H$3,0,0,'Données projet'!$E$14+1,1))</f>
        <v>188.80259324758066</v>
      </c>
      <c r="DU165" s="57">
        <f t="shared" si="152"/>
        <v>195.48048518255354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7.0025092280463515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7.0025092280463515</v>
      </c>
      <c r="EE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319</v>
      </c>
      <c r="EK165" s="17">
        <f>EJ165*VLOOKUP('Données projet'!$B$15,Paramètres!$A$1:$I$89,3,0)*VLOOKUP('Données projet'!$B$15,Paramètres!$A$1:$I$89,5,0)</f>
        <v>258.77280000000002</v>
      </c>
      <c r="EL165" s="13">
        <f t="shared" si="179"/>
        <v>62.460716522234691</v>
      </c>
      <c r="EM165" s="20">
        <f t="shared" si="180"/>
        <v>559.48170794289206</v>
      </c>
      <c r="EN165" s="57">
        <f t="shared" si="128"/>
        <v>852.81504127622543</v>
      </c>
      <c r="EO165" s="57">
        <f ca="1">AVERAGE(OFFSET($EN$3,0,0,'Données projet'!$E$15+1,1))-AVERAGE(OFFSET($H$3,0,0,'Données projet'!$E$15+1,1))</f>
        <v>250.90550982248311</v>
      </c>
      <c r="EP165" s="57">
        <f t="shared" si="154"/>
        <v>254.68874167908001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8.6697733299621422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8.6697733299621422</v>
      </c>
      <c r="EZ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7" t="e">
        <f t="shared" si="131"/>
        <v>#N/A</v>
      </c>
      <c r="FJ165" s="57" t="e">
        <f ca="1">AVERAGE(OFFSET($FI$3,0,0,'Données projet'!$E$16+1,1))-AVERAGE(OFFSET($H$3,0,0,'Données projet'!$E$16+1,1))</f>
        <v>#N/A</v>
      </c>
      <c r="FK165" s="57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7" t="e">
        <f t="shared" si="134"/>
        <v>#N/A</v>
      </c>
      <c r="GE165" s="57" t="e">
        <f ca="1">AVERAGE(OFFSET($GD$3,0,0,'Données projet'!$E$17+1,1))-AVERAGE(OFFSET($H$3,0,0,'Données projet'!$E$17+1,1))</f>
        <v>#N/A</v>
      </c>
      <c r="GF165" s="57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7" t="e">
        <f t="shared" si="137"/>
        <v>#N/A</v>
      </c>
      <c r="GZ165" s="57" t="e">
        <f ca="1">AVERAGE(OFFSET($GY$3,0,0,'Données projet'!$E$18+1,1))-AVERAGE(OFFSET($H$3,0,0,'Données projet'!$E$18+1,1))</f>
        <v>#N/A</v>
      </c>
      <c r="HA165" s="57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0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4">
        <f t="shared" si="110"/>
        <v>605.51373360546404</v>
      </c>
      <c r="I166" s="6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258.61679999999996</v>
      </c>
      <c r="P166" s="13">
        <f t="shared" si="141"/>
        <v>62.427444141032439</v>
      </c>
      <c r="Q166" s="20">
        <f t="shared" si="162"/>
        <v>559.15205854563135</v>
      </c>
      <c r="R166" s="57">
        <f t="shared" si="109"/>
        <v>852.48539187896472</v>
      </c>
      <c r="S166" s="57">
        <f ca="1">AVERAGE(OFFSET($R$3,0,0,'Données projet'!$E$9+1,1))-AVERAGE(OFFSET($H$3,0,0,'Données projet'!$E$9+1,1))</f>
        <v>267.44861001389006</v>
      </c>
      <c r="T166" s="57">
        <f t="shared" si="142"/>
        <v>165.25921510802965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36.020275476247392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36.020275476247392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306.99999999999994</v>
      </c>
      <c r="AJ166" s="13">
        <f>AI166*VLOOKUP('Données projet'!$B$10,Paramètres!$A$1:$I$89,3,0)*VLOOKUP('Données projet'!$B$10,Paramètres!$A$1:$I$89,5,0)</f>
        <v>277.77359999999993</v>
      </c>
      <c r="AK166" s="13">
        <f t="shared" si="164"/>
        <v>66.496288176842356</v>
      </c>
      <c r="AL166" s="20">
        <f t="shared" si="165"/>
        <v>599.60338857466706</v>
      </c>
      <c r="AM166" s="57">
        <f t="shared" si="113"/>
        <v>892.93672190800044</v>
      </c>
      <c r="AN166" s="57">
        <f ca="1">AVERAGE(OFFSET($AM$3,0,0,'Données projet'!$E$10+1,1))-AVERAGE(OFFSET($H$3,0,0,'Données projet'!$E$10+1,1))</f>
        <v>294.92430430387071</v>
      </c>
      <c r="AO166" s="57">
        <f t="shared" si="144"/>
        <v>181.52228471516497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38.688444030043513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38.688444030043513</v>
      </c>
      <c r="AY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319</v>
      </c>
      <c r="BE166" s="13">
        <f>BD166*VLOOKUP('Données projet'!$B$11,Paramètres!$A$1:$I$89,3,0)*VLOOKUP('Données projet'!$B$11,Paramètres!$A$1:$I$89,5,0)</f>
        <v>258.77280000000002</v>
      </c>
      <c r="BF166" s="13">
        <f t="shared" si="167"/>
        <v>62.460716522234691</v>
      </c>
      <c r="BG166" s="20">
        <f t="shared" si="168"/>
        <v>559.48170794289206</v>
      </c>
      <c r="BH166" s="57">
        <f t="shared" si="116"/>
        <v>852.81504127622543</v>
      </c>
      <c r="BI166" s="57">
        <f ca="1">AVERAGE(OFFSET($BH$3,0,0,'Données projet'!$E$11+1,1))-AVERAGE(OFFSET($H$3,0,0,'Données projet'!$E$11+1,1))</f>
        <v>250.90550982248311</v>
      </c>
      <c r="BJ166" s="57">
        <f t="shared" si="146"/>
        <v>254.68874167908001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8.4997643630011659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8.4997643630011659</v>
      </c>
      <c r="BT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739.99999999999966</v>
      </c>
      <c r="BZ166" s="13">
        <f>BY166*VLOOKUP('Données projet'!$B$12,Paramètres!$A$1:$I$89,3,0)*VLOOKUP('Données projet'!$B$12,Paramètres!$A$1:$I$89,5,0)</f>
        <v>413.65999999999985</v>
      </c>
      <c r="CA166" s="13">
        <f t="shared" si="170"/>
        <v>94.540585122244352</v>
      </c>
      <c r="CB166" s="20">
        <f t="shared" si="171"/>
        <v>885.11601908790863</v>
      </c>
      <c r="CC166" s="57">
        <f t="shared" si="119"/>
        <v>1178.4493524212419</v>
      </c>
      <c r="CD166" s="57">
        <f ca="1">AVERAGE(OFFSET($CC$3,0,0,'Données projet'!$E$12+1,1))-AVERAGE(OFFSET($H$3,0,0,'Données projet'!$E$12+1,1))</f>
        <v>462.54745364638171</v>
      </c>
      <c r="CE166" s="57">
        <f t="shared" si="148"/>
        <v>571.50914830067313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16.060716619907129</v>
      </c>
      <c r="CL166" s="21">
        <f>EXP(-LN(2)/25)*CL165+(1-EXP(-LN(2)/25))/(LN(2)/25)*Calculateur!CG166*Calculateur!CI166*VLOOKUP('Données projet'!$B$12,Paramètres!$A$1:$I$89,3,0)*0.475*44/12</f>
        <v>1.4464732025091462</v>
      </c>
      <c r="CM166" s="21">
        <f>EXP(-LN(2)/2)*CM165+(1-EXP(-LN(2)/2))/(LN(2)/2)*CG166*CJ166*VLOOKUP('Données projet'!$B$12,Paramètres!$A$1:$I$89,3,0)*0.475*44/12</f>
        <v>8.150253420121335E-21</v>
      </c>
      <c r="CN166" s="22">
        <f t="shared" si="172"/>
        <v>17.507189822416276</v>
      </c>
      <c r="CO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245.99999999999994</v>
      </c>
      <c r="CU166" s="17">
        <f>CT166*VLOOKUP('Données projet'!$B$13,Paramètres!$A$1:$I$89,3,0)*VLOOKUP('Données projet'!$B$13,Paramètres!$A$1:$I$89,5,0)</f>
        <v>234.09359999999998</v>
      </c>
      <c r="CV166" s="13">
        <f t="shared" si="173"/>
        <v>57.166902703920208</v>
      </c>
      <c r="CW166" s="20">
        <f t="shared" si="174"/>
        <v>507.27870887599425</v>
      </c>
      <c r="CX166" s="57">
        <f t="shared" si="122"/>
        <v>800.61204220932757</v>
      </c>
      <c r="CY166" s="57">
        <f ca="1">AVERAGE(OFFSET($CX$3,0,0,'Données projet'!$E$13+1,1))-AVERAGE(OFFSET($H$3,0,0,'Données projet'!$E$13+1,1))</f>
        <v>314.67680626853303</v>
      </c>
      <c r="CZ166" s="57">
        <f t="shared" si="150"/>
        <v>372.57247561536263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30.139305446467411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30.139305446467411</v>
      </c>
      <c r="DJ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319</v>
      </c>
      <c r="DP166" s="17">
        <f>DO166*VLOOKUP('Données projet'!$B$14,Paramètres!$A$1:$I$89,3,0)*VLOOKUP('Données projet'!$B$14,Paramètres!$A$1:$I$89,5,0)</f>
        <v>209.00879999999998</v>
      </c>
      <c r="DQ166" s="13">
        <f t="shared" si="176"/>
        <v>51.718923953824202</v>
      </c>
      <c r="DR166" s="20">
        <f t="shared" si="177"/>
        <v>454.10078588624373</v>
      </c>
      <c r="DS166" s="57">
        <f t="shared" si="125"/>
        <v>747.43411921957704</v>
      </c>
      <c r="DT166" s="57">
        <f ca="1">AVERAGE(OFFSET($DS$3,0,0,'Données projet'!$E$14+1,1))-AVERAGE(OFFSET($H$3,0,0,'Données projet'!$E$14+1,1))</f>
        <v>188.80259324758066</v>
      </c>
      <c r="DU166" s="57">
        <f t="shared" si="152"/>
        <v>195.48048518255354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6.8651942931932544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6.8651942931932544</v>
      </c>
      <c r="EE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319</v>
      </c>
      <c r="EK166" s="17">
        <f>EJ166*VLOOKUP('Données projet'!$B$15,Paramètres!$A$1:$I$89,3,0)*VLOOKUP('Données projet'!$B$15,Paramètres!$A$1:$I$89,5,0)</f>
        <v>258.77280000000002</v>
      </c>
      <c r="EL166" s="13">
        <f t="shared" si="179"/>
        <v>62.460716522234691</v>
      </c>
      <c r="EM166" s="20">
        <f t="shared" si="180"/>
        <v>559.48170794289206</v>
      </c>
      <c r="EN166" s="57">
        <f t="shared" si="128"/>
        <v>852.81504127622543</v>
      </c>
      <c r="EO166" s="57">
        <f ca="1">AVERAGE(OFFSET($EN$3,0,0,'Données projet'!$E$15+1,1))-AVERAGE(OFFSET($H$3,0,0,'Données projet'!$E$15+1,1))</f>
        <v>250.90550982248311</v>
      </c>
      <c r="EP166" s="57">
        <f t="shared" si="154"/>
        <v>254.68874167908001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8.4997643630011659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8.4997643630011659</v>
      </c>
      <c r="EZ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7" t="e">
        <f t="shared" si="131"/>
        <v>#N/A</v>
      </c>
      <c r="FJ166" s="57" t="e">
        <f ca="1">AVERAGE(OFFSET($FI$3,0,0,'Données projet'!$E$16+1,1))-AVERAGE(OFFSET($H$3,0,0,'Données projet'!$E$16+1,1))</f>
        <v>#N/A</v>
      </c>
      <c r="FK166" s="57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7" t="e">
        <f t="shared" si="134"/>
        <v>#N/A</v>
      </c>
      <c r="GE166" s="57" t="e">
        <f ca="1">AVERAGE(OFFSET($GD$3,0,0,'Données projet'!$E$17+1,1))-AVERAGE(OFFSET($H$3,0,0,'Données projet'!$E$17+1,1))</f>
        <v>#N/A</v>
      </c>
      <c r="GF166" s="57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7" t="e">
        <f t="shared" si="137"/>
        <v>#N/A</v>
      </c>
      <c r="GZ166" s="57" t="e">
        <f ca="1">AVERAGE(OFFSET($GY$3,0,0,'Données projet'!$E$18+1,1))-AVERAGE(OFFSET($H$3,0,0,'Données projet'!$E$18+1,1))</f>
        <v>#N/A</v>
      </c>
      <c r="HA166" s="57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0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4">
        <f t="shared" si="110"/>
        <v>607.38300050690668</v>
      </c>
      <c r="I167" s="6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258.61679999999996</v>
      </c>
      <c r="P167" s="13">
        <f t="shared" si="141"/>
        <v>62.427444141032439</v>
      </c>
      <c r="Q167" s="20">
        <f t="shared" si="162"/>
        <v>559.15205854563135</v>
      </c>
      <c r="R167" s="57">
        <f t="shared" si="109"/>
        <v>852.48539187896472</v>
      </c>
      <c r="S167" s="57">
        <f ca="1">AVERAGE(OFFSET($R$3,0,0,'Données projet'!$E$9+1,1))-AVERAGE(OFFSET($H$3,0,0,'Données projet'!$E$9+1,1))</f>
        <v>267.44861001389006</v>
      </c>
      <c r="T167" s="57">
        <f t="shared" si="142"/>
        <v>165.25921510802965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35.313939844356845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35.313939844356845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306.99999999999994</v>
      </c>
      <c r="AJ167" s="13">
        <f>AI167*VLOOKUP('Données projet'!$B$10,Paramètres!$A$1:$I$89,3,0)*VLOOKUP('Données projet'!$B$10,Paramètres!$A$1:$I$89,5,0)</f>
        <v>277.77359999999993</v>
      </c>
      <c r="AK167" s="13">
        <f t="shared" si="164"/>
        <v>66.496288176842356</v>
      </c>
      <c r="AL167" s="20">
        <f t="shared" si="165"/>
        <v>599.60338857466706</v>
      </c>
      <c r="AM167" s="57">
        <f t="shared" si="113"/>
        <v>892.93672190800044</v>
      </c>
      <c r="AN167" s="57">
        <f ca="1">AVERAGE(OFFSET($AM$3,0,0,'Données projet'!$E$10+1,1))-AVERAGE(OFFSET($H$3,0,0,'Données projet'!$E$10+1,1))</f>
        <v>294.92430430387071</v>
      </c>
      <c r="AO167" s="57">
        <f t="shared" si="144"/>
        <v>181.52228471516497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37.929787240235143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37.929787240235143</v>
      </c>
      <c r="AY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319</v>
      </c>
      <c r="BE167" s="13">
        <f>BD167*VLOOKUP('Données projet'!$B$11,Paramètres!$A$1:$I$89,3,0)*VLOOKUP('Données projet'!$B$11,Paramètres!$A$1:$I$89,5,0)</f>
        <v>258.77280000000002</v>
      </c>
      <c r="BF167" s="13">
        <f t="shared" si="167"/>
        <v>62.460716522234691</v>
      </c>
      <c r="BG167" s="20">
        <f t="shared" si="168"/>
        <v>559.48170794289206</v>
      </c>
      <c r="BH167" s="57">
        <f t="shared" si="116"/>
        <v>852.81504127622543</v>
      </c>
      <c r="BI167" s="57">
        <f ca="1">AVERAGE(OFFSET($BH$3,0,0,'Données projet'!$E$11+1,1))-AVERAGE(OFFSET($H$3,0,0,'Données projet'!$E$11+1,1))</f>
        <v>250.90550982248311</v>
      </c>
      <c r="BJ167" s="57">
        <f t="shared" si="146"/>
        <v>254.68874167908001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8.3330891681870636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8.3330891681870636</v>
      </c>
      <c r="BT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739.99999999999966</v>
      </c>
      <c r="BZ167" s="13">
        <f>BY167*VLOOKUP('Données projet'!$B$12,Paramètres!$A$1:$I$89,3,0)*VLOOKUP('Données projet'!$B$12,Paramètres!$A$1:$I$89,5,0)</f>
        <v>413.65999999999985</v>
      </c>
      <c r="CA167" s="13">
        <f t="shared" si="170"/>
        <v>94.540585122244352</v>
      </c>
      <c r="CB167" s="20">
        <f t="shared" si="171"/>
        <v>885.11601908790863</v>
      </c>
      <c r="CC167" s="57">
        <f t="shared" si="119"/>
        <v>1178.4493524212419</v>
      </c>
      <c r="CD167" s="57">
        <f ca="1">AVERAGE(OFFSET($CC$3,0,0,'Données projet'!$E$12+1,1))-AVERAGE(OFFSET($H$3,0,0,'Données projet'!$E$12+1,1))</f>
        <v>462.54745364638171</v>
      </c>
      <c r="CE167" s="57">
        <f t="shared" si="148"/>
        <v>571.50914830067313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15.745775763060607</v>
      </c>
      <c r="CL167" s="21">
        <f>EXP(-LN(2)/25)*CL166+(1-EXP(-LN(2)/25))/(LN(2)/25)*Calculateur!CG167*Calculateur!CI167*VLOOKUP('Données projet'!$B$12,Paramètres!$A$1:$I$89,3,0)*0.475*44/12</f>
        <v>1.406919316719814</v>
      </c>
      <c r="CM167" s="21">
        <f>EXP(-LN(2)/2)*CM166+(1-EXP(-LN(2)/2))/(LN(2)/2)*CG167*CJ167*VLOOKUP('Données projet'!$B$12,Paramètres!$A$1:$I$89,3,0)*0.475*44/12</f>
        <v>5.7630994617566475E-21</v>
      </c>
      <c r="CN167" s="22">
        <f t="shared" si="172"/>
        <v>17.152695079780422</v>
      </c>
      <c r="CO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245.99999999999994</v>
      </c>
      <c r="CU167" s="17">
        <f>CT167*VLOOKUP('Données projet'!$B$13,Paramètres!$A$1:$I$89,3,0)*VLOOKUP('Données projet'!$B$13,Paramètres!$A$1:$I$89,5,0)</f>
        <v>234.09359999999998</v>
      </c>
      <c r="CV167" s="13">
        <f t="shared" si="173"/>
        <v>57.166902703920208</v>
      </c>
      <c r="CW167" s="20">
        <f t="shared" si="174"/>
        <v>507.27870887599425</v>
      </c>
      <c r="CX167" s="57">
        <f t="shared" si="122"/>
        <v>800.61204220932757</v>
      </c>
      <c r="CY167" s="57">
        <f ca="1">AVERAGE(OFFSET($CX$3,0,0,'Données projet'!$E$13+1,1))-AVERAGE(OFFSET($H$3,0,0,'Données projet'!$E$13+1,1))</f>
        <v>314.67680626853303</v>
      </c>
      <c r="CZ167" s="57">
        <f t="shared" si="150"/>
        <v>372.57247561536263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29.548292049823321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29.548292049823321</v>
      </c>
      <c r="DJ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319</v>
      </c>
      <c r="DP167" s="17">
        <f>DO167*VLOOKUP('Données projet'!$B$14,Paramètres!$A$1:$I$89,3,0)*VLOOKUP('Données projet'!$B$14,Paramètres!$A$1:$I$89,5,0)</f>
        <v>209.00879999999998</v>
      </c>
      <c r="DQ167" s="13">
        <f t="shared" si="176"/>
        <v>51.718923953824202</v>
      </c>
      <c r="DR167" s="20">
        <f t="shared" si="177"/>
        <v>454.10078588624373</v>
      </c>
      <c r="DS167" s="57">
        <f t="shared" si="125"/>
        <v>747.43411921957704</v>
      </c>
      <c r="DT167" s="57">
        <f ca="1">AVERAGE(OFFSET($DS$3,0,0,'Données projet'!$E$14+1,1))-AVERAGE(OFFSET($H$3,0,0,'Données projet'!$E$14+1,1))</f>
        <v>188.80259324758066</v>
      </c>
      <c r="DU167" s="57">
        <f t="shared" si="152"/>
        <v>195.48048518255354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6.7305720204587862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6.7305720204587862</v>
      </c>
      <c r="EE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319</v>
      </c>
      <c r="EK167" s="17">
        <f>EJ167*VLOOKUP('Données projet'!$B$15,Paramètres!$A$1:$I$89,3,0)*VLOOKUP('Données projet'!$B$15,Paramètres!$A$1:$I$89,5,0)</f>
        <v>258.77280000000002</v>
      </c>
      <c r="EL167" s="13">
        <f t="shared" si="179"/>
        <v>62.460716522234691</v>
      </c>
      <c r="EM167" s="20">
        <f t="shared" si="180"/>
        <v>559.48170794289206</v>
      </c>
      <c r="EN167" s="57">
        <f t="shared" si="128"/>
        <v>852.81504127622543</v>
      </c>
      <c r="EO167" s="57">
        <f ca="1">AVERAGE(OFFSET($EN$3,0,0,'Données projet'!$E$15+1,1))-AVERAGE(OFFSET($H$3,0,0,'Données projet'!$E$15+1,1))</f>
        <v>250.90550982248311</v>
      </c>
      <c r="EP167" s="57">
        <f t="shared" si="154"/>
        <v>254.68874167908001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8.3330891681870636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8.3330891681870636</v>
      </c>
      <c r="EZ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7" t="e">
        <f t="shared" si="131"/>
        <v>#N/A</v>
      </c>
      <c r="FJ167" s="57" t="e">
        <f ca="1">AVERAGE(OFFSET($FI$3,0,0,'Données projet'!$E$16+1,1))-AVERAGE(OFFSET($H$3,0,0,'Données projet'!$E$16+1,1))</f>
        <v>#N/A</v>
      </c>
      <c r="FK167" s="57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7" t="e">
        <f t="shared" si="134"/>
        <v>#N/A</v>
      </c>
      <c r="GE167" s="57" t="e">
        <f ca="1">AVERAGE(OFFSET($GD$3,0,0,'Données projet'!$E$17+1,1))-AVERAGE(OFFSET($H$3,0,0,'Données projet'!$E$17+1,1))</f>
        <v>#N/A</v>
      </c>
      <c r="GF167" s="57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7" t="e">
        <f t="shared" si="137"/>
        <v>#N/A</v>
      </c>
      <c r="GZ167" s="57" t="e">
        <f ca="1">AVERAGE(OFFSET($GY$3,0,0,'Données projet'!$E$18+1,1))-AVERAGE(OFFSET($H$3,0,0,'Données projet'!$E$18+1,1))</f>
        <v>#N/A</v>
      </c>
      <c r="HA167" s="57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0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4">
        <f t="shared" si="110"/>
        <v>609.25202067881696</v>
      </c>
      <c r="I168" s="6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258.61679999999996</v>
      </c>
      <c r="P168" s="13">
        <f t="shared" si="141"/>
        <v>62.427444141032439</v>
      </c>
      <c r="Q168" s="20">
        <f t="shared" si="162"/>
        <v>559.15205854563135</v>
      </c>
      <c r="R168" s="57">
        <f t="shared" si="109"/>
        <v>852.48539187896472</v>
      </c>
      <c r="S168" s="57">
        <f ca="1">AVERAGE(OFFSET($R$3,0,0,'Données projet'!$E$9+1,1))-AVERAGE(OFFSET($H$3,0,0,'Données projet'!$E$9+1,1))</f>
        <v>267.44861001389006</v>
      </c>
      <c r="T168" s="57">
        <f t="shared" si="142"/>
        <v>165.25921510802965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34.621455023385472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34.621455023385472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306.99999999999994</v>
      </c>
      <c r="AJ168" s="13">
        <f>AI168*VLOOKUP('Données projet'!$B$10,Paramètres!$A$1:$I$89,3,0)*VLOOKUP('Données projet'!$B$10,Paramètres!$A$1:$I$89,5,0)</f>
        <v>277.77359999999993</v>
      </c>
      <c r="AK168" s="13">
        <f t="shared" si="164"/>
        <v>66.496288176842356</v>
      </c>
      <c r="AL168" s="20">
        <f t="shared" si="165"/>
        <v>599.60338857466706</v>
      </c>
      <c r="AM168" s="57">
        <f t="shared" si="113"/>
        <v>892.93672190800044</v>
      </c>
      <c r="AN168" s="57">
        <f ca="1">AVERAGE(OFFSET($AM$3,0,0,'Données projet'!$E$10+1,1))-AVERAGE(OFFSET($H$3,0,0,'Données projet'!$E$10+1,1))</f>
        <v>294.92430430387071</v>
      </c>
      <c r="AO168" s="57">
        <f t="shared" si="144"/>
        <v>181.52228471516497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37.186007247339965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37.186007247339965</v>
      </c>
      <c r="AY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319</v>
      </c>
      <c r="BE168" s="13">
        <f>BD168*VLOOKUP('Données projet'!$B$11,Paramètres!$A$1:$I$89,3,0)*VLOOKUP('Données projet'!$B$11,Paramètres!$A$1:$I$89,5,0)</f>
        <v>258.77280000000002</v>
      </c>
      <c r="BF168" s="13">
        <f t="shared" si="167"/>
        <v>62.460716522234691</v>
      </c>
      <c r="BG168" s="20">
        <f t="shared" si="168"/>
        <v>559.48170794289206</v>
      </c>
      <c r="BH168" s="57">
        <f t="shared" si="116"/>
        <v>852.81504127622543</v>
      </c>
      <c r="BI168" s="57">
        <f ca="1">AVERAGE(OFFSET($BH$3,0,0,'Données projet'!$E$11+1,1))-AVERAGE(OFFSET($H$3,0,0,'Données projet'!$E$11+1,1))</f>
        <v>250.90550982248311</v>
      </c>
      <c r="BJ168" s="57">
        <f t="shared" si="146"/>
        <v>254.68874167908001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8.169682372281434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8.169682372281434</v>
      </c>
      <c r="BT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739.99999999999966</v>
      </c>
      <c r="BZ168" s="13">
        <f>BY168*VLOOKUP('Données projet'!$B$12,Paramètres!$A$1:$I$89,3,0)*VLOOKUP('Données projet'!$B$12,Paramètres!$A$1:$I$89,5,0)</f>
        <v>413.65999999999985</v>
      </c>
      <c r="CA168" s="13">
        <f t="shared" si="170"/>
        <v>94.540585122244352</v>
      </c>
      <c r="CB168" s="20">
        <f t="shared" si="171"/>
        <v>885.11601908790863</v>
      </c>
      <c r="CC168" s="57">
        <f t="shared" si="119"/>
        <v>1178.4493524212419</v>
      </c>
      <c r="CD168" s="57">
        <f ca="1">AVERAGE(OFFSET($CC$3,0,0,'Données projet'!$E$12+1,1))-AVERAGE(OFFSET($H$3,0,0,'Données projet'!$E$12+1,1))</f>
        <v>462.54745364638171</v>
      </c>
      <c r="CE168" s="57">
        <f t="shared" si="148"/>
        <v>571.50914830067313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15.43701070432189</v>
      </c>
      <c r="CL168" s="21">
        <f>EXP(-LN(2)/25)*CL167+(1-EXP(-LN(2)/25))/(LN(2)/25)*Calculateur!CG168*Calculateur!CI168*VLOOKUP('Données projet'!$B$12,Paramètres!$A$1:$I$89,3,0)*0.475*44/12</f>
        <v>1.3684470340174393</v>
      </c>
      <c r="CM168" s="21">
        <f>EXP(-LN(2)/2)*CM167+(1-EXP(-LN(2)/2))/(LN(2)/2)*CG168*CJ168*VLOOKUP('Données projet'!$B$12,Paramètres!$A$1:$I$89,3,0)*0.475*44/12</f>
        <v>4.0751267100606675E-21</v>
      </c>
      <c r="CN168" s="22">
        <f t="shared" si="172"/>
        <v>16.805457738339328</v>
      </c>
      <c r="CO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245.99999999999994</v>
      </c>
      <c r="CU168" s="17">
        <f>CT168*VLOOKUP('Données projet'!$B$13,Paramètres!$A$1:$I$89,3,0)*VLOOKUP('Données projet'!$B$13,Paramètres!$A$1:$I$89,5,0)</f>
        <v>234.09359999999998</v>
      </c>
      <c r="CV168" s="13">
        <f t="shared" si="173"/>
        <v>57.166902703920208</v>
      </c>
      <c r="CW168" s="20">
        <f t="shared" si="174"/>
        <v>507.27870887599425</v>
      </c>
      <c r="CX168" s="57">
        <f t="shared" si="122"/>
        <v>800.61204220932757</v>
      </c>
      <c r="CY168" s="57">
        <f ca="1">AVERAGE(OFFSET($CX$3,0,0,'Données projet'!$E$13+1,1))-AVERAGE(OFFSET($H$3,0,0,'Données projet'!$E$13+1,1))</f>
        <v>314.67680626853303</v>
      </c>
      <c r="CZ168" s="57">
        <f t="shared" si="150"/>
        <v>372.57247561536263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28.968868065404845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28.968868065404845</v>
      </c>
      <c r="DJ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319</v>
      </c>
      <c r="DP168" s="17">
        <f>DO168*VLOOKUP('Données projet'!$B$14,Paramètres!$A$1:$I$89,3,0)*VLOOKUP('Données projet'!$B$14,Paramètres!$A$1:$I$89,5,0)</f>
        <v>209.00879999999998</v>
      </c>
      <c r="DQ168" s="13">
        <f t="shared" si="176"/>
        <v>51.718923953824202</v>
      </c>
      <c r="DR168" s="20">
        <f t="shared" si="177"/>
        <v>454.10078588624373</v>
      </c>
      <c r="DS168" s="57">
        <f t="shared" si="125"/>
        <v>747.43411921957704</v>
      </c>
      <c r="DT168" s="57">
        <f ca="1">AVERAGE(OFFSET($DS$3,0,0,'Données projet'!$E$14+1,1))-AVERAGE(OFFSET($H$3,0,0,'Données projet'!$E$14+1,1))</f>
        <v>188.80259324758066</v>
      </c>
      <c r="DU168" s="57">
        <f t="shared" si="152"/>
        <v>195.48048518255354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6.5985896083811628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6.5985896083811628</v>
      </c>
      <c r="EE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319</v>
      </c>
      <c r="EK168" s="17">
        <f>EJ168*VLOOKUP('Données projet'!$B$15,Paramètres!$A$1:$I$89,3,0)*VLOOKUP('Données projet'!$B$15,Paramètres!$A$1:$I$89,5,0)</f>
        <v>258.77280000000002</v>
      </c>
      <c r="EL168" s="13">
        <f t="shared" si="179"/>
        <v>62.460716522234691</v>
      </c>
      <c r="EM168" s="20">
        <f t="shared" si="180"/>
        <v>559.48170794289206</v>
      </c>
      <c r="EN168" s="57">
        <f t="shared" si="128"/>
        <v>852.81504127622543</v>
      </c>
      <c r="EO168" s="57">
        <f ca="1">AVERAGE(OFFSET($EN$3,0,0,'Données projet'!$E$15+1,1))-AVERAGE(OFFSET($H$3,0,0,'Données projet'!$E$15+1,1))</f>
        <v>250.90550982248311</v>
      </c>
      <c r="EP168" s="57">
        <f t="shared" si="154"/>
        <v>254.68874167908001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8.169682372281434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8.169682372281434</v>
      </c>
      <c r="EZ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7" t="e">
        <f t="shared" si="131"/>
        <v>#N/A</v>
      </c>
      <c r="FJ168" s="57" t="e">
        <f ca="1">AVERAGE(OFFSET($FI$3,0,0,'Données projet'!$E$16+1,1))-AVERAGE(OFFSET($H$3,0,0,'Données projet'!$E$16+1,1))</f>
        <v>#N/A</v>
      </c>
      <c r="FK168" s="57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7" t="e">
        <f t="shared" si="134"/>
        <v>#N/A</v>
      </c>
      <c r="GE168" s="57" t="e">
        <f ca="1">AVERAGE(OFFSET($GD$3,0,0,'Données projet'!$E$17+1,1))-AVERAGE(OFFSET($H$3,0,0,'Données projet'!$E$17+1,1))</f>
        <v>#N/A</v>
      </c>
      <c r="GF168" s="57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7" t="e">
        <f t="shared" si="137"/>
        <v>#N/A</v>
      </c>
      <c r="GZ168" s="57" t="e">
        <f ca="1">AVERAGE(OFFSET($GY$3,0,0,'Données projet'!$E$18+1,1))-AVERAGE(OFFSET($H$3,0,0,'Données projet'!$E$18+1,1))</f>
        <v>#N/A</v>
      </c>
      <c r="HA168" s="57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0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4">
        <f t="shared" si="110"/>
        <v>611.12079579001363</v>
      </c>
      <c r="I169" s="6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258.61679999999996</v>
      </c>
      <c r="P169" s="13">
        <f t="shared" si="141"/>
        <v>62.427444141032439</v>
      </c>
      <c r="Q169" s="20">
        <f t="shared" si="162"/>
        <v>559.15205854563135</v>
      </c>
      <c r="R169" s="57">
        <f t="shared" si="109"/>
        <v>852.48539187896472</v>
      </c>
      <c r="S169" s="57">
        <f ca="1">AVERAGE(OFFSET($R$3,0,0,'Données projet'!$E$9+1,1))-AVERAGE(OFFSET($H$3,0,0,'Données projet'!$E$9+1,1))</f>
        <v>267.44861001389006</v>
      </c>
      <c r="T169" s="57">
        <f t="shared" si="142"/>
        <v>165.25921510802965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33.942549407379317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33.942549407379317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306.99999999999994</v>
      </c>
      <c r="AJ169" s="13">
        <f>AI169*VLOOKUP('Données projet'!$B$10,Paramètres!$A$1:$I$89,3,0)*VLOOKUP('Données projet'!$B$10,Paramètres!$A$1:$I$89,5,0)</f>
        <v>277.77359999999993</v>
      </c>
      <c r="AK169" s="13">
        <f t="shared" si="164"/>
        <v>66.496288176842356</v>
      </c>
      <c r="AL169" s="20">
        <f t="shared" si="165"/>
        <v>599.60338857466706</v>
      </c>
      <c r="AM169" s="57">
        <f t="shared" si="113"/>
        <v>892.93672190800044</v>
      </c>
      <c r="AN169" s="57">
        <f ca="1">AVERAGE(OFFSET($AM$3,0,0,'Données projet'!$E$10+1,1))-AVERAGE(OFFSET($H$3,0,0,'Données projet'!$E$10+1,1))</f>
        <v>294.92430430387071</v>
      </c>
      <c r="AO169" s="57">
        <f t="shared" si="144"/>
        <v>181.52228471516497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36.456812326444464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36.456812326444464</v>
      </c>
      <c r="AY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319</v>
      </c>
      <c r="BE169" s="13">
        <f>BD169*VLOOKUP('Données projet'!$B$11,Paramètres!$A$1:$I$89,3,0)*VLOOKUP('Données projet'!$B$11,Paramètres!$A$1:$I$89,5,0)</f>
        <v>258.77280000000002</v>
      </c>
      <c r="BF169" s="13">
        <f t="shared" si="167"/>
        <v>62.460716522234691</v>
      </c>
      <c r="BG169" s="20">
        <f t="shared" si="168"/>
        <v>559.48170794289206</v>
      </c>
      <c r="BH169" s="57">
        <f t="shared" si="116"/>
        <v>852.81504127622543</v>
      </c>
      <c r="BI169" s="57">
        <f ca="1">AVERAGE(OFFSET($BH$3,0,0,'Données projet'!$E$11+1,1))-AVERAGE(OFFSET($H$3,0,0,'Données projet'!$E$11+1,1))</f>
        <v>250.90550982248311</v>
      </c>
      <c r="BJ169" s="57">
        <f t="shared" si="146"/>
        <v>254.68874167908001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8.0094798839752102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8.0094798839752102</v>
      </c>
      <c r="BT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739.99999999999966</v>
      </c>
      <c r="BZ169" s="13">
        <f>BY169*VLOOKUP('Données projet'!$B$12,Paramètres!$A$1:$I$89,3,0)*VLOOKUP('Données projet'!$B$12,Paramètres!$A$1:$I$89,5,0)</f>
        <v>413.65999999999985</v>
      </c>
      <c r="CA169" s="13">
        <f t="shared" si="170"/>
        <v>94.540585122244352</v>
      </c>
      <c r="CB169" s="20">
        <f t="shared" si="171"/>
        <v>885.11601908790863</v>
      </c>
      <c r="CC169" s="57">
        <f t="shared" si="119"/>
        <v>1178.4493524212419</v>
      </c>
      <c r="CD169" s="57">
        <f ca="1">AVERAGE(OFFSET($CC$3,0,0,'Données projet'!$E$12+1,1))-AVERAGE(OFFSET($H$3,0,0,'Données projet'!$E$12+1,1))</f>
        <v>462.54745364638171</v>
      </c>
      <c r="CE169" s="57">
        <f t="shared" si="148"/>
        <v>571.50914830067313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15.134300340056949</v>
      </c>
      <c r="CL169" s="21">
        <f>EXP(-LN(2)/25)*CL168+(1-EXP(-LN(2)/25))/(LN(2)/25)*Calculateur!CG169*Calculateur!CI169*VLOOKUP('Données projet'!$B$12,Paramètres!$A$1:$I$89,3,0)*0.475*44/12</f>
        <v>1.3310267779087306</v>
      </c>
      <c r="CM169" s="21">
        <f>EXP(-LN(2)/2)*CM168+(1-EXP(-LN(2)/2))/(LN(2)/2)*CG169*CJ169*VLOOKUP('Données projet'!$B$12,Paramètres!$A$1:$I$89,3,0)*0.475*44/12</f>
        <v>2.8815497308783238E-21</v>
      </c>
      <c r="CN169" s="22">
        <f t="shared" si="172"/>
        <v>16.465327117965678</v>
      </c>
      <c r="CO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245.99999999999994</v>
      </c>
      <c r="CU169" s="17">
        <f>CT169*VLOOKUP('Données projet'!$B$13,Paramètres!$A$1:$I$89,3,0)*VLOOKUP('Données projet'!$B$13,Paramètres!$A$1:$I$89,5,0)</f>
        <v>234.09359999999998</v>
      </c>
      <c r="CV169" s="13">
        <f t="shared" si="173"/>
        <v>57.166902703920208</v>
      </c>
      <c r="CW169" s="20">
        <f t="shared" si="174"/>
        <v>507.27870887599425</v>
      </c>
      <c r="CX169" s="57">
        <f t="shared" si="122"/>
        <v>800.61204220932757</v>
      </c>
      <c r="CY169" s="57">
        <f ca="1">AVERAGE(OFFSET($CX$3,0,0,'Données projet'!$E$13+1,1))-AVERAGE(OFFSET($H$3,0,0,'Données projet'!$E$13+1,1))</f>
        <v>314.67680626853303</v>
      </c>
      <c r="CZ169" s="57">
        <f t="shared" si="150"/>
        <v>372.57247561536263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28.40080623190708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28.40080623190708</v>
      </c>
      <c r="DJ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319</v>
      </c>
      <c r="DP169" s="17">
        <f>DO169*VLOOKUP('Données projet'!$B$14,Paramètres!$A$1:$I$89,3,0)*VLOOKUP('Données projet'!$B$14,Paramètres!$A$1:$I$89,5,0)</f>
        <v>209.00879999999998</v>
      </c>
      <c r="DQ169" s="13">
        <f t="shared" si="176"/>
        <v>51.718923953824202</v>
      </c>
      <c r="DR169" s="20">
        <f t="shared" si="177"/>
        <v>454.10078588624373</v>
      </c>
      <c r="DS169" s="57">
        <f t="shared" si="125"/>
        <v>747.43411921957704</v>
      </c>
      <c r="DT169" s="57">
        <f ca="1">AVERAGE(OFFSET($DS$3,0,0,'Données projet'!$E$14+1,1))-AVERAGE(OFFSET($H$3,0,0,'Données projet'!$E$14+1,1))</f>
        <v>188.80259324758066</v>
      </c>
      <c r="DU169" s="57">
        <f t="shared" si="152"/>
        <v>195.48048518255354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6.469195290903059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6.469195290903059</v>
      </c>
      <c r="EE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319</v>
      </c>
      <c r="EK169" s="17">
        <f>EJ169*VLOOKUP('Données projet'!$B$15,Paramètres!$A$1:$I$89,3,0)*VLOOKUP('Données projet'!$B$15,Paramètres!$A$1:$I$89,5,0)</f>
        <v>258.77280000000002</v>
      </c>
      <c r="EL169" s="13">
        <f t="shared" si="179"/>
        <v>62.460716522234691</v>
      </c>
      <c r="EM169" s="20">
        <f t="shared" si="180"/>
        <v>559.48170794289206</v>
      </c>
      <c r="EN169" s="57">
        <f t="shared" si="128"/>
        <v>852.81504127622543</v>
      </c>
      <c r="EO169" s="57">
        <f ca="1">AVERAGE(OFFSET($EN$3,0,0,'Données projet'!$E$15+1,1))-AVERAGE(OFFSET($H$3,0,0,'Données projet'!$E$15+1,1))</f>
        <v>250.90550982248311</v>
      </c>
      <c r="EP169" s="57">
        <f t="shared" si="154"/>
        <v>254.68874167908001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8.0094798839752102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8.0094798839752102</v>
      </c>
      <c r="EZ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7" t="e">
        <f t="shared" si="131"/>
        <v>#N/A</v>
      </c>
      <c r="FJ169" s="57" t="e">
        <f ca="1">AVERAGE(OFFSET($FI$3,0,0,'Données projet'!$E$16+1,1))-AVERAGE(OFFSET($H$3,0,0,'Données projet'!$E$16+1,1))</f>
        <v>#N/A</v>
      </c>
      <c r="FK169" s="57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7" t="e">
        <f t="shared" si="134"/>
        <v>#N/A</v>
      </c>
      <c r="GE169" s="57" t="e">
        <f ca="1">AVERAGE(OFFSET($GD$3,0,0,'Données projet'!$E$17+1,1))-AVERAGE(OFFSET($H$3,0,0,'Données projet'!$E$17+1,1))</f>
        <v>#N/A</v>
      </c>
      <c r="GF169" s="57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7" t="e">
        <f t="shared" si="137"/>
        <v>#N/A</v>
      </c>
      <c r="GZ169" s="57" t="e">
        <f ca="1">AVERAGE(OFFSET($GY$3,0,0,'Données projet'!$E$18+1,1))-AVERAGE(OFFSET($H$3,0,0,'Données projet'!$E$18+1,1))</f>
        <v>#N/A</v>
      </c>
      <c r="HA169" s="57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0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4">
        <f t="shared" si="110"/>
        <v>612.98932748804623</v>
      </c>
      <c r="I170" s="6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258.61679999999996</v>
      </c>
      <c r="P170" s="13">
        <f t="shared" si="141"/>
        <v>62.427444141032439</v>
      </c>
      <c r="Q170" s="20">
        <f t="shared" si="162"/>
        <v>559.15205854563135</v>
      </c>
      <c r="R170" s="57">
        <f t="shared" si="109"/>
        <v>852.48539187896472</v>
      </c>
      <c r="S170" s="57">
        <f ca="1">AVERAGE(OFFSET($R$3,0,0,'Données projet'!$E$9+1,1))-AVERAGE(OFFSET($H$3,0,0,'Données projet'!$E$9+1,1))</f>
        <v>267.44861001389006</v>
      </c>
      <c r="T170" s="57">
        <f t="shared" si="142"/>
        <v>165.25921510802965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33.276956716411505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33.276956716411505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306.99999999999994</v>
      </c>
      <c r="AJ170" s="13">
        <f>AI170*VLOOKUP('Données projet'!$B$10,Paramètres!$A$1:$I$89,3,0)*VLOOKUP('Données projet'!$B$10,Paramètres!$A$1:$I$89,5,0)</f>
        <v>277.77359999999993</v>
      </c>
      <c r="AK170" s="13">
        <f t="shared" si="164"/>
        <v>66.496288176842356</v>
      </c>
      <c r="AL170" s="20">
        <f t="shared" si="165"/>
        <v>599.60338857466706</v>
      </c>
      <c r="AM170" s="57">
        <f t="shared" si="113"/>
        <v>892.93672190800044</v>
      </c>
      <c r="AN170" s="57">
        <f ca="1">AVERAGE(OFFSET($AM$3,0,0,'Données projet'!$E$10+1,1))-AVERAGE(OFFSET($H$3,0,0,'Données projet'!$E$10+1,1))</f>
        <v>294.92430430387071</v>
      </c>
      <c r="AO170" s="57">
        <f t="shared" si="144"/>
        <v>181.52228471516497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35.741916473182741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35.741916473182741</v>
      </c>
      <c r="AY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319</v>
      </c>
      <c r="BE170" s="13">
        <f>BD170*VLOOKUP('Données projet'!$B$11,Paramètres!$A$1:$I$89,3,0)*VLOOKUP('Données projet'!$B$11,Paramètres!$A$1:$I$89,5,0)</f>
        <v>258.77280000000002</v>
      </c>
      <c r="BF170" s="13">
        <f t="shared" si="167"/>
        <v>62.460716522234691</v>
      </c>
      <c r="BG170" s="20">
        <f t="shared" si="168"/>
        <v>559.48170794289206</v>
      </c>
      <c r="BH170" s="57">
        <f t="shared" si="116"/>
        <v>852.81504127622543</v>
      </c>
      <c r="BI170" s="57">
        <f ca="1">AVERAGE(OFFSET($BH$3,0,0,'Données projet'!$E$11+1,1))-AVERAGE(OFFSET($H$3,0,0,'Données projet'!$E$11+1,1))</f>
        <v>250.90550982248311</v>
      </c>
      <c r="BJ170" s="57">
        <f t="shared" si="146"/>
        <v>254.68874167908001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7.8524188687508021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7.8524188687508021</v>
      </c>
      <c r="BT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739.99999999999966</v>
      </c>
      <c r="BZ170" s="13">
        <f>BY170*VLOOKUP('Données projet'!$B$12,Paramètres!$A$1:$I$89,3,0)*VLOOKUP('Données projet'!$B$12,Paramètres!$A$1:$I$89,5,0)</f>
        <v>413.65999999999985</v>
      </c>
      <c r="CA170" s="13">
        <f t="shared" si="170"/>
        <v>94.540585122244352</v>
      </c>
      <c r="CB170" s="20">
        <f t="shared" si="171"/>
        <v>885.11601908790863</v>
      </c>
      <c r="CC170" s="57">
        <f t="shared" si="119"/>
        <v>1178.4493524212419</v>
      </c>
      <c r="CD170" s="57">
        <f ca="1">AVERAGE(OFFSET($CC$3,0,0,'Données projet'!$E$12+1,1))-AVERAGE(OFFSET($H$3,0,0,'Données projet'!$E$12+1,1))</f>
        <v>462.54745364638171</v>
      </c>
      <c r="CE170" s="57">
        <f t="shared" si="148"/>
        <v>571.50914830067313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14.837525941400154</v>
      </c>
      <c r="CL170" s="21">
        <f>EXP(-LN(2)/25)*CL169+(1-EXP(-LN(2)/25))/(LN(2)/25)*Calculateur!CG170*Calculateur!CI170*VLOOKUP('Données projet'!$B$12,Paramètres!$A$1:$I$89,3,0)*0.475*44/12</f>
        <v>1.2946297806711602</v>
      </c>
      <c r="CM170" s="21">
        <f>EXP(-LN(2)/2)*CM169+(1-EXP(-LN(2)/2))/(LN(2)/2)*CG170*CJ170*VLOOKUP('Données projet'!$B$12,Paramètres!$A$1:$I$89,3,0)*0.475*44/12</f>
        <v>2.0375633550303337E-21</v>
      </c>
      <c r="CN170" s="22">
        <f t="shared" si="172"/>
        <v>16.132155722071314</v>
      </c>
      <c r="CO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245.99999999999994</v>
      </c>
      <c r="CU170" s="17">
        <f>CT170*VLOOKUP('Données projet'!$B$13,Paramètres!$A$1:$I$89,3,0)*VLOOKUP('Données projet'!$B$13,Paramètres!$A$1:$I$89,5,0)</f>
        <v>234.09359999999998</v>
      </c>
      <c r="CV170" s="13">
        <f t="shared" si="173"/>
        <v>57.166902703920208</v>
      </c>
      <c r="CW170" s="20">
        <f t="shared" si="174"/>
        <v>507.27870887599425</v>
      </c>
      <c r="CX170" s="57">
        <f t="shared" si="122"/>
        <v>800.61204220932757</v>
      </c>
      <c r="CY170" s="57">
        <f ca="1">AVERAGE(OFFSET($CX$3,0,0,'Données projet'!$E$13+1,1))-AVERAGE(OFFSET($H$3,0,0,'Données projet'!$E$13+1,1))</f>
        <v>314.67680626853303</v>
      </c>
      <c r="CZ170" s="57">
        <f t="shared" si="150"/>
        <v>372.57247561536263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27.843883744480699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27.843883744480699</v>
      </c>
      <c r="DJ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319</v>
      </c>
      <c r="DP170" s="17">
        <f>DO170*VLOOKUP('Données projet'!$B$14,Paramètres!$A$1:$I$89,3,0)*VLOOKUP('Données projet'!$B$14,Paramètres!$A$1:$I$89,5,0)</f>
        <v>209.00879999999998</v>
      </c>
      <c r="DQ170" s="13">
        <f t="shared" si="176"/>
        <v>51.718923953824202</v>
      </c>
      <c r="DR170" s="20">
        <f t="shared" si="177"/>
        <v>454.10078588624373</v>
      </c>
      <c r="DS170" s="57">
        <f t="shared" si="125"/>
        <v>747.43411921957704</v>
      </c>
      <c r="DT170" s="57">
        <f ca="1">AVERAGE(OFFSET($DS$3,0,0,'Données projet'!$E$14+1,1))-AVERAGE(OFFSET($H$3,0,0,'Données projet'!$E$14+1,1))</f>
        <v>188.80259324758066</v>
      </c>
      <c r="DU170" s="57">
        <f t="shared" si="152"/>
        <v>195.48048518255354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6.3423383170679601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6.3423383170679601</v>
      </c>
      <c r="EE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319</v>
      </c>
      <c r="EK170" s="17">
        <f>EJ170*VLOOKUP('Données projet'!$B$15,Paramètres!$A$1:$I$89,3,0)*VLOOKUP('Données projet'!$B$15,Paramètres!$A$1:$I$89,5,0)</f>
        <v>258.77280000000002</v>
      </c>
      <c r="EL170" s="13">
        <f t="shared" si="179"/>
        <v>62.460716522234691</v>
      </c>
      <c r="EM170" s="20">
        <f t="shared" si="180"/>
        <v>559.48170794289206</v>
      </c>
      <c r="EN170" s="57">
        <f t="shared" si="128"/>
        <v>852.81504127622543</v>
      </c>
      <c r="EO170" s="57">
        <f ca="1">AVERAGE(OFFSET($EN$3,0,0,'Données projet'!$E$15+1,1))-AVERAGE(OFFSET($H$3,0,0,'Données projet'!$E$15+1,1))</f>
        <v>250.90550982248311</v>
      </c>
      <c r="EP170" s="57">
        <f t="shared" si="154"/>
        <v>254.68874167908001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7.8524188687508021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7.8524188687508021</v>
      </c>
      <c r="EZ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7" t="e">
        <f t="shared" si="131"/>
        <v>#N/A</v>
      </c>
      <c r="FJ170" s="57" t="e">
        <f ca="1">AVERAGE(OFFSET($FI$3,0,0,'Données projet'!$E$16+1,1))-AVERAGE(OFFSET($H$3,0,0,'Données projet'!$E$16+1,1))</f>
        <v>#N/A</v>
      </c>
      <c r="FK170" s="57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7" t="e">
        <f t="shared" si="134"/>
        <v>#N/A</v>
      </c>
      <c r="GE170" s="57" t="e">
        <f ca="1">AVERAGE(OFFSET($GD$3,0,0,'Données projet'!$E$17+1,1))-AVERAGE(OFFSET($H$3,0,0,'Données projet'!$E$17+1,1))</f>
        <v>#N/A</v>
      </c>
      <c r="GF170" s="57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7" t="e">
        <f t="shared" si="137"/>
        <v>#N/A</v>
      </c>
      <c r="GZ170" s="57" t="e">
        <f ca="1">AVERAGE(OFFSET($GY$3,0,0,'Données projet'!$E$18+1,1))-AVERAGE(OFFSET($H$3,0,0,'Données projet'!$E$18+1,1))</f>
        <v>#N/A</v>
      </c>
      <c r="HA170" s="57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0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4">
        <f t="shared" si="110"/>
        <v>614.85761739959128</v>
      </c>
      <c r="I171" s="6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258.61679999999996</v>
      </c>
      <c r="P171" s="13">
        <f t="shared" si="141"/>
        <v>62.427444141032439</v>
      </c>
      <c r="Q171" s="20">
        <f t="shared" si="162"/>
        <v>559.15205854563135</v>
      </c>
      <c r="R171" s="57">
        <f t="shared" si="109"/>
        <v>852.48539187896472</v>
      </c>
      <c r="S171" s="57">
        <f ca="1">AVERAGE(OFFSET($R$3,0,0,'Données projet'!$E$9+1,1))-AVERAGE(OFFSET($H$3,0,0,'Données projet'!$E$9+1,1))</f>
        <v>267.44861001389006</v>
      </c>
      <c r="T171" s="57">
        <f t="shared" si="142"/>
        <v>165.25921510802965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32.624415892142117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32.624415892142117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306.99999999999994</v>
      </c>
      <c r="AJ171" s="13">
        <f>AI171*VLOOKUP('Données projet'!$B$10,Paramètres!$A$1:$I$89,3,0)*VLOOKUP('Données projet'!$B$10,Paramètres!$A$1:$I$89,5,0)</f>
        <v>277.77359999999993</v>
      </c>
      <c r="AK171" s="13">
        <f t="shared" si="164"/>
        <v>66.496288176842356</v>
      </c>
      <c r="AL171" s="20">
        <f t="shared" si="165"/>
        <v>599.60338857466706</v>
      </c>
      <c r="AM171" s="57">
        <f t="shared" si="113"/>
        <v>892.93672190800044</v>
      </c>
      <c r="AN171" s="57">
        <f ca="1">AVERAGE(OFFSET($AM$3,0,0,'Données projet'!$E$10+1,1))-AVERAGE(OFFSET($H$3,0,0,'Données projet'!$E$10+1,1))</f>
        <v>294.92430430387071</v>
      </c>
      <c r="AO171" s="57">
        <f t="shared" si="144"/>
        <v>181.52228471516497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35.041039291560061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35.041039291560061</v>
      </c>
      <c r="AY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319</v>
      </c>
      <c r="BE171" s="13">
        <f>BD171*VLOOKUP('Données projet'!$B$11,Paramètres!$A$1:$I$89,3,0)*VLOOKUP('Données projet'!$B$11,Paramètres!$A$1:$I$89,5,0)</f>
        <v>258.77280000000002</v>
      </c>
      <c r="BF171" s="13">
        <f t="shared" si="167"/>
        <v>62.460716522234691</v>
      </c>
      <c r="BG171" s="20">
        <f t="shared" si="168"/>
        <v>559.48170794289206</v>
      </c>
      <c r="BH171" s="57">
        <f t="shared" si="116"/>
        <v>852.81504127622543</v>
      </c>
      <c r="BI171" s="57">
        <f ca="1">AVERAGE(OFFSET($BH$3,0,0,'Données projet'!$E$11+1,1))-AVERAGE(OFFSET($H$3,0,0,'Données projet'!$E$11+1,1))</f>
        <v>250.90550982248311</v>
      </c>
      <c r="BJ171" s="57">
        <f t="shared" si="146"/>
        <v>254.68874167908001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7.6984377242371851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7.6984377242371851</v>
      </c>
      <c r="BT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739.99999999999966</v>
      </c>
      <c r="BZ171" s="13">
        <f>BY171*VLOOKUP('Données projet'!$B$12,Paramètres!$A$1:$I$89,3,0)*VLOOKUP('Données projet'!$B$12,Paramètres!$A$1:$I$89,5,0)</f>
        <v>413.65999999999985</v>
      </c>
      <c r="CA171" s="13">
        <f t="shared" si="170"/>
        <v>94.540585122244352</v>
      </c>
      <c r="CB171" s="20">
        <f t="shared" si="171"/>
        <v>885.11601908790863</v>
      </c>
      <c r="CC171" s="57">
        <f t="shared" si="119"/>
        <v>1178.4493524212419</v>
      </c>
      <c r="CD171" s="57">
        <f ca="1">AVERAGE(OFFSET($CC$3,0,0,'Données projet'!$E$12+1,1))-AVERAGE(OFFSET($H$3,0,0,'Données projet'!$E$12+1,1))</f>
        <v>462.54745364638171</v>
      </c>
      <c r="CE171" s="57">
        <f t="shared" si="148"/>
        <v>571.50914830067313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14.546571107686509</v>
      </c>
      <c r="CL171" s="21">
        <f>EXP(-LN(2)/25)*CL170+(1-EXP(-LN(2)/25))/(LN(2)/25)*Calculateur!CG171*Calculateur!CI171*VLOOKUP('Données projet'!$B$12,Paramètres!$A$1:$I$89,3,0)*0.475*44/12</f>
        <v>1.2592280612370861</v>
      </c>
      <c r="CM171" s="21">
        <f>EXP(-LN(2)/2)*CM170+(1-EXP(-LN(2)/2))/(LN(2)/2)*CG171*CJ171*VLOOKUP('Données projet'!$B$12,Paramètres!$A$1:$I$89,3,0)*0.475*44/12</f>
        <v>1.4407748654391619E-21</v>
      </c>
      <c r="CN171" s="22">
        <f t="shared" si="172"/>
        <v>15.805799168923595</v>
      </c>
      <c r="CO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245.99999999999994</v>
      </c>
      <c r="CU171" s="17">
        <f>CT171*VLOOKUP('Données projet'!$B$13,Paramètres!$A$1:$I$89,3,0)*VLOOKUP('Données projet'!$B$13,Paramètres!$A$1:$I$89,5,0)</f>
        <v>234.09359999999998</v>
      </c>
      <c r="CV171" s="13">
        <f t="shared" si="173"/>
        <v>57.166902703920208</v>
      </c>
      <c r="CW171" s="20">
        <f t="shared" si="174"/>
        <v>507.27870887599425</v>
      </c>
      <c r="CX171" s="57">
        <f t="shared" si="122"/>
        <v>800.61204220932757</v>
      </c>
      <c r="CY171" s="57">
        <f ca="1">AVERAGE(OFFSET($CX$3,0,0,'Données projet'!$E$13+1,1))-AVERAGE(OFFSET($H$3,0,0,'Données projet'!$E$13+1,1))</f>
        <v>314.67680626853303</v>
      </c>
      <c r="CZ171" s="57">
        <f t="shared" si="150"/>
        <v>372.57247561536263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27.297882167343577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27.297882167343577</v>
      </c>
      <c r="DJ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319</v>
      </c>
      <c r="DP171" s="17">
        <f>DO171*VLOOKUP('Données projet'!$B$14,Paramètres!$A$1:$I$89,3,0)*VLOOKUP('Données projet'!$B$14,Paramètres!$A$1:$I$89,5,0)</f>
        <v>209.00879999999998</v>
      </c>
      <c r="DQ171" s="13">
        <f t="shared" si="176"/>
        <v>51.718923953824202</v>
      </c>
      <c r="DR171" s="20">
        <f t="shared" si="177"/>
        <v>454.10078588624373</v>
      </c>
      <c r="DS171" s="57">
        <f t="shared" si="125"/>
        <v>747.43411921957704</v>
      </c>
      <c r="DT171" s="57">
        <f ca="1">AVERAGE(OFFSET($DS$3,0,0,'Données projet'!$E$14+1,1))-AVERAGE(OFFSET($H$3,0,0,'Données projet'!$E$14+1,1))</f>
        <v>188.80259324758066</v>
      </c>
      <c r="DU171" s="57">
        <f t="shared" si="152"/>
        <v>195.48048518255354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6.2179689311146538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6.2179689311146538</v>
      </c>
      <c r="EE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319</v>
      </c>
      <c r="EK171" s="17">
        <f>EJ171*VLOOKUP('Données projet'!$B$15,Paramètres!$A$1:$I$89,3,0)*VLOOKUP('Données projet'!$B$15,Paramètres!$A$1:$I$89,5,0)</f>
        <v>258.77280000000002</v>
      </c>
      <c r="EL171" s="13">
        <f t="shared" si="179"/>
        <v>62.460716522234691</v>
      </c>
      <c r="EM171" s="20">
        <f t="shared" si="180"/>
        <v>559.48170794289206</v>
      </c>
      <c r="EN171" s="57">
        <f t="shared" si="128"/>
        <v>852.81504127622543</v>
      </c>
      <c r="EO171" s="57">
        <f ca="1">AVERAGE(OFFSET($EN$3,0,0,'Données projet'!$E$15+1,1))-AVERAGE(OFFSET($H$3,0,0,'Données projet'!$E$15+1,1))</f>
        <v>250.90550982248311</v>
      </c>
      <c r="EP171" s="57">
        <f t="shared" si="154"/>
        <v>254.68874167908001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7.6984377242371851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7.6984377242371851</v>
      </c>
      <c r="EZ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7" t="e">
        <f t="shared" si="131"/>
        <v>#N/A</v>
      </c>
      <c r="FJ171" s="57" t="e">
        <f ca="1">AVERAGE(OFFSET($FI$3,0,0,'Données projet'!$E$16+1,1))-AVERAGE(OFFSET($H$3,0,0,'Données projet'!$E$16+1,1))</f>
        <v>#N/A</v>
      </c>
      <c r="FK171" s="57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7" t="e">
        <f t="shared" si="134"/>
        <v>#N/A</v>
      </c>
      <c r="GE171" s="57" t="e">
        <f ca="1">AVERAGE(OFFSET($GD$3,0,0,'Données projet'!$E$17+1,1))-AVERAGE(OFFSET($H$3,0,0,'Données projet'!$E$17+1,1))</f>
        <v>#N/A</v>
      </c>
      <c r="GF171" s="57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7" t="e">
        <f t="shared" si="137"/>
        <v>#N/A</v>
      </c>
      <c r="GZ171" s="57" t="e">
        <f ca="1">AVERAGE(OFFSET($GY$3,0,0,'Données projet'!$E$18+1,1))-AVERAGE(OFFSET($H$3,0,0,'Données projet'!$E$18+1,1))</f>
        <v>#N/A</v>
      </c>
      <c r="HA171" s="57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0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4">
        <f t="shared" si="110"/>
        <v>616.72566713084029</v>
      </c>
      <c r="I172" s="6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258.61679999999996</v>
      </c>
      <c r="P172" s="13">
        <f t="shared" si="141"/>
        <v>62.427444141032439</v>
      </c>
      <c r="Q172" s="20">
        <f t="shared" si="162"/>
        <v>559.15205854563135</v>
      </c>
      <c r="R172" s="57">
        <f t="shared" si="109"/>
        <v>852.48539187896472</v>
      </c>
      <c r="S172" s="57">
        <f ca="1">AVERAGE(OFFSET($R$3,0,0,'Données projet'!$E$9+1,1))-AVERAGE(OFFSET($H$3,0,0,'Données projet'!$E$9+1,1))</f>
        <v>267.44861001389006</v>
      </c>
      <c r="T172" s="57">
        <f t="shared" si="142"/>
        <v>165.25921510802965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31.98467099542605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31.98467099542605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306.99999999999994</v>
      </c>
      <c r="AJ172" s="13">
        <f>AI172*VLOOKUP('Données projet'!$B$10,Paramètres!$A$1:$I$89,3,0)*VLOOKUP('Données projet'!$B$10,Paramètres!$A$1:$I$89,5,0)</f>
        <v>277.77359999999993</v>
      </c>
      <c r="AK172" s="13">
        <f t="shared" si="164"/>
        <v>66.496288176842356</v>
      </c>
      <c r="AL172" s="20">
        <f t="shared" si="165"/>
        <v>599.60338857466706</v>
      </c>
      <c r="AM172" s="57">
        <f t="shared" si="113"/>
        <v>892.93672190800044</v>
      </c>
      <c r="AN172" s="57">
        <f ca="1">AVERAGE(OFFSET($AM$3,0,0,'Données projet'!$E$10+1,1))-AVERAGE(OFFSET($H$3,0,0,'Données projet'!$E$10+1,1))</f>
        <v>294.92430430387071</v>
      </c>
      <c r="AO172" s="57">
        <f t="shared" si="144"/>
        <v>181.52228471516497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34.353905883976132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34.353905883976132</v>
      </c>
      <c r="AY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319</v>
      </c>
      <c r="BE172" s="13">
        <f>BD172*VLOOKUP('Données projet'!$B$11,Paramètres!$A$1:$I$89,3,0)*VLOOKUP('Données projet'!$B$11,Paramètres!$A$1:$I$89,5,0)</f>
        <v>258.77280000000002</v>
      </c>
      <c r="BF172" s="13">
        <f t="shared" si="167"/>
        <v>62.460716522234691</v>
      </c>
      <c r="BG172" s="20">
        <f t="shared" si="168"/>
        <v>559.48170794289206</v>
      </c>
      <c r="BH172" s="57">
        <f t="shared" si="116"/>
        <v>852.81504127622543</v>
      </c>
      <c r="BI172" s="57">
        <f ca="1">AVERAGE(OFFSET($BH$3,0,0,'Données projet'!$E$11+1,1))-AVERAGE(OFFSET($H$3,0,0,'Données projet'!$E$11+1,1))</f>
        <v>250.90550982248311</v>
      </c>
      <c r="BJ172" s="57">
        <f t="shared" si="146"/>
        <v>254.68874167908001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7.5474760560482554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7.5474760560482554</v>
      </c>
      <c r="BT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739.99999999999966</v>
      </c>
      <c r="BZ172" s="13">
        <f>BY172*VLOOKUP('Données projet'!$B$12,Paramètres!$A$1:$I$89,3,0)*VLOOKUP('Données projet'!$B$12,Paramètres!$A$1:$I$89,5,0)</f>
        <v>413.65999999999985</v>
      </c>
      <c r="CA172" s="13">
        <f t="shared" si="170"/>
        <v>94.540585122244352</v>
      </c>
      <c r="CB172" s="20">
        <f t="shared" si="171"/>
        <v>885.11601908790863</v>
      </c>
      <c r="CC172" s="57">
        <f t="shared" si="119"/>
        <v>1178.4493524212419</v>
      </c>
      <c r="CD172" s="57">
        <f ca="1">AVERAGE(OFFSET($CC$3,0,0,'Données projet'!$E$12+1,1))-AVERAGE(OFFSET($H$3,0,0,'Données projet'!$E$12+1,1))</f>
        <v>462.54745364638171</v>
      </c>
      <c r="CE172" s="57">
        <f t="shared" si="148"/>
        <v>571.50914830067313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14.261321720797062</v>
      </c>
      <c r="CL172" s="21">
        <f>EXP(-LN(2)/25)*CL171+(1-EXP(-LN(2)/25))/(LN(2)/25)*Calculateur!CG172*Calculateur!CI172*VLOOKUP('Données projet'!$B$12,Paramètres!$A$1:$I$89,3,0)*0.475*44/12</f>
        <v>1.2247944036826321</v>
      </c>
      <c r="CM172" s="21">
        <f>EXP(-LN(2)/2)*CM171+(1-EXP(-LN(2)/2))/(LN(2)/2)*CG172*CJ172*VLOOKUP('Données projet'!$B$12,Paramètres!$A$1:$I$89,3,0)*0.475*44/12</f>
        <v>1.0187816775151669E-21</v>
      </c>
      <c r="CN172" s="22">
        <f t="shared" si="172"/>
        <v>15.486116124479693</v>
      </c>
      <c r="CO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245.99999999999994</v>
      </c>
      <c r="CU172" s="17">
        <f>CT172*VLOOKUP('Données projet'!$B$13,Paramètres!$A$1:$I$89,3,0)*VLOOKUP('Données projet'!$B$13,Paramètres!$A$1:$I$89,5,0)</f>
        <v>234.09359999999998</v>
      </c>
      <c r="CV172" s="13">
        <f t="shared" si="173"/>
        <v>57.166902703920208</v>
      </c>
      <c r="CW172" s="20">
        <f t="shared" si="174"/>
        <v>507.27870887599425</v>
      </c>
      <c r="CX172" s="57">
        <f t="shared" si="122"/>
        <v>800.61204220932757</v>
      </c>
      <c r="CY172" s="57">
        <f ca="1">AVERAGE(OFFSET($CX$3,0,0,'Données projet'!$E$13+1,1))-AVERAGE(OFFSET($H$3,0,0,'Données projet'!$E$13+1,1))</f>
        <v>314.67680626853303</v>
      </c>
      <c r="CZ172" s="57">
        <f t="shared" si="150"/>
        <v>372.57247561536263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26.762587348106035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26.762587348106035</v>
      </c>
      <c r="DJ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319</v>
      </c>
      <c r="DP172" s="17">
        <f>DO172*VLOOKUP('Données projet'!$B$14,Paramètres!$A$1:$I$89,3,0)*VLOOKUP('Données projet'!$B$14,Paramètres!$A$1:$I$89,5,0)</f>
        <v>209.00879999999998</v>
      </c>
      <c r="DQ172" s="13">
        <f t="shared" si="176"/>
        <v>51.718923953824202</v>
      </c>
      <c r="DR172" s="20">
        <f t="shared" si="177"/>
        <v>454.10078588624373</v>
      </c>
      <c r="DS172" s="57">
        <f t="shared" si="125"/>
        <v>747.43411921957704</v>
      </c>
      <c r="DT172" s="57">
        <f ca="1">AVERAGE(OFFSET($DS$3,0,0,'Données projet'!$E$14+1,1))-AVERAGE(OFFSET($H$3,0,0,'Données projet'!$E$14+1,1))</f>
        <v>188.80259324758066</v>
      </c>
      <c r="DU172" s="57">
        <f t="shared" si="152"/>
        <v>195.48048518255354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6.096038352962057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6.096038352962057</v>
      </c>
      <c r="EE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319</v>
      </c>
      <c r="EK172" s="17">
        <f>EJ172*VLOOKUP('Données projet'!$B$15,Paramètres!$A$1:$I$89,3,0)*VLOOKUP('Données projet'!$B$15,Paramètres!$A$1:$I$89,5,0)</f>
        <v>258.77280000000002</v>
      </c>
      <c r="EL172" s="13">
        <f t="shared" si="179"/>
        <v>62.460716522234691</v>
      </c>
      <c r="EM172" s="20">
        <f t="shared" si="180"/>
        <v>559.48170794289206</v>
      </c>
      <c r="EN172" s="57">
        <f t="shared" si="128"/>
        <v>852.81504127622543</v>
      </c>
      <c r="EO172" s="57">
        <f ca="1">AVERAGE(OFFSET($EN$3,0,0,'Données projet'!$E$15+1,1))-AVERAGE(OFFSET($H$3,0,0,'Données projet'!$E$15+1,1))</f>
        <v>250.90550982248311</v>
      </c>
      <c r="EP172" s="57">
        <f t="shared" si="154"/>
        <v>254.68874167908001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7.5474760560482554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7.5474760560482554</v>
      </c>
      <c r="EZ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7" t="e">
        <f t="shared" si="131"/>
        <v>#N/A</v>
      </c>
      <c r="FJ172" s="57" t="e">
        <f ca="1">AVERAGE(OFFSET($FI$3,0,0,'Données projet'!$E$16+1,1))-AVERAGE(OFFSET($H$3,0,0,'Données projet'!$E$16+1,1))</f>
        <v>#N/A</v>
      </c>
      <c r="FK172" s="57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7" t="e">
        <f t="shared" si="134"/>
        <v>#N/A</v>
      </c>
      <c r="GE172" s="57" t="e">
        <f ca="1">AVERAGE(OFFSET($GD$3,0,0,'Données projet'!$E$17+1,1))-AVERAGE(OFFSET($H$3,0,0,'Données projet'!$E$17+1,1))</f>
        <v>#N/A</v>
      </c>
      <c r="GF172" s="57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7" t="e">
        <f t="shared" si="137"/>
        <v>#N/A</v>
      </c>
      <c r="GZ172" s="57" t="e">
        <f ca="1">AVERAGE(OFFSET($GY$3,0,0,'Données projet'!$E$18+1,1))-AVERAGE(OFFSET($H$3,0,0,'Données projet'!$E$18+1,1))</f>
        <v>#N/A</v>
      </c>
      <c r="HA172" s="57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0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4">
        <f t="shared" si="110"/>
        <v>618.59347826787666</v>
      </c>
      <c r="I173" s="6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258.61679999999996</v>
      </c>
      <c r="P173" s="13">
        <f t="shared" si="141"/>
        <v>62.427444141032439</v>
      </c>
      <c r="Q173" s="20">
        <f t="shared" si="162"/>
        <v>559.15205854563135</v>
      </c>
      <c r="R173" s="57">
        <f t="shared" si="109"/>
        <v>852.48539187896472</v>
      </c>
      <c r="S173" s="57">
        <f ca="1">AVERAGE(OFFSET($R$3,0,0,'Données projet'!$E$9+1,1))-AVERAGE(OFFSET($H$3,0,0,'Données projet'!$E$9+1,1))</f>
        <v>267.44861001389006</v>
      </c>
      <c r="T173" s="57">
        <f t="shared" si="142"/>
        <v>165.25921510802965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31.357471105928727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31.357471105928727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306.99999999999994</v>
      </c>
      <c r="AJ173" s="13">
        <f>AI173*VLOOKUP('Données projet'!$B$10,Paramètres!$A$1:$I$89,3,0)*VLOOKUP('Données projet'!$B$10,Paramètres!$A$1:$I$89,5,0)</f>
        <v>277.77359999999993</v>
      </c>
      <c r="AK173" s="13">
        <f t="shared" si="164"/>
        <v>66.496288176842356</v>
      </c>
      <c r="AL173" s="20">
        <f t="shared" si="165"/>
        <v>599.60338857466706</v>
      </c>
      <c r="AM173" s="57">
        <f t="shared" si="113"/>
        <v>892.93672190800044</v>
      </c>
      <c r="AN173" s="57">
        <f ca="1">AVERAGE(OFFSET($AM$3,0,0,'Données projet'!$E$10+1,1))-AVERAGE(OFFSET($H$3,0,0,'Données projet'!$E$10+1,1))</f>
        <v>294.92430430387071</v>
      </c>
      <c r="AO173" s="57">
        <f t="shared" si="144"/>
        <v>181.52228471516497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33.680246743404929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33.680246743404929</v>
      </c>
      <c r="AY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319</v>
      </c>
      <c r="BE173" s="13">
        <f>BD173*VLOOKUP('Données projet'!$B$11,Paramètres!$A$1:$I$89,3,0)*VLOOKUP('Données projet'!$B$11,Paramètres!$A$1:$I$89,5,0)</f>
        <v>258.77280000000002</v>
      </c>
      <c r="BF173" s="13">
        <f t="shared" si="167"/>
        <v>62.460716522234691</v>
      </c>
      <c r="BG173" s="20">
        <f t="shared" si="168"/>
        <v>559.48170794289206</v>
      </c>
      <c r="BH173" s="57">
        <f t="shared" si="116"/>
        <v>852.81504127622543</v>
      </c>
      <c r="BI173" s="57">
        <f ca="1">AVERAGE(OFFSET($BH$3,0,0,'Données projet'!$E$11+1,1))-AVERAGE(OFFSET($H$3,0,0,'Données projet'!$E$11+1,1))</f>
        <v>250.90550982248311</v>
      </c>
      <c r="BJ173" s="57">
        <f t="shared" si="146"/>
        <v>254.68874167908001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7.3994746540949849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7.3994746540949849</v>
      </c>
      <c r="BT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739.99999999999966</v>
      </c>
      <c r="BZ173" s="13">
        <f>BY173*VLOOKUP('Données projet'!$B$12,Paramètres!$A$1:$I$89,3,0)*VLOOKUP('Données projet'!$B$12,Paramètres!$A$1:$I$89,5,0)</f>
        <v>413.65999999999985</v>
      </c>
      <c r="CA173" s="13">
        <f t="shared" si="170"/>
        <v>94.540585122244352</v>
      </c>
      <c r="CB173" s="20">
        <f t="shared" si="171"/>
        <v>885.11601908790863</v>
      </c>
      <c r="CC173" s="57">
        <f t="shared" si="119"/>
        <v>1178.4493524212419</v>
      </c>
      <c r="CD173" s="57">
        <f ca="1">AVERAGE(OFFSET($CC$3,0,0,'Données projet'!$E$12+1,1))-AVERAGE(OFFSET($H$3,0,0,'Données projet'!$E$12+1,1))</f>
        <v>462.54745364638171</v>
      </c>
      <c r="CE173" s="57">
        <f t="shared" si="148"/>
        <v>571.50914830067313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13.981665900399571</v>
      </c>
      <c r="CL173" s="21">
        <f>EXP(-LN(2)/25)*CL172+(1-EXP(-LN(2)/25))/(LN(2)/25)*Calculateur!CG173*Calculateur!CI173*VLOOKUP('Données projet'!$B$12,Paramètres!$A$1:$I$89,3,0)*0.475*44/12</f>
        <v>1.1913023363047921</v>
      </c>
      <c r="CM173" s="21">
        <f>EXP(-LN(2)/2)*CM172+(1-EXP(-LN(2)/2))/(LN(2)/2)*CG173*CJ173*VLOOKUP('Données projet'!$B$12,Paramètres!$A$1:$I$89,3,0)*0.475*44/12</f>
        <v>7.2038743271958094E-22</v>
      </c>
      <c r="CN173" s="22">
        <f t="shared" si="172"/>
        <v>15.172968236704364</v>
      </c>
      <c r="CO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245.99999999999994</v>
      </c>
      <c r="CU173" s="17">
        <f>CT173*VLOOKUP('Données projet'!$B$13,Paramètres!$A$1:$I$89,3,0)*VLOOKUP('Données projet'!$B$13,Paramètres!$A$1:$I$89,5,0)</f>
        <v>234.09359999999998</v>
      </c>
      <c r="CV173" s="13">
        <f t="shared" si="173"/>
        <v>57.166902703920208</v>
      </c>
      <c r="CW173" s="20">
        <f t="shared" si="174"/>
        <v>507.27870887599425</v>
      </c>
      <c r="CX173" s="57">
        <f t="shared" si="122"/>
        <v>800.61204220932757</v>
      </c>
      <c r="CY173" s="57">
        <f ca="1">AVERAGE(OFFSET($CX$3,0,0,'Données projet'!$E$13+1,1))-AVERAGE(OFFSET($H$3,0,0,'Données projet'!$E$13+1,1))</f>
        <v>314.67680626853303</v>
      </c>
      <c r="CZ173" s="57">
        <f t="shared" si="150"/>
        <v>372.57247561536263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26.237789333776139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26.237789333776139</v>
      </c>
      <c r="DJ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319</v>
      </c>
      <c r="DP173" s="17">
        <f>DO173*VLOOKUP('Données projet'!$B$14,Paramètres!$A$1:$I$89,3,0)*VLOOKUP('Données projet'!$B$14,Paramètres!$A$1:$I$89,5,0)</f>
        <v>209.00879999999998</v>
      </c>
      <c r="DQ173" s="13">
        <f t="shared" si="176"/>
        <v>51.718923953824202</v>
      </c>
      <c r="DR173" s="20">
        <f t="shared" si="177"/>
        <v>454.10078588624373</v>
      </c>
      <c r="DS173" s="57">
        <f t="shared" si="125"/>
        <v>747.43411921957704</v>
      </c>
      <c r="DT173" s="57">
        <f ca="1">AVERAGE(OFFSET($DS$3,0,0,'Données projet'!$E$14+1,1))-AVERAGE(OFFSET($H$3,0,0,'Données projet'!$E$14+1,1))</f>
        <v>188.80259324758066</v>
      </c>
      <c r="DU173" s="57">
        <f t="shared" si="152"/>
        <v>195.48048518255354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5.9764987590767227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5.9764987590767227</v>
      </c>
      <c r="EE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319</v>
      </c>
      <c r="EK173" s="17">
        <f>EJ173*VLOOKUP('Données projet'!$B$15,Paramètres!$A$1:$I$89,3,0)*VLOOKUP('Données projet'!$B$15,Paramètres!$A$1:$I$89,5,0)</f>
        <v>258.77280000000002</v>
      </c>
      <c r="EL173" s="13">
        <f t="shared" si="179"/>
        <v>62.460716522234691</v>
      </c>
      <c r="EM173" s="20">
        <f t="shared" si="180"/>
        <v>559.48170794289206</v>
      </c>
      <c r="EN173" s="57">
        <f t="shared" si="128"/>
        <v>852.81504127622543</v>
      </c>
      <c r="EO173" s="57">
        <f ca="1">AVERAGE(OFFSET($EN$3,0,0,'Données projet'!$E$15+1,1))-AVERAGE(OFFSET($H$3,0,0,'Données projet'!$E$15+1,1))</f>
        <v>250.90550982248311</v>
      </c>
      <c r="EP173" s="57">
        <f t="shared" si="154"/>
        <v>254.68874167908001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7.3994746540949849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7.3994746540949849</v>
      </c>
      <c r="EZ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7" t="e">
        <f t="shared" si="131"/>
        <v>#N/A</v>
      </c>
      <c r="FJ173" s="57" t="e">
        <f ca="1">AVERAGE(OFFSET($FI$3,0,0,'Données projet'!$E$16+1,1))-AVERAGE(OFFSET($H$3,0,0,'Données projet'!$E$16+1,1))</f>
        <v>#N/A</v>
      </c>
      <c r="FK173" s="57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7" t="e">
        <f t="shared" si="134"/>
        <v>#N/A</v>
      </c>
      <c r="GE173" s="57" t="e">
        <f ca="1">AVERAGE(OFFSET($GD$3,0,0,'Données projet'!$E$17+1,1))-AVERAGE(OFFSET($H$3,0,0,'Données projet'!$E$17+1,1))</f>
        <v>#N/A</v>
      </c>
      <c r="GF173" s="57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7" t="e">
        <f t="shared" si="137"/>
        <v>#N/A</v>
      </c>
      <c r="GZ173" s="57" t="e">
        <f ca="1">AVERAGE(OFFSET($GY$3,0,0,'Données projet'!$E$18+1,1))-AVERAGE(OFFSET($H$3,0,0,'Données projet'!$E$18+1,1))</f>
        <v>#N/A</v>
      </c>
      <c r="HA173" s="57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0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4">
        <f t="shared" si="110"/>
        <v>620.46105237704444</v>
      </c>
      <c r="I174" s="6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258.61679999999996</v>
      </c>
      <c r="P174" s="13">
        <f t="shared" si="141"/>
        <v>62.427444141032439</v>
      </c>
      <c r="Q174" s="20">
        <f t="shared" si="162"/>
        <v>559.15205854563135</v>
      </c>
      <c r="R174" s="57">
        <f t="shared" si="109"/>
        <v>852.48539187896472</v>
      </c>
      <c r="S174" s="57">
        <f ca="1">AVERAGE(OFFSET($R$3,0,0,'Données projet'!$E$9+1,1))-AVERAGE(OFFSET($H$3,0,0,'Données projet'!$E$9+1,1))</f>
        <v>267.44861001389006</v>
      </c>
      <c r="T174" s="57">
        <f t="shared" si="142"/>
        <v>165.25921510802965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30.742570223710288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30.742570223710288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306.99999999999994</v>
      </c>
      <c r="AJ174" s="13">
        <f>AI174*VLOOKUP('Données projet'!$B$10,Paramètres!$A$1:$I$89,3,0)*VLOOKUP('Données projet'!$B$10,Paramètres!$A$1:$I$89,5,0)</f>
        <v>277.77359999999993</v>
      </c>
      <c r="AK174" s="13">
        <f t="shared" si="164"/>
        <v>66.496288176842356</v>
      </c>
      <c r="AL174" s="20">
        <f t="shared" si="165"/>
        <v>599.60338857466706</v>
      </c>
      <c r="AM174" s="57">
        <f t="shared" si="113"/>
        <v>892.93672190800044</v>
      </c>
      <c r="AN174" s="57">
        <f ca="1">AVERAGE(OFFSET($AM$3,0,0,'Données projet'!$E$10+1,1))-AVERAGE(OFFSET($H$3,0,0,'Données projet'!$E$10+1,1))</f>
        <v>294.92430430387071</v>
      </c>
      <c r="AO174" s="57">
        <f t="shared" si="144"/>
        <v>181.52228471516497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33.019797647688826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33.019797647688826</v>
      </c>
      <c r="AY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319</v>
      </c>
      <c r="BE174" s="13">
        <f>BD174*VLOOKUP('Données projet'!$B$11,Paramètres!$A$1:$I$89,3,0)*VLOOKUP('Données projet'!$B$11,Paramètres!$A$1:$I$89,5,0)</f>
        <v>258.77280000000002</v>
      </c>
      <c r="BF174" s="13">
        <f t="shared" si="167"/>
        <v>62.460716522234691</v>
      </c>
      <c r="BG174" s="20">
        <f t="shared" si="168"/>
        <v>559.48170794289206</v>
      </c>
      <c r="BH174" s="57">
        <f t="shared" si="116"/>
        <v>852.81504127622543</v>
      </c>
      <c r="BI174" s="57">
        <f ca="1">AVERAGE(OFFSET($BH$3,0,0,'Données projet'!$E$11+1,1))-AVERAGE(OFFSET($H$3,0,0,'Données projet'!$E$11+1,1))</f>
        <v>250.90550982248311</v>
      </c>
      <c r="BJ174" s="57">
        <f t="shared" si="146"/>
        <v>254.68874167908001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7.2543754693620768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7.2543754693620768</v>
      </c>
      <c r="BT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739.99999999999966</v>
      </c>
      <c r="BZ174" s="13">
        <f>BY174*VLOOKUP('Données projet'!$B$12,Paramètres!$A$1:$I$89,3,0)*VLOOKUP('Données projet'!$B$12,Paramètres!$A$1:$I$89,5,0)</f>
        <v>413.65999999999985</v>
      </c>
      <c r="CA174" s="13">
        <f t="shared" si="170"/>
        <v>94.540585122244352</v>
      </c>
      <c r="CB174" s="20">
        <f t="shared" si="171"/>
        <v>885.11601908790863</v>
      </c>
      <c r="CC174" s="57">
        <f t="shared" si="119"/>
        <v>1178.4493524212419</v>
      </c>
      <c r="CD174" s="57">
        <f ca="1">AVERAGE(OFFSET($CC$3,0,0,'Données projet'!$E$12+1,1))-AVERAGE(OFFSET($H$3,0,0,'Données projet'!$E$12+1,1))</f>
        <v>462.54745364638171</v>
      </c>
      <c r="CE174" s="57">
        <f t="shared" si="148"/>
        <v>571.50914830067313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13.707493960066868</v>
      </c>
      <c r="CL174" s="21">
        <f>EXP(-LN(2)/25)*CL173+(1-EXP(-LN(2)/25))/(LN(2)/25)*Calculateur!CG174*Calculateur!CI174*VLOOKUP('Données projet'!$B$12,Paramètres!$A$1:$I$89,3,0)*0.475*44/12</f>
        <v>1.1587261112706704</v>
      </c>
      <c r="CM174" s="21">
        <f>EXP(-LN(2)/2)*CM173+(1-EXP(-LN(2)/2))/(LN(2)/2)*CG174*CJ174*VLOOKUP('Données projet'!$B$12,Paramètres!$A$1:$I$89,3,0)*0.475*44/12</f>
        <v>5.0939083875758343E-22</v>
      </c>
      <c r="CN174" s="22">
        <f t="shared" si="172"/>
        <v>14.866220071337539</v>
      </c>
      <c r="CO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245.99999999999994</v>
      </c>
      <c r="CU174" s="17">
        <f>CT174*VLOOKUP('Données projet'!$B$13,Paramètres!$A$1:$I$89,3,0)*VLOOKUP('Données projet'!$B$13,Paramètres!$A$1:$I$89,5,0)</f>
        <v>234.09359999999998</v>
      </c>
      <c r="CV174" s="13">
        <f t="shared" si="173"/>
        <v>57.166902703920208</v>
      </c>
      <c r="CW174" s="20">
        <f t="shared" si="174"/>
        <v>507.27870887599425</v>
      </c>
      <c r="CX174" s="57">
        <f t="shared" si="122"/>
        <v>800.61204220932757</v>
      </c>
      <c r="CY174" s="57">
        <f ca="1">AVERAGE(OFFSET($CX$3,0,0,'Données projet'!$E$13+1,1))-AVERAGE(OFFSET($H$3,0,0,'Données projet'!$E$13+1,1))</f>
        <v>314.67680626853303</v>
      </c>
      <c r="CZ174" s="57">
        <f t="shared" si="150"/>
        <v>372.57247561536263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25.723282288412072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25.723282288412072</v>
      </c>
      <c r="DJ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319</v>
      </c>
      <c r="DP174" s="17">
        <f>DO174*VLOOKUP('Données projet'!$B$14,Paramètres!$A$1:$I$89,3,0)*VLOOKUP('Données projet'!$B$14,Paramètres!$A$1:$I$89,5,0)</f>
        <v>209.00879999999998</v>
      </c>
      <c r="DQ174" s="13">
        <f t="shared" si="176"/>
        <v>51.718923953824202</v>
      </c>
      <c r="DR174" s="20">
        <f t="shared" si="177"/>
        <v>454.10078588624373</v>
      </c>
      <c r="DS174" s="57">
        <f t="shared" si="125"/>
        <v>747.43411921957704</v>
      </c>
      <c r="DT174" s="57">
        <f ca="1">AVERAGE(OFFSET($DS$3,0,0,'Données projet'!$E$14+1,1))-AVERAGE(OFFSET($H$3,0,0,'Données projet'!$E$14+1,1))</f>
        <v>188.80259324758066</v>
      </c>
      <c r="DU174" s="57">
        <f t="shared" si="152"/>
        <v>195.48048518255354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5.8593032637155273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5.8593032637155273</v>
      </c>
      <c r="EE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319</v>
      </c>
      <c r="EK174" s="17">
        <f>EJ174*VLOOKUP('Données projet'!$B$15,Paramètres!$A$1:$I$89,3,0)*VLOOKUP('Données projet'!$B$15,Paramètres!$A$1:$I$89,5,0)</f>
        <v>258.77280000000002</v>
      </c>
      <c r="EL174" s="13">
        <f t="shared" si="179"/>
        <v>62.460716522234691</v>
      </c>
      <c r="EM174" s="20">
        <f t="shared" si="180"/>
        <v>559.48170794289206</v>
      </c>
      <c r="EN174" s="57">
        <f t="shared" si="128"/>
        <v>852.81504127622543</v>
      </c>
      <c r="EO174" s="57">
        <f ca="1">AVERAGE(OFFSET($EN$3,0,0,'Données projet'!$E$15+1,1))-AVERAGE(OFFSET($H$3,0,0,'Données projet'!$E$15+1,1))</f>
        <v>250.90550982248311</v>
      </c>
      <c r="EP174" s="57">
        <f t="shared" si="154"/>
        <v>254.68874167908001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7.2543754693620768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7.2543754693620768</v>
      </c>
      <c r="EZ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7" t="e">
        <f t="shared" si="131"/>
        <v>#N/A</v>
      </c>
      <c r="FJ174" s="57" t="e">
        <f ca="1">AVERAGE(OFFSET($FI$3,0,0,'Données projet'!$E$16+1,1))-AVERAGE(OFFSET($H$3,0,0,'Données projet'!$E$16+1,1))</f>
        <v>#N/A</v>
      </c>
      <c r="FK174" s="57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7" t="e">
        <f t="shared" si="134"/>
        <v>#N/A</v>
      </c>
      <c r="GE174" s="57" t="e">
        <f ca="1">AVERAGE(OFFSET($GD$3,0,0,'Données projet'!$E$17+1,1))-AVERAGE(OFFSET($H$3,0,0,'Données projet'!$E$17+1,1))</f>
        <v>#N/A</v>
      </c>
      <c r="GF174" s="57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7" t="e">
        <f t="shared" si="137"/>
        <v>#N/A</v>
      </c>
      <c r="GZ174" s="57" t="e">
        <f ca="1">AVERAGE(OFFSET($GY$3,0,0,'Données projet'!$E$18+1,1))-AVERAGE(OFFSET($H$3,0,0,'Données projet'!$E$18+1,1))</f>
        <v>#N/A</v>
      </c>
      <c r="HA174" s="57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0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4">
        <f t="shared" si="110"/>
        <v>622.32839100530805</v>
      </c>
      <c r="I175" s="6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258.61679999999996</v>
      </c>
      <c r="P175" s="13">
        <f t="shared" si="141"/>
        <v>62.427444141032439</v>
      </c>
      <c r="Q175" s="20">
        <f t="shared" si="162"/>
        <v>559.15205854563135</v>
      </c>
      <c r="R175" s="57">
        <f t="shared" si="109"/>
        <v>852.48539187896472</v>
      </c>
      <c r="S175" s="57">
        <f ca="1">AVERAGE(OFFSET($R$3,0,0,'Données projet'!$E$9+1,1))-AVERAGE(OFFSET($H$3,0,0,'Données projet'!$E$9+1,1))</f>
        <v>267.44861001389006</v>
      </c>
      <c r="T175" s="57">
        <f t="shared" si="142"/>
        <v>165.25921510802965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30.139727172739647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30.139727172739647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306.99999999999994</v>
      </c>
      <c r="AJ175" s="13">
        <f>AI175*VLOOKUP('Données projet'!$B$10,Paramètres!$A$1:$I$89,3,0)*VLOOKUP('Données projet'!$B$10,Paramètres!$A$1:$I$89,5,0)</f>
        <v>277.77359999999993</v>
      </c>
      <c r="AK175" s="13">
        <f t="shared" si="164"/>
        <v>66.496288176842356</v>
      </c>
      <c r="AL175" s="20">
        <f t="shared" si="165"/>
        <v>599.60338857466706</v>
      </c>
      <c r="AM175" s="57">
        <f t="shared" si="113"/>
        <v>892.93672190800044</v>
      </c>
      <c r="AN175" s="57">
        <f ca="1">AVERAGE(OFFSET($AM$3,0,0,'Données projet'!$E$10+1,1))-AVERAGE(OFFSET($H$3,0,0,'Données projet'!$E$10+1,1))</f>
        <v>294.92430430387071</v>
      </c>
      <c r="AO175" s="57">
        <f t="shared" si="144"/>
        <v>181.52228471516497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32.372299555905542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32.372299555905542</v>
      </c>
      <c r="AY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319</v>
      </c>
      <c r="BE175" s="13">
        <f>BD175*VLOOKUP('Données projet'!$B$11,Paramètres!$A$1:$I$89,3,0)*VLOOKUP('Données projet'!$B$11,Paramètres!$A$1:$I$89,5,0)</f>
        <v>258.77280000000002</v>
      </c>
      <c r="BF175" s="13">
        <f t="shared" si="167"/>
        <v>62.460716522234691</v>
      </c>
      <c r="BG175" s="20">
        <f t="shared" si="168"/>
        <v>559.48170794289206</v>
      </c>
      <c r="BH175" s="57">
        <f t="shared" si="116"/>
        <v>852.81504127622543</v>
      </c>
      <c r="BI175" s="57">
        <f ca="1">AVERAGE(OFFSET($BH$3,0,0,'Données projet'!$E$11+1,1))-AVERAGE(OFFSET($H$3,0,0,'Données projet'!$E$11+1,1))</f>
        <v>250.90550982248311</v>
      </c>
      <c r="BJ175" s="57">
        <f t="shared" si="146"/>
        <v>254.68874167908001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7.1121215911400171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7.1121215911400171</v>
      </c>
      <c r="BT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739.99999999999966</v>
      </c>
      <c r="BZ175" s="13">
        <f>BY175*VLOOKUP('Données projet'!$B$12,Paramètres!$A$1:$I$89,3,0)*VLOOKUP('Données projet'!$B$12,Paramètres!$A$1:$I$89,5,0)</f>
        <v>413.65999999999985</v>
      </c>
      <c r="CA175" s="13">
        <f t="shared" si="170"/>
        <v>94.540585122244352</v>
      </c>
      <c r="CB175" s="20">
        <f t="shared" si="171"/>
        <v>885.11601908790863</v>
      </c>
      <c r="CC175" s="57">
        <f t="shared" si="119"/>
        <v>1178.4493524212419</v>
      </c>
      <c r="CD175" s="57">
        <f ca="1">AVERAGE(OFFSET($CC$3,0,0,'Données projet'!$E$12+1,1))-AVERAGE(OFFSET($H$3,0,0,'Données projet'!$E$12+1,1))</f>
        <v>462.54745364638171</v>
      </c>
      <c r="CE175" s="57">
        <f t="shared" si="148"/>
        <v>571.50914830067313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13.438698364255718</v>
      </c>
      <c r="CL175" s="21">
        <f>EXP(-LN(2)/25)*CL174+(1-EXP(-LN(2)/25))/(LN(2)/25)*Calculateur!CG175*Calculateur!CI175*VLOOKUP('Données projet'!$B$12,Paramètres!$A$1:$I$89,3,0)*0.475*44/12</f>
        <v>1.127040684823216</v>
      </c>
      <c r="CM175" s="21">
        <f>EXP(-LN(2)/2)*CM174+(1-EXP(-LN(2)/2))/(LN(2)/2)*CG175*CJ175*VLOOKUP('Données projet'!$B$12,Paramètres!$A$1:$I$89,3,0)*0.475*44/12</f>
        <v>3.6019371635979047E-22</v>
      </c>
      <c r="CN175" s="22">
        <f t="shared" si="172"/>
        <v>14.565739049078934</v>
      </c>
      <c r="CO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245.99999999999994</v>
      </c>
      <c r="CU175" s="17">
        <f>CT175*VLOOKUP('Données projet'!$B$13,Paramètres!$A$1:$I$89,3,0)*VLOOKUP('Données projet'!$B$13,Paramètres!$A$1:$I$89,5,0)</f>
        <v>234.09359999999998</v>
      </c>
      <c r="CV175" s="13">
        <f t="shared" si="173"/>
        <v>57.166902703920208</v>
      </c>
      <c r="CW175" s="20">
        <f t="shared" si="174"/>
        <v>507.27870887599425</v>
      </c>
      <c r="CX175" s="57">
        <f t="shared" si="122"/>
        <v>800.61204220932757</v>
      </c>
      <c r="CY175" s="57">
        <f ca="1">AVERAGE(OFFSET($CX$3,0,0,'Données projet'!$E$13+1,1))-AVERAGE(OFFSET($H$3,0,0,'Données projet'!$E$13+1,1))</f>
        <v>314.67680626853303</v>
      </c>
      <c r="CZ175" s="57">
        <f t="shared" si="150"/>
        <v>372.57247561536263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25.218864412389284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25.218864412389284</v>
      </c>
      <c r="DJ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319</v>
      </c>
      <c r="DP175" s="17">
        <f>DO175*VLOOKUP('Données projet'!$B$14,Paramètres!$A$1:$I$89,3,0)*VLOOKUP('Données projet'!$B$14,Paramètres!$A$1:$I$89,5,0)</f>
        <v>209.00879999999998</v>
      </c>
      <c r="DQ175" s="13">
        <f t="shared" si="176"/>
        <v>51.718923953824202</v>
      </c>
      <c r="DR175" s="20">
        <f t="shared" si="177"/>
        <v>454.10078588624373</v>
      </c>
      <c r="DS175" s="57">
        <f t="shared" si="125"/>
        <v>747.43411921957704</v>
      </c>
      <c r="DT175" s="57">
        <f ca="1">AVERAGE(OFFSET($DS$3,0,0,'Données projet'!$E$14+1,1))-AVERAGE(OFFSET($H$3,0,0,'Données projet'!$E$14+1,1))</f>
        <v>188.80259324758066</v>
      </c>
      <c r="DU175" s="57">
        <f t="shared" si="152"/>
        <v>195.48048518255354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5.7444059005361714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5.7444059005361714</v>
      </c>
      <c r="EE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319</v>
      </c>
      <c r="EK175" s="17">
        <f>EJ175*VLOOKUP('Données projet'!$B$15,Paramètres!$A$1:$I$89,3,0)*VLOOKUP('Données projet'!$B$15,Paramètres!$A$1:$I$89,5,0)</f>
        <v>258.77280000000002</v>
      </c>
      <c r="EL175" s="13">
        <f t="shared" si="179"/>
        <v>62.460716522234691</v>
      </c>
      <c r="EM175" s="20">
        <f t="shared" si="180"/>
        <v>559.48170794289206</v>
      </c>
      <c r="EN175" s="57">
        <f t="shared" si="128"/>
        <v>852.81504127622543</v>
      </c>
      <c r="EO175" s="57">
        <f ca="1">AVERAGE(OFFSET($EN$3,0,0,'Données projet'!$E$15+1,1))-AVERAGE(OFFSET($H$3,0,0,'Données projet'!$E$15+1,1))</f>
        <v>250.90550982248311</v>
      </c>
      <c r="EP175" s="57">
        <f t="shared" si="154"/>
        <v>254.68874167908001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7.1121215911400171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7.1121215911400171</v>
      </c>
      <c r="EZ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7" t="e">
        <f t="shared" si="131"/>
        <v>#N/A</v>
      </c>
      <c r="FJ175" s="57" t="e">
        <f ca="1">AVERAGE(OFFSET($FI$3,0,0,'Données projet'!$E$16+1,1))-AVERAGE(OFFSET($H$3,0,0,'Données projet'!$E$16+1,1))</f>
        <v>#N/A</v>
      </c>
      <c r="FK175" s="57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7" t="e">
        <f t="shared" si="134"/>
        <v>#N/A</v>
      </c>
      <c r="GE175" s="57" t="e">
        <f ca="1">AVERAGE(OFFSET($GD$3,0,0,'Données projet'!$E$17+1,1))-AVERAGE(OFFSET($H$3,0,0,'Données projet'!$E$17+1,1))</f>
        <v>#N/A</v>
      </c>
      <c r="GF175" s="57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7" t="e">
        <f t="shared" si="137"/>
        <v>#N/A</v>
      </c>
      <c r="GZ175" s="57" t="e">
        <f ca="1">AVERAGE(OFFSET($GY$3,0,0,'Données projet'!$E$18+1,1))-AVERAGE(OFFSET($H$3,0,0,'Données projet'!$E$18+1,1))</f>
        <v>#N/A</v>
      </c>
      <c r="HA175" s="57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0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4">
        <f t="shared" si="110"/>
        <v>624.19549568060279</v>
      </c>
      <c r="I176" s="6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258.61679999999996</v>
      </c>
      <c r="P176" s="13">
        <f t="shared" si="141"/>
        <v>62.427444141032439</v>
      </c>
      <c r="Q176" s="20">
        <f t="shared" si="162"/>
        <v>559.15205854563135</v>
      </c>
      <c r="R176" s="57">
        <f t="shared" si="109"/>
        <v>852.48539187896472</v>
      </c>
      <c r="S176" s="57">
        <f ca="1">AVERAGE(OFFSET($R$3,0,0,'Données projet'!$E$9+1,1))-AVERAGE(OFFSET($H$3,0,0,'Données projet'!$E$9+1,1))</f>
        <v>267.44861001389006</v>
      </c>
      <c r="T176" s="57">
        <f t="shared" si="142"/>
        <v>165.25921510802965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29.548705506300585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29.548705506300585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306.99999999999994</v>
      </c>
      <c r="AJ176" s="13">
        <f>AI176*VLOOKUP('Données projet'!$B$10,Paramètres!$A$1:$I$89,3,0)*VLOOKUP('Données projet'!$B$10,Paramètres!$A$1:$I$89,5,0)</f>
        <v>277.77359999999993</v>
      </c>
      <c r="AK176" s="13">
        <f t="shared" si="164"/>
        <v>66.496288176842356</v>
      </c>
      <c r="AL176" s="20">
        <f t="shared" si="165"/>
        <v>599.60338857466706</v>
      </c>
      <c r="AM176" s="57">
        <f t="shared" si="113"/>
        <v>892.93672190800044</v>
      </c>
      <c r="AN176" s="57">
        <f ca="1">AVERAGE(OFFSET($AM$3,0,0,'Données projet'!$E$10+1,1))-AVERAGE(OFFSET($H$3,0,0,'Données projet'!$E$10+1,1))</f>
        <v>294.92430430387071</v>
      </c>
      <c r="AO176" s="57">
        <f t="shared" si="144"/>
        <v>181.52228471516497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31.737498506767292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31.737498506767292</v>
      </c>
      <c r="AY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319</v>
      </c>
      <c r="BE176" s="13">
        <f>BD176*VLOOKUP('Données projet'!$B$11,Paramètres!$A$1:$I$89,3,0)*VLOOKUP('Données projet'!$B$11,Paramètres!$A$1:$I$89,5,0)</f>
        <v>258.77280000000002</v>
      </c>
      <c r="BF176" s="13">
        <f t="shared" si="167"/>
        <v>62.460716522234691</v>
      </c>
      <c r="BG176" s="20">
        <f t="shared" si="168"/>
        <v>559.48170794289206</v>
      </c>
      <c r="BH176" s="57">
        <f t="shared" si="116"/>
        <v>852.81504127622543</v>
      </c>
      <c r="BI176" s="57">
        <f ca="1">AVERAGE(OFFSET($BH$3,0,0,'Données projet'!$E$11+1,1))-AVERAGE(OFFSET($H$3,0,0,'Données projet'!$E$11+1,1))</f>
        <v>250.90550982248311</v>
      </c>
      <c r="BJ176" s="57">
        <f t="shared" si="146"/>
        <v>254.68874167908001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6.9726572247035934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6.9726572247035934</v>
      </c>
      <c r="BT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739.99999999999966</v>
      </c>
      <c r="BZ176" s="13">
        <f>BY176*VLOOKUP('Données projet'!$B$12,Paramètres!$A$1:$I$89,3,0)*VLOOKUP('Données projet'!$B$12,Paramètres!$A$1:$I$89,5,0)</f>
        <v>413.65999999999985</v>
      </c>
      <c r="CA176" s="13">
        <f t="shared" si="170"/>
        <v>94.540585122244352</v>
      </c>
      <c r="CB176" s="20">
        <f t="shared" si="171"/>
        <v>885.11601908790863</v>
      </c>
      <c r="CC176" s="57">
        <f t="shared" si="119"/>
        <v>1178.4493524212419</v>
      </c>
      <c r="CD176" s="57">
        <f ca="1">AVERAGE(OFFSET($CC$3,0,0,'Données projet'!$E$12+1,1))-AVERAGE(OFFSET($H$3,0,0,'Données projet'!$E$12+1,1))</f>
        <v>462.54745364638171</v>
      </c>
      <c r="CE176" s="57">
        <f t="shared" si="148"/>
        <v>571.50914830067313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13.175173686129298</v>
      </c>
      <c r="CL176" s="21">
        <f>EXP(-LN(2)/25)*CL175+(1-EXP(-LN(2)/25))/(LN(2)/25)*Calculateur!CG176*Calculateur!CI176*VLOOKUP('Données projet'!$B$12,Paramètres!$A$1:$I$89,3,0)*0.475*44/12</f>
        <v>1.0962216980282313</v>
      </c>
      <c r="CM176" s="21">
        <f>EXP(-LN(2)/2)*CM175+(1-EXP(-LN(2)/2))/(LN(2)/2)*CG176*CJ176*VLOOKUP('Données projet'!$B$12,Paramètres!$A$1:$I$89,3,0)*0.475*44/12</f>
        <v>2.5469541937879172E-22</v>
      </c>
      <c r="CN176" s="22">
        <f t="shared" si="172"/>
        <v>14.271395384157529</v>
      </c>
      <c r="CO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245.99999999999994</v>
      </c>
      <c r="CU176" s="17">
        <f>CT176*VLOOKUP('Données projet'!$B$13,Paramètres!$A$1:$I$89,3,0)*VLOOKUP('Données projet'!$B$13,Paramètres!$A$1:$I$89,5,0)</f>
        <v>234.09359999999998</v>
      </c>
      <c r="CV176" s="13">
        <f t="shared" si="173"/>
        <v>57.166902703920208</v>
      </c>
      <c r="CW176" s="20">
        <f t="shared" si="174"/>
        <v>507.27870887599425</v>
      </c>
      <c r="CX176" s="57">
        <f t="shared" si="122"/>
        <v>800.61204220932757</v>
      </c>
      <c r="CY176" s="57">
        <f ca="1">AVERAGE(OFFSET($CX$3,0,0,'Données projet'!$E$13+1,1))-AVERAGE(OFFSET($H$3,0,0,'Données projet'!$E$13+1,1))</f>
        <v>314.67680626853303</v>
      </c>
      <c r="CZ176" s="57">
        <f t="shared" si="150"/>
        <v>372.57247561536263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24.724337863250778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24.724337863250778</v>
      </c>
      <c r="DJ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319</v>
      </c>
      <c r="DP176" s="17">
        <f>DO176*VLOOKUP('Données projet'!$B$14,Paramètres!$A$1:$I$89,3,0)*VLOOKUP('Données projet'!$B$14,Paramètres!$A$1:$I$89,5,0)</f>
        <v>209.00879999999998</v>
      </c>
      <c r="DQ176" s="13">
        <f t="shared" si="176"/>
        <v>51.718923953824202</v>
      </c>
      <c r="DR176" s="20">
        <f t="shared" si="177"/>
        <v>454.10078588624373</v>
      </c>
      <c r="DS176" s="57">
        <f t="shared" si="125"/>
        <v>747.43411921957704</v>
      </c>
      <c r="DT176" s="57">
        <f ca="1">AVERAGE(OFFSET($DS$3,0,0,'Données projet'!$E$14+1,1))-AVERAGE(OFFSET($H$3,0,0,'Données projet'!$E$14+1,1))</f>
        <v>188.80259324758066</v>
      </c>
      <c r="DU176" s="57">
        <f t="shared" si="152"/>
        <v>195.48048518255354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5.6317616045682906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5.6317616045682906</v>
      </c>
      <c r="EE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319</v>
      </c>
      <c r="EK176" s="17">
        <f>EJ176*VLOOKUP('Données projet'!$B$15,Paramètres!$A$1:$I$89,3,0)*VLOOKUP('Données projet'!$B$15,Paramètres!$A$1:$I$89,5,0)</f>
        <v>258.77280000000002</v>
      </c>
      <c r="EL176" s="13">
        <f t="shared" si="179"/>
        <v>62.460716522234691</v>
      </c>
      <c r="EM176" s="20">
        <f t="shared" si="180"/>
        <v>559.48170794289206</v>
      </c>
      <c r="EN176" s="57">
        <f t="shared" si="128"/>
        <v>852.81504127622543</v>
      </c>
      <c r="EO176" s="57">
        <f ca="1">AVERAGE(OFFSET($EN$3,0,0,'Données projet'!$E$15+1,1))-AVERAGE(OFFSET($H$3,0,0,'Données projet'!$E$15+1,1))</f>
        <v>250.90550982248311</v>
      </c>
      <c r="EP176" s="57">
        <f t="shared" si="154"/>
        <v>254.68874167908001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6.9726572247035934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6.9726572247035934</v>
      </c>
      <c r="EZ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7" t="e">
        <f t="shared" si="131"/>
        <v>#N/A</v>
      </c>
      <c r="FJ176" s="57" t="e">
        <f ca="1">AVERAGE(OFFSET($FI$3,0,0,'Données projet'!$E$16+1,1))-AVERAGE(OFFSET($H$3,0,0,'Données projet'!$E$16+1,1))</f>
        <v>#N/A</v>
      </c>
      <c r="FK176" s="57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7" t="e">
        <f t="shared" si="134"/>
        <v>#N/A</v>
      </c>
      <c r="GE176" s="57" t="e">
        <f ca="1">AVERAGE(OFFSET($GD$3,0,0,'Données projet'!$E$17+1,1))-AVERAGE(OFFSET($H$3,0,0,'Données projet'!$E$17+1,1))</f>
        <v>#N/A</v>
      </c>
      <c r="GF176" s="57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7" t="e">
        <f t="shared" si="137"/>
        <v>#N/A</v>
      </c>
      <c r="GZ176" s="57" t="e">
        <f ca="1">AVERAGE(OFFSET($GY$3,0,0,'Données projet'!$E$18+1,1))-AVERAGE(OFFSET($H$3,0,0,'Données projet'!$E$18+1,1))</f>
        <v>#N/A</v>
      </c>
      <c r="HA176" s="57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0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4">
        <f t="shared" si="110"/>
        <v>626.06236791217816</v>
      </c>
      <c r="I177" s="6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258.61679999999996</v>
      </c>
      <c r="P177" s="13">
        <f t="shared" si="141"/>
        <v>62.427444141032439</v>
      </c>
      <c r="Q177" s="20">
        <f t="shared" si="162"/>
        <v>559.15205854563135</v>
      </c>
      <c r="R177" s="57">
        <f t="shared" si="109"/>
        <v>852.48539187896472</v>
      </c>
      <c r="S177" s="57">
        <f ca="1">AVERAGE(OFFSET($R$3,0,0,'Données projet'!$E$9+1,1))-AVERAGE(OFFSET($H$3,0,0,'Données projet'!$E$9+1,1))</f>
        <v>267.44861001389006</v>
      </c>
      <c r="T177" s="57">
        <f t="shared" si="142"/>
        <v>165.25921510802965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28.969273414252772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28.969273414252772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306.99999999999994</v>
      </c>
      <c r="AJ177" s="13">
        <f>AI177*VLOOKUP('Données projet'!$B$10,Paramètres!$A$1:$I$89,3,0)*VLOOKUP('Données projet'!$B$10,Paramètres!$A$1:$I$89,5,0)</f>
        <v>277.77359999999993</v>
      </c>
      <c r="AK177" s="13">
        <f t="shared" si="164"/>
        <v>66.496288176842356</v>
      </c>
      <c r="AL177" s="20">
        <f t="shared" si="165"/>
        <v>599.60338857466706</v>
      </c>
      <c r="AM177" s="57">
        <f t="shared" si="113"/>
        <v>892.93672190800044</v>
      </c>
      <c r="AN177" s="57">
        <f ca="1">AVERAGE(OFFSET($AM$3,0,0,'Données projet'!$E$10+1,1))-AVERAGE(OFFSET($H$3,0,0,'Données projet'!$E$10+1,1))</f>
        <v>294.92430430387071</v>
      </c>
      <c r="AO177" s="57">
        <f t="shared" si="144"/>
        <v>181.52228471516497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31.115145519012234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31.115145519012234</v>
      </c>
      <c r="AY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319</v>
      </c>
      <c r="BE177" s="13">
        <f>BD177*VLOOKUP('Données projet'!$B$11,Paramètres!$A$1:$I$89,3,0)*VLOOKUP('Données projet'!$B$11,Paramètres!$A$1:$I$89,5,0)</f>
        <v>258.77280000000002</v>
      </c>
      <c r="BF177" s="13">
        <f t="shared" si="167"/>
        <v>62.460716522234691</v>
      </c>
      <c r="BG177" s="20">
        <f t="shared" si="168"/>
        <v>559.48170794289206</v>
      </c>
      <c r="BH177" s="57">
        <f t="shared" si="116"/>
        <v>852.81504127622543</v>
      </c>
      <c r="BI177" s="57">
        <f ca="1">AVERAGE(OFFSET($BH$3,0,0,'Données projet'!$E$11+1,1))-AVERAGE(OFFSET($H$3,0,0,'Données projet'!$E$11+1,1))</f>
        <v>250.90550982248311</v>
      </c>
      <c r="BJ177" s="57">
        <f t="shared" si="146"/>
        <v>254.68874167908001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6.8359276694281235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6.8359276694281235</v>
      </c>
      <c r="BT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739.99999999999966</v>
      </c>
      <c r="BZ177" s="13">
        <f>BY177*VLOOKUP('Données projet'!$B$12,Paramètres!$A$1:$I$89,3,0)*VLOOKUP('Données projet'!$B$12,Paramètres!$A$1:$I$89,5,0)</f>
        <v>413.65999999999985</v>
      </c>
      <c r="CA177" s="13">
        <f t="shared" si="170"/>
        <v>94.540585122244352</v>
      </c>
      <c r="CB177" s="20">
        <f t="shared" si="171"/>
        <v>885.11601908790863</v>
      </c>
      <c r="CC177" s="57">
        <f t="shared" si="119"/>
        <v>1178.4493524212419</v>
      </c>
      <c r="CD177" s="57">
        <f ca="1">AVERAGE(OFFSET($CC$3,0,0,'Données projet'!$E$12+1,1))-AVERAGE(OFFSET($H$3,0,0,'Données projet'!$E$12+1,1))</f>
        <v>462.54745364638171</v>
      </c>
      <c r="CE177" s="57">
        <f t="shared" si="148"/>
        <v>571.50914830067313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12.916816566206757</v>
      </c>
      <c r="CL177" s="21">
        <f>EXP(-LN(2)/25)*CL176+(1-EXP(-LN(2)/25))/(LN(2)/25)*Calculateur!CG177*Calculateur!CI177*VLOOKUP('Données projet'!$B$12,Paramètres!$A$1:$I$89,3,0)*0.475*44/12</f>
        <v>1.0662454580478558</v>
      </c>
      <c r="CM177" s="21">
        <f>EXP(-LN(2)/2)*CM176+(1-EXP(-LN(2)/2))/(LN(2)/2)*CG177*CJ177*VLOOKUP('Données projet'!$B$12,Paramètres!$A$1:$I$89,3,0)*0.475*44/12</f>
        <v>1.8009685817989523E-22</v>
      </c>
      <c r="CN177" s="22">
        <f t="shared" si="172"/>
        <v>13.983062024254613</v>
      </c>
      <c r="CO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245.99999999999994</v>
      </c>
      <c r="CU177" s="17">
        <f>CT177*VLOOKUP('Données projet'!$B$13,Paramètres!$A$1:$I$89,3,0)*VLOOKUP('Données projet'!$B$13,Paramètres!$A$1:$I$89,5,0)</f>
        <v>234.09359999999998</v>
      </c>
      <c r="CV177" s="13">
        <f t="shared" si="173"/>
        <v>57.166902703920208</v>
      </c>
      <c r="CW177" s="20">
        <f t="shared" si="174"/>
        <v>507.27870887599425</v>
      </c>
      <c r="CX177" s="57">
        <f t="shared" si="122"/>
        <v>800.61204220932757</v>
      </c>
      <c r="CY177" s="57">
        <f ca="1">AVERAGE(OFFSET($CX$3,0,0,'Données projet'!$E$13+1,1))-AVERAGE(OFFSET($H$3,0,0,'Données projet'!$E$13+1,1))</f>
        <v>314.67680626853303</v>
      </c>
      <c r="CZ177" s="57">
        <f t="shared" si="150"/>
        <v>372.57247561536263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24.239508678109466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24.239508678109466</v>
      </c>
      <c r="DJ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319</v>
      </c>
      <c r="DP177" s="17">
        <f>DO177*VLOOKUP('Données projet'!$B$14,Paramètres!$A$1:$I$89,3,0)*VLOOKUP('Données projet'!$B$14,Paramètres!$A$1:$I$89,5,0)</f>
        <v>209.00879999999998</v>
      </c>
      <c r="DQ177" s="13">
        <f t="shared" si="176"/>
        <v>51.718923953824202</v>
      </c>
      <c r="DR177" s="20">
        <f t="shared" si="177"/>
        <v>454.10078588624373</v>
      </c>
      <c r="DS177" s="57">
        <f t="shared" si="125"/>
        <v>747.43411921957704</v>
      </c>
      <c r="DT177" s="57">
        <f ca="1">AVERAGE(OFFSET($DS$3,0,0,'Données projet'!$E$14+1,1))-AVERAGE(OFFSET($H$3,0,0,'Données projet'!$E$14+1,1))</f>
        <v>188.80259324758066</v>
      </c>
      <c r="DU177" s="57">
        <f t="shared" si="152"/>
        <v>195.48048518255354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5.521326194538104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5.521326194538104</v>
      </c>
      <c r="EE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319</v>
      </c>
      <c r="EK177" s="17">
        <f>EJ177*VLOOKUP('Données projet'!$B$15,Paramètres!$A$1:$I$89,3,0)*VLOOKUP('Données projet'!$B$15,Paramètres!$A$1:$I$89,5,0)</f>
        <v>258.77280000000002</v>
      </c>
      <c r="EL177" s="13">
        <f t="shared" si="179"/>
        <v>62.460716522234691</v>
      </c>
      <c r="EM177" s="20">
        <f t="shared" si="180"/>
        <v>559.48170794289206</v>
      </c>
      <c r="EN177" s="57">
        <f t="shared" si="128"/>
        <v>852.81504127622543</v>
      </c>
      <c r="EO177" s="57">
        <f ca="1">AVERAGE(OFFSET($EN$3,0,0,'Données projet'!$E$15+1,1))-AVERAGE(OFFSET($H$3,0,0,'Données projet'!$E$15+1,1))</f>
        <v>250.90550982248311</v>
      </c>
      <c r="EP177" s="57">
        <f t="shared" si="154"/>
        <v>254.68874167908001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6.8359276694281235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6.8359276694281235</v>
      </c>
      <c r="EZ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7" t="e">
        <f t="shared" si="131"/>
        <v>#N/A</v>
      </c>
      <c r="FJ177" s="57" t="e">
        <f ca="1">AVERAGE(OFFSET($FI$3,0,0,'Données projet'!$E$16+1,1))-AVERAGE(OFFSET($H$3,0,0,'Données projet'!$E$16+1,1))</f>
        <v>#N/A</v>
      </c>
      <c r="FK177" s="57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7" t="e">
        <f t="shared" si="134"/>
        <v>#N/A</v>
      </c>
      <c r="GE177" s="57" t="e">
        <f ca="1">AVERAGE(OFFSET($GD$3,0,0,'Données projet'!$E$17+1,1))-AVERAGE(OFFSET($H$3,0,0,'Données projet'!$E$17+1,1))</f>
        <v>#N/A</v>
      </c>
      <c r="GF177" s="57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7" t="e">
        <f t="shared" si="137"/>
        <v>#N/A</v>
      </c>
      <c r="GZ177" s="57" t="e">
        <f ca="1">AVERAGE(OFFSET($GY$3,0,0,'Données projet'!$E$18+1,1))-AVERAGE(OFFSET($H$3,0,0,'Données projet'!$E$18+1,1))</f>
        <v>#N/A</v>
      </c>
      <c r="HA177" s="57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0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4">
        <f t="shared" si="110"/>
        <v>627.92900919093245</v>
      </c>
      <c r="I178" s="6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258.61679999999996</v>
      </c>
      <c r="P178" s="13">
        <f t="shared" si="141"/>
        <v>62.427444141032439</v>
      </c>
      <c r="Q178" s="20">
        <f t="shared" si="162"/>
        <v>559.15205854563135</v>
      </c>
      <c r="R178" s="57">
        <f t="shared" si="109"/>
        <v>852.48539187896472</v>
      </c>
      <c r="S178" s="57">
        <f ca="1">AVERAGE(OFFSET($R$3,0,0,'Données projet'!$E$9+1,1))-AVERAGE(OFFSET($H$3,0,0,'Données projet'!$E$9+1,1))</f>
        <v>267.44861001389006</v>
      </c>
      <c r="T178" s="57">
        <f t="shared" si="142"/>
        <v>165.25921510802965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28.40120363211134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28.40120363211134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306.99999999999994</v>
      </c>
      <c r="AJ178" s="13">
        <f>AI178*VLOOKUP('Données projet'!$B$10,Paramètres!$A$1:$I$89,3,0)*VLOOKUP('Données projet'!$B$10,Paramètres!$A$1:$I$89,5,0)</f>
        <v>277.77359999999993</v>
      </c>
      <c r="AK178" s="13">
        <f t="shared" si="164"/>
        <v>66.496288176842356</v>
      </c>
      <c r="AL178" s="20">
        <f t="shared" si="165"/>
        <v>599.60338857466706</v>
      </c>
      <c r="AM178" s="57">
        <f t="shared" si="113"/>
        <v>892.93672190800044</v>
      </c>
      <c r="AN178" s="57">
        <f ca="1">AVERAGE(OFFSET($AM$3,0,0,'Données projet'!$E$10+1,1))-AVERAGE(OFFSET($H$3,0,0,'Données projet'!$E$10+1,1))</f>
        <v>294.92430430387071</v>
      </c>
      <c r="AO178" s="57">
        <f t="shared" si="144"/>
        <v>181.52228471516497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30.504996493749214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30.504996493749214</v>
      </c>
      <c r="AY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319</v>
      </c>
      <c r="BE178" s="13">
        <f>BD178*VLOOKUP('Données projet'!$B$11,Paramètres!$A$1:$I$89,3,0)*VLOOKUP('Données projet'!$B$11,Paramètres!$A$1:$I$89,5,0)</f>
        <v>258.77280000000002</v>
      </c>
      <c r="BF178" s="13">
        <f t="shared" si="167"/>
        <v>62.460716522234691</v>
      </c>
      <c r="BG178" s="20">
        <f t="shared" si="168"/>
        <v>559.48170794289206</v>
      </c>
      <c r="BH178" s="57">
        <f t="shared" si="116"/>
        <v>852.81504127622543</v>
      </c>
      <c r="BI178" s="57">
        <f ca="1">AVERAGE(OFFSET($BH$3,0,0,'Données projet'!$E$11+1,1))-AVERAGE(OFFSET($H$3,0,0,'Données projet'!$E$11+1,1))</f>
        <v>250.90550982248311</v>
      </c>
      <c r="BJ178" s="57">
        <f t="shared" si="146"/>
        <v>254.68874167908001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6.7018792973348118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6.7018792973348118</v>
      </c>
      <c r="BT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739.99999999999966</v>
      </c>
      <c r="BZ178" s="13">
        <f>BY178*VLOOKUP('Données projet'!$B$12,Paramètres!$A$1:$I$89,3,0)*VLOOKUP('Données projet'!$B$12,Paramètres!$A$1:$I$89,5,0)</f>
        <v>413.65999999999985</v>
      </c>
      <c r="CA178" s="13">
        <f t="shared" si="170"/>
        <v>94.540585122244352</v>
      </c>
      <c r="CB178" s="20">
        <f t="shared" si="171"/>
        <v>885.11601908790863</v>
      </c>
      <c r="CC178" s="57">
        <f t="shared" si="119"/>
        <v>1178.4493524212419</v>
      </c>
      <c r="CD178" s="57">
        <f ca="1">AVERAGE(OFFSET($CC$3,0,0,'Données projet'!$E$12+1,1))-AVERAGE(OFFSET($H$3,0,0,'Données projet'!$E$12+1,1))</f>
        <v>462.54745364638171</v>
      </c>
      <c r="CE178" s="57">
        <f t="shared" si="148"/>
        <v>571.50914830067313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12.663525671823612</v>
      </c>
      <c r="CL178" s="21">
        <f>EXP(-LN(2)/25)*CL177+(1-EXP(-LN(2)/25))/(LN(2)/25)*Calculateur!CG178*Calculateur!CI178*VLOOKUP('Données projet'!$B$12,Paramètres!$A$1:$I$89,3,0)*0.475*44/12</f>
        <v>1.0370889199261255</v>
      </c>
      <c r="CM178" s="21">
        <f>EXP(-LN(2)/2)*CM177+(1-EXP(-LN(2)/2))/(LN(2)/2)*CG178*CJ178*VLOOKUP('Données projet'!$B$12,Paramètres!$A$1:$I$89,3,0)*0.475*44/12</f>
        <v>1.2734770968939586E-22</v>
      </c>
      <c r="CN178" s="22">
        <f t="shared" si="172"/>
        <v>13.700614591749737</v>
      </c>
      <c r="CO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245.99999999999994</v>
      </c>
      <c r="CU178" s="17">
        <f>CT178*VLOOKUP('Données projet'!$B$13,Paramètres!$A$1:$I$89,3,0)*VLOOKUP('Données projet'!$B$13,Paramètres!$A$1:$I$89,5,0)</f>
        <v>234.09359999999998</v>
      </c>
      <c r="CV178" s="13">
        <f t="shared" si="173"/>
        <v>57.166902703920208</v>
      </c>
      <c r="CW178" s="20">
        <f t="shared" si="174"/>
        <v>507.27870887599425</v>
      </c>
      <c r="CX178" s="57">
        <f t="shared" si="122"/>
        <v>800.61204220932757</v>
      </c>
      <c r="CY178" s="57">
        <f ca="1">AVERAGE(OFFSET($CX$3,0,0,'Données projet'!$E$13+1,1))-AVERAGE(OFFSET($H$3,0,0,'Données projet'!$E$13+1,1))</f>
        <v>314.67680626853303</v>
      </c>
      <c r="CZ178" s="57">
        <f t="shared" si="150"/>
        <v>372.57247561536263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23.764186697572171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23.764186697572171</v>
      </c>
      <c r="DJ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319</v>
      </c>
      <c r="DP178" s="17">
        <f>DO178*VLOOKUP('Données projet'!$B$14,Paramètres!$A$1:$I$89,3,0)*VLOOKUP('Données projet'!$B$14,Paramètres!$A$1:$I$89,5,0)</f>
        <v>209.00879999999998</v>
      </c>
      <c r="DQ178" s="13">
        <f t="shared" si="176"/>
        <v>51.718923953824202</v>
      </c>
      <c r="DR178" s="20">
        <f t="shared" si="177"/>
        <v>454.10078588624373</v>
      </c>
      <c r="DS178" s="57">
        <f t="shared" si="125"/>
        <v>747.43411921957704</v>
      </c>
      <c r="DT178" s="57">
        <f ca="1">AVERAGE(OFFSET($DS$3,0,0,'Données projet'!$E$14+1,1))-AVERAGE(OFFSET($H$3,0,0,'Données projet'!$E$14+1,1))</f>
        <v>188.80259324758066</v>
      </c>
      <c r="DU178" s="57">
        <f t="shared" si="152"/>
        <v>195.48048518255354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5.41305635553966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5.41305635553966</v>
      </c>
      <c r="EE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319</v>
      </c>
      <c r="EK178" s="17">
        <f>EJ178*VLOOKUP('Données projet'!$B$15,Paramètres!$A$1:$I$89,3,0)*VLOOKUP('Données projet'!$B$15,Paramètres!$A$1:$I$89,5,0)</f>
        <v>258.77280000000002</v>
      </c>
      <c r="EL178" s="13">
        <f t="shared" si="179"/>
        <v>62.460716522234691</v>
      </c>
      <c r="EM178" s="20">
        <f t="shared" si="180"/>
        <v>559.48170794289206</v>
      </c>
      <c r="EN178" s="57">
        <f t="shared" si="128"/>
        <v>852.81504127622543</v>
      </c>
      <c r="EO178" s="57">
        <f ca="1">AVERAGE(OFFSET($EN$3,0,0,'Données projet'!$E$15+1,1))-AVERAGE(OFFSET($H$3,0,0,'Données projet'!$E$15+1,1))</f>
        <v>250.90550982248311</v>
      </c>
      <c r="EP178" s="57">
        <f t="shared" si="154"/>
        <v>254.68874167908001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6.7018792973348118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6.7018792973348118</v>
      </c>
      <c r="EZ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7" t="e">
        <f t="shared" si="131"/>
        <v>#N/A</v>
      </c>
      <c r="FJ178" s="57" t="e">
        <f ca="1">AVERAGE(OFFSET($FI$3,0,0,'Données projet'!$E$16+1,1))-AVERAGE(OFFSET($H$3,0,0,'Données projet'!$E$16+1,1))</f>
        <v>#N/A</v>
      </c>
      <c r="FK178" s="57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7" t="e">
        <f t="shared" si="134"/>
        <v>#N/A</v>
      </c>
      <c r="GE178" s="57" t="e">
        <f ca="1">AVERAGE(OFFSET($GD$3,0,0,'Données projet'!$E$17+1,1))-AVERAGE(OFFSET($H$3,0,0,'Données projet'!$E$17+1,1))</f>
        <v>#N/A</v>
      </c>
      <c r="GF178" s="57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7" t="e">
        <f t="shared" si="137"/>
        <v>#N/A</v>
      </c>
      <c r="GZ178" s="57" t="e">
        <f ca="1">AVERAGE(OFFSET($GY$3,0,0,'Données projet'!$E$18+1,1))-AVERAGE(OFFSET($H$3,0,0,'Données projet'!$E$18+1,1))</f>
        <v>#N/A</v>
      </c>
      <c r="HA178" s="57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0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4">
        <f t="shared" si="110"/>
        <v>629.79542098973843</v>
      </c>
      <c r="I179" s="6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258.61679999999996</v>
      </c>
      <c r="P179" s="13">
        <f t="shared" si="141"/>
        <v>62.427444141032439</v>
      </c>
      <c r="Q179" s="20">
        <f t="shared" si="162"/>
        <v>559.15205854563135</v>
      </c>
      <c r="R179" s="57">
        <f t="shared" si="109"/>
        <v>852.48539187896472</v>
      </c>
      <c r="S179" s="57">
        <f ca="1">AVERAGE(OFFSET($R$3,0,0,'Données projet'!$E$9+1,1))-AVERAGE(OFFSET($H$3,0,0,'Données projet'!$E$9+1,1))</f>
        <v>267.44861001389006</v>
      </c>
      <c r="T179" s="57">
        <f t="shared" si="142"/>
        <v>165.25921510802965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27.844273351909347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27.844273351909347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306.99999999999994</v>
      </c>
      <c r="AJ179" s="13">
        <f>AI179*VLOOKUP('Données projet'!$B$10,Paramètres!$A$1:$I$89,3,0)*VLOOKUP('Données projet'!$B$10,Paramètres!$A$1:$I$89,5,0)</f>
        <v>277.77359999999993</v>
      </c>
      <c r="AK179" s="13">
        <f t="shared" si="164"/>
        <v>66.496288176842356</v>
      </c>
      <c r="AL179" s="20">
        <f t="shared" si="165"/>
        <v>599.60338857466706</v>
      </c>
      <c r="AM179" s="57">
        <f t="shared" si="113"/>
        <v>892.93672190800044</v>
      </c>
      <c r="AN179" s="57">
        <f ca="1">AVERAGE(OFFSET($AM$3,0,0,'Données projet'!$E$10+1,1))-AVERAGE(OFFSET($H$3,0,0,'Données projet'!$E$10+1,1))</f>
        <v>294.92430430387071</v>
      </c>
      <c r="AO179" s="57">
        <f t="shared" si="144"/>
        <v>181.52228471516497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29.906812118717443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29.906812118717443</v>
      </c>
      <c r="AY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319</v>
      </c>
      <c r="BE179" s="13">
        <f>BD179*VLOOKUP('Données projet'!$B$11,Paramètres!$A$1:$I$89,3,0)*VLOOKUP('Données projet'!$B$11,Paramètres!$A$1:$I$89,5,0)</f>
        <v>258.77280000000002</v>
      </c>
      <c r="BF179" s="13">
        <f t="shared" si="167"/>
        <v>62.460716522234691</v>
      </c>
      <c r="BG179" s="20">
        <f t="shared" si="168"/>
        <v>559.48170794289206</v>
      </c>
      <c r="BH179" s="57">
        <f t="shared" si="116"/>
        <v>852.81504127622543</v>
      </c>
      <c r="BI179" s="57">
        <f ca="1">AVERAGE(OFFSET($BH$3,0,0,'Données projet'!$E$11+1,1))-AVERAGE(OFFSET($H$3,0,0,'Données projet'!$E$11+1,1))</f>
        <v>250.90550982248311</v>
      </c>
      <c r="BJ179" s="57">
        <f t="shared" si="146"/>
        <v>254.68874167908001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6.5704595320568169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6.5704595320568169</v>
      </c>
      <c r="BT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739.99999999999966</v>
      </c>
      <c r="BZ179" s="13">
        <f>BY179*VLOOKUP('Données projet'!$B$12,Paramètres!$A$1:$I$89,3,0)*VLOOKUP('Données projet'!$B$12,Paramètres!$A$1:$I$89,5,0)</f>
        <v>413.65999999999985</v>
      </c>
      <c r="CA179" s="13">
        <f t="shared" si="170"/>
        <v>94.540585122244352</v>
      </c>
      <c r="CB179" s="20">
        <f t="shared" si="171"/>
        <v>885.11601908790863</v>
      </c>
      <c r="CC179" s="57">
        <f t="shared" si="119"/>
        <v>1178.4493524212419</v>
      </c>
      <c r="CD179" s="57">
        <f ca="1">AVERAGE(OFFSET($CC$3,0,0,'Données projet'!$E$12+1,1))-AVERAGE(OFFSET($H$3,0,0,'Données projet'!$E$12+1,1))</f>
        <v>462.54745364638171</v>
      </c>
      <c r="CE179" s="57">
        <f t="shared" si="148"/>
        <v>571.50914830067313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12.415201657387129</v>
      </c>
      <c r="CL179" s="21">
        <f>EXP(-LN(2)/25)*CL178+(1-EXP(-LN(2)/25))/(LN(2)/25)*Calculateur!CG179*Calculateur!CI179*VLOOKUP('Données projet'!$B$12,Paramètres!$A$1:$I$89,3,0)*0.475*44/12</f>
        <v>1.0087296688726095</v>
      </c>
      <c r="CM179" s="21">
        <f>EXP(-LN(2)/2)*CM178+(1-EXP(-LN(2)/2))/(LN(2)/2)*CG179*CJ179*VLOOKUP('Données projet'!$B$12,Paramètres!$A$1:$I$89,3,0)*0.475*44/12</f>
        <v>9.0048429089947617E-23</v>
      </c>
      <c r="CN179" s="22">
        <f t="shared" si="172"/>
        <v>13.423931326259739</v>
      </c>
      <c r="CO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245.99999999999994</v>
      </c>
      <c r="CU179" s="17">
        <f>CT179*VLOOKUP('Données projet'!$B$13,Paramètres!$A$1:$I$89,3,0)*VLOOKUP('Données projet'!$B$13,Paramètres!$A$1:$I$89,5,0)</f>
        <v>234.09359999999998</v>
      </c>
      <c r="CV179" s="13">
        <f t="shared" si="173"/>
        <v>57.166902703920208</v>
      </c>
      <c r="CW179" s="20">
        <f t="shared" si="174"/>
        <v>507.27870887599425</v>
      </c>
      <c r="CX179" s="57">
        <f t="shared" si="122"/>
        <v>800.61204220932757</v>
      </c>
      <c r="CY179" s="57">
        <f ca="1">AVERAGE(OFFSET($CX$3,0,0,'Données projet'!$E$13+1,1))-AVERAGE(OFFSET($H$3,0,0,'Données projet'!$E$13+1,1))</f>
        <v>314.67680626853303</v>
      </c>
      <c r="CZ179" s="57">
        <f t="shared" si="150"/>
        <v>372.57247561536263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23.298185491155433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23.298185491155433</v>
      </c>
      <c r="DJ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319</v>
      </c>
      <c r="DP179" s="17">
        <f>DO179*VLOOKUP('Données projet'!$B$14,Paramètres!$A$1:$I$89,3,0)*VLOOKUP('Données projet'!$B$14,Paramètres!$A$1:$I$89,5,0)</f>
        <v>209.00879999999998</v>
      </c>
      <c r="DQ179" s="13">
        <f t="shared" si="176"/>
        <v>51.718923953824202</v>
      </c>
      <c r="DR179" s="20">
        <f t="shared" si="177"/>
        <v>454.10078588624373</v>
      </c>
      <c r="DS179" s="57">
        <f t="shared" si="125"/>
        <v>747.43411921957704</v>
      </c>
      <c r="DT179" s="57">
        <f ca="1">AVERAGE(OFFSET($DS$3,0,0,'Données projet'!$E$14+1,1))-AVERAGE(OFFSET($H$3,0,0,'Données projet'!$E$14+1,1))</f>
        <v>188.80259324758066</v>
      </c>
      <c r="DU179" s="57">
        <f t="shared" si="152"/>
        <v>195.48048518255354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5.3069096220458949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5.3069096220458949</v>
      </c>
      <c r="EE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319</v>
      </c>
      <c r="EK179" s="17">
        <f>EJ179*VLOOKUP('Données projet'!$B$15,Paramètres!$A$1:$I$89,3,0)*VLOOKUP('Données projet'!$B$15,Paramètres!$A$1:$I$89,5,0)</f>
        <v>258.77280000000002</v>
      </c>
      <c r="EL179" s="13">
        <f t="shared" si="179"/>
        <v>62.460716522234691</v>
      </c>
      <c r="EM179" s="20">
        <f t="shared" si="180"/>
        <v>559.48170794289206</v>
      </c>
      <c r="EN179" s="57">
        <f t="shared" si="128"/>
        <v>852.81504127622543</v>
      </c>
      <c r="EO179" s="57">
        <f ca="1">AVERAGE(OFFSET($EN$3,0,0,'Données projet'!$E$15+1,1))-AVERAGE(OFFSET($H$3,0,0,'Données projet'!$E$15+1,1))</f>
        <v>250.90550982248311</v>
      </c>
      <c r="EP179" s="57">
        <f t="shared" si="154"/>
        <v>254.68874167908001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6.5704595320568169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6.5704595320568169</v>
      </c>
      <c r="EZ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7" t="e">
        <f t="shared" si="131"/>
        <v>#N/A</v>
      </c>
      <c r="FJ179" s="57" t="e">
        <f ca="1">AVERAGE(OFFSET($FI$3,0,0,'Données projet'!$E$16+1,1))-AVERAGE(OFFSET($H$3,0,0,'Données projet'!$E$16+1,1))</f>
        <v>#N/A</v>
      </c>
      <c r="FK179" s="57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7" t="e">
        <f t="shared" si="134"/>
        <v>#N/A</v>
      </c>
      <c r="GE179" s="57" t="e">
        <f ca="1">AVERAGE(OFFSET($GD$3,0,0,'Données projet'!$E$17+1,1))-AVERAGE(OFFSET($H$3,0,0,'Données projet'!$E$17+1,1))</f>
        <v>#N/A</v>
      </c>
      <c r="GF179" s="57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7" t="e">
        <f t="shared" si="137"/>
        <v>#N/A</v>
      </c>
      <c r="GZ179" s="57" t="e">
        <f ca="1">AVERAGE(OFFSET($GY$3,0,0,'Données projet'!$E$18+1,1))-AVERAGE(OFFSET($H$3,0,0,'Données projet'!$E$18+1,1))</f>
        <v>#N/A</v>
      </c>
      <c r="HA179" s="57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0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4">
        <f t="shared" si="110"/>
        <v>631.6616047637641</v>
      </c>
      <c r="I180" s="6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258.61679999999996</v>
      </c>
      <c r="P180" s="13">
        <f t="shared" si="141"/>
        <v>62.427444141032439</v>
      </c>
      <c r="Q180" s="20">
        <f t="shared" si="162"/>
        <v>559.15205854563135</v>
      </c>
      <c r="R180" s="57">
        <f t="shared" si="109"/>
        <v>852.48539187896472</v>
      </c>
      <c r="S180" s="57">
        <f ca="1">AVERAGE(OFFSET($R$3,0,0,'Données projet'!$E$9+1,1))-AVERAGE(OFFSET($H$3,0,0,'Données projet'!$E$9+1,1))</f>
        <v>267.44861001389006</v>
      </c>
      <c r="T180" s="57">
        <f t="shared" si="142"/>
        <v>165.25921510802965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27.298264134808186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27.298264134808186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306.99999999999994</v>
      </c>
      <c r="AJ180" s="13">
        <f>AI180*VLOOKUP('Données projet'!$B$10,Paramètres!$A$1:$I$89,3,0)*VLOOKUP('Données projet'!$B$10,Paramètres!$A$1:$I$89,5,0)</f>
        <v>277.77359999999993</v>
      </c>
      <c r="AK180" s="13">
        <f t="shared" si="164"/>
        <v>66.496288176842356</v>
      </c>
      <c r="AL180" s="20">
        <f t="shared" si="165"/>
        <v>599.60338857466706</v>
      </c>
      <c r="AM180" s="57">
        <f t="shared" si="113"/>
        <v>892.93672190800044</v>
      </c>
      <c r="AN180" s="57">
        <f ca="1">AVERAGE(OFFSET($AM$3,0,0,'Données projet'!$E$10+1,1))-AVERAGE(OFFSET($H$3,0,0,'Données projet'!$E$10+1,1))</f>
        <v>294.92430430387071</v>
      </c>
      <c r="AO180" s="57">
        <f t="shared" si="144"/>
        <v>181.52228471516497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29.320357774423602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29.320357774423602</v>
      </c>
      <c r="AY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319</v>
      </c>
      <c r="BE180" s="13">
        <f>BD180*VLOOKUP('Données projet'!$B$11,Paramètres!$A$1:$I$89,3,0)*VLOOKUP('Données projet'!$B$11,Paramètres!$A$1:$I$89,5,0)</f>
        <v>258.77280000000002</v>
      </c>
      <c r="BF180" s="13">
        <f t="shared" si="167"/>
        <v>62.460716522234691</v>
      </c>
      <c r="BG180" s="20">
        <f t="shared" si="168"/>
        <v>559.48170794289206</v>
      </c>
      <c r="BH180" s="57">
        <f t="shared" si="116"/>
        <v>852.81504127622543</v>
      </c>
      <c r="BI180" s="57">
        <f ca="1">AVERAGE(OFFSET($BH$3,0,0,'Données projet'!$E$11+1,1))-AVERAGE(OFFSET($H$3,0,0,'Données projet'!$E$11+1,1))</f>
        <v>250.90550982248311</v>
      </c>
      <c r="BJ180" s="57">
        <f t="shared" si="146"/>
        <v>254.68874167908001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6.4416168282177813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6.4416168282177813</v>
      </c>
      <c r="BT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739.99999999999966</v>
      </c>
      <c r="BZ180" s="13">
        <f>BY180*VLOOKUP('Données projet'!$B$12,Paramètres!$A$1:$I$89,3,0)*VLOOKUP('Données projet'!$B$12,Paramètres!$A$1:$I$89,5,0)</f>
        <v>413.65999999999985</v>
      </c>
      <c r="CA180" s="13">
        <f t="shared" si="170"/>
        <v>94.540585122244352</v>
      </c>
      <c r="CB180" s="20">
        <f t="shared" si="171"/>
        <v>885.11601908790863</v>
      </c>
      <c r="CC180" s="57">
        <f t="shared" si="119"/>
        <v>1178.4493524212419</v>
      </c>
      <c r="CD180" s="57">
        <f ca="1">AVERAGE(OFFSET($CC$3,0,0,'Données projet'!$E$12+1,1))-AVERAGE(OFFSET($H$3,0,0,'Données projet'!$E$12+1,1))</f>
        <v>462.54745364638171</v>
      </c>
      <c r="CE180" s="57">
        <f t="shared" si="148"/>
        <v>571.50914830067313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12.171747125411054</v>
      </c>
      <c r="CL180" s="21">
        <f>EXP(-LN(2)/25)*CL179+(1-EXP(-LN(2)/25))/(LN(2)/25)*Calculateur!CG180*Calculateur!CI180*VLOOKUP('Données projet'!$B$12,Paramètres!$A$1:$I$89,3,0)*0.475*44/12</f>
        <v>0.9811459030305002</v>
      </c>
      <c r="CM180" s="21">
        <f>EXP(-LN(2)/2)*CM179+(1-EXP(-LN(2)/2))/(LN(2)/2)*CG180*CJ180*VLOOKUP('Données projet'!$B$12,Paramètres!$A$1:$I$89,3,0)*0.475*44/12</f>
        <v>6.3673854844697929E-23</v>
      </c>
      <c r="CN180" s="22">
        <f t="shared" si="172"/>
        <v>13.152893028441554</v>
      </c>
      <c r="CO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245.99999999999994</v>
      </c>
      <c r="CU180" s="17">
        <f>CT180*VLOOKUP('Données projet'!$B$13,Paramètres!$A$1:$I$89,3,0)*VLOOKUP('Données projet'!$B$13,Paramètres!$A$1:$I$89,5,0)</f>
        <v>234.09359999999998</v>
      </c>
      <c r="CV180" s="13">
        <f t="shared" si="173"/>
        <v>57.166902703920208</v>
      </c>
      <c r="CW180" s="20">
        <f t="shared" si="174"/>
        <v>507.27870887599425</v>
      </c>
      <c r="CX180" s="57">
        <f t="shared" si="122"/>
        <v>800.61204220932757</v>
      </c>
      <c r="CY180" s="57">
        <f ca="1">AVERAGE(OFFSET($CX$3,0,0,'Données projet'!$E$13+1,1))-AVERAGE(OFFSET($H$3,0,0,'Données projet'!$E$13+1,1))</f>
        <v>314.67680626853303</v>
      </c>
      <c r="CZ180" s="57">
        <f t="shared" si="150"/>
        <v>372.57247561536263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22.841322284163855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22.841322284163855</v>
      </c>
      <c r="DJ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319</v>
      </c>
      <c r="DP180" s="17">
        <f>DO180*VLOOKUP('Données projet'!$B$14,Paramètres!$A$1:$I$89,3,0)*VLOOKUP('Données projet'!$B$14,Paramètres!$A$1:$I$89,5,0)</f>
        <v>209.00879999999998</v>
      </c>
      <c r="DQ180" s="13">
        <f t="shared" si="176"/>
        <v>51.718923953824202</v>
      </c>
      <c r="DR180" s="20">
        <f t="shared" si="177"/>
        <v>454.10078588624373</v>
      </c>
      <c r="DS180" s="57">
        <f t="shared" si="125"/>
        <v>747.43411921957704</v>
      </c>
      <c r="DT180" s="57">
        <f ca="1">AVERAGE(OFFSET($DS$3,0,0,'Données projet'!$E$14+1,1))-AVERAGE(OFFSET($H$3,0,0,'Données projet'!$E$14+1,1))</f>
        <v>188.80259324758066</v>
      </c>
      <c r="DU180" s="57">
        <f t="shared" si="152"/>
        <v>195.48048518255354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5.2028443612528275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5.2028443612528275</v>
      </c>
      <c r="EE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319</v>
      </c>
      <c r="EK180" s="17">
        <f>EJ180*VLOOKUP('Données projet'!$B$15,Paramètres!$A$1:$I$89,3,0)*VLOOKUP('Données projet'!$B$15,Paramètres!$A$1:$I$89,5,0)</f>
        <v>258.77280000000002</v>
      </c>
      <c r="EL180" s="13">
        <f t="shared" si="179"/>
        <v>62.460716522234691</v>
      </c>
      <c r="EM180" s="20">
        <f t="shared" si="180"/>
        <v>559.48170794289206</v>
      </c>
      <c r="EN180" s="57">
        <f t="shared" si="128"/>
        <v>852.81504127622543</v>
      </c>
      <c r="EO180" s="57">
        <f ca="1">AVERAGE(OFFSET($EN$3,0,0,'Données projet'!$E$15+1,1))-AVERAGE(OFFSET($H$3,0,0,'Données projet'!$E$15+1,1))</f>
        <v>250.90550982248311</v>
      </c>
      <c r="EP180" s="57">
        <f t="shared" si="154"/>
        <v>254.68874167908001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6.4416168282177813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6.4416168282177813</v>
      </c>
      <c r="EZ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7" t="e">
        <f t="shared" si="131"/>
        <v>#N/A</v>
      </c>
      <c r="FJ180" s="57" t="e">
        <f ca="1">AVERAGE(OFFSET($FI$3,0,0,'Données projet'!$E$16+1,1))-AVERAGE(OFFSET($H$3,0,0,'Données projet'!$E$16+1,1))</f>
        <v>#N/A</v>
      </c>
      <c r="FK180" s="57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7" t="e">
        <f t="shared" si="134"/>
        <v>#N/A</v>
      </c>
      <c r="GE180" s="57" t="e">
        <f ca="1">AVERAGE(OFFSET($GD$3,0,0,'Données projet'!$E$17+1,1))-AVERAGE(OFFSET($H$3,0,0,'Données projet'!$E$17+1,1))</f>
        <v>#N/A</v>
      </c>
      <c r="GF180" s="57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7" t="e">
        <f t="shared" si="137"/>
        <v>#N/A</v>
      </c>
      <c r="GZ180" s="57" t="e">
        <f ca="1">AVERAGE(OFFSET($GY$3,0,0,'Données projet'!$E$18+1,1))-AVERAGE(OFFSET($H$3,0,0,'Données projet'!$E$18+1,1))</f>
        <v>#N/A</v>
      </c>
      <c r="HA180" s="57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0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4">
        <f t="shared" si="110"/>
        <v>633.52756195078257</v>
      </c>
      <c r="I181" s="6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258.61679999999996</v>
      </c>
      <c r="P181" s="13">
        <f t="shared" si="141"/>
        <v>62.427444141032439</v>
      </c>
      <c r="Q181" s="20">
        <f t="shared" si="162"/>
        <v>559.15205854563135</v>
      </c>
      <c r="R181" s="57">
        <f t="shared" si="109"/>
        <v>852.48539187896472</v>
      </c>
      <c r="S181" s="57">
        <f ca="1">AVERAGE(OFFSET($R$3,0,0,'Données projet'!$E$9+1,1))-AVERAGE(OFFSET($H$3,0,0,'Données projet'!$E$9+1,1))</f>
        <v>267.44861001389006</v>
      </c>
      <c r="T181" s="57">
        <f t="shared" si="142"/>
        <v>165.25921510802965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26.762961825421637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26.762961825421637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306.99999999999994</v>
      </c>
      <c r="AJ181" s="13">
        <f>AI181*VLOOKUP('Données projet'!$B$10,Paramètres!$A$1:$I$89,3,0)*VLOOKUP('Données projet'!$B$10,Paramètres!$A$1:$I$89,5,0)</f>
        <v>277.77359999999993</v>
      </c>
      <c r="AK181" s="13">
        <f t="shared" si="164"/>
        <v>66.496288176842356</v>
      </c>
      <c r="AL181" s="20">
        <f t="shared" si="165"/>
        <v>599.60338857466706</v>
      </c>
      <c r="AM181" s="57">
        <f t="shared" si="113"/>
        <v>892.93672190800044</v>
      </c>
      <c r="AN181" s="57">
        <f ca="1">AVERAGE(OFFSET($AM$3,0,0,'Données projet'!$E$10+1,1))-AVERAGE(OFFSET($H$3,0,0,'Données projet'!$E$10+1,1))</f>
        <v>294.92430430387071</v>
      </c>
      <c r="AO181" s="57">
        <f t="shared" si="144"/>
        <v>181.52228471516497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28.745403442119535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28.745403442119535</v>
      </c>
      <c r="AY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319</v>
      </c>
      <c r="BE181" s="13">
        <f>BD181*VLOOKUP('Données projet'!$B$11,Paramètres!$A$1:$I$89,3,0)*VLOOKUP('Données projet'!$B$11,Paramètres!$A$1:$I$89,5,0)</f>
        <v>258.77280000000002</v>
      </c>
      <c r="BF181" s="13">
        <f t="shared" si="167"/>
        <v>62.460716522234691</v>
      </c>
      <c r="BG181" s="20">
        <f t="shared" si="168"/>
        <v>559.48170794289206</v>
      </c>
      <c r="BH181" s="57">
        <f t="shared" si="116"/>
        <v>852.81504127622543</v>
      </c>
      <c r="BI181" s="57">
        <f ca="1">AVERAGE(OFFSET($BH$3,0,0,'Données projet'!$E$11+1,1))-AVERAGE(OFFSET($H$3,0,0,'Données projet'!$E$11+1,1))</f>
        <v>250.90550982248311</v>
      </c>
      <c r="BJ181" s="57">
        <f t="shared" si="146"/>
        <v>254.68874167908001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6.3153006512147396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6.3153006512147396</v>
      </c>
      <c r="BT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739.99999999999966</v>
      </c>
      <c r="BZ181" s="13">
        <f>BY181*VLOOKUP('Données projet'!$B$12,Paramètres!$A$1:$I$89,3,0)*VLOOKUP('Données projet'!$B$12,Paramètres!$A$1:$I$89,5,0)</f>
        <v>413.65999999999985</v>
      </c>
      <c r="CA181" s="13">
        <f t="shared" si="170"/>
        <v>94.540585122244352</v>
      </c>
      <c r="CB181" s="20">
        <f t="shared" si="171"/>
        <v>885.11601908790863</v>
      </c>
      <c r="CC181" s="57">
        <f t="shared" si="119"/>
        <v>1178.4493524212419</v>
      </c>
      <c r="CD181" s="57">
        <f ca="1">AVERAGE(OFFSET($CC$3,0,0,'Données projet'!$E$12+1,1))-AVERAGE(OFFSET($H$3,0,0,'Données projet'!$E$12+1,1))</f>
        <v>462.54745364638171</v>
      </c>
      <c r="CE181" s="57">
        <f t="shared" si="148"/>
        <v>571.50914830067313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11.933066588314427</v>
      </c>
      <c r="CL181" s="21">
        <f>EXP(-LN(2)/25)*CL180+(1-EXP(-LN(2)/25))/(LN(2)/25)*Calculateur!CG181*Calculateur!CI181*VLOOKUP('Données projet'!$B$12,Paramètres!$A$1:$I$89,3,0)*0.475*44/12</f>
        <v>0.95431641671591061</v>
      </c>
      <c r="CM181" s="21">
        <f>EXP(-LN(2)/2)*CM180+(1-EXP(-LN(2)/2))/(LN(2)/2)*CG181*CJ181*VLOOKUP('Données projet'!$B$12,Paramètres!$A$1:$I$89,3,0)*0.475*44/12</f>
        <v>4.5024214544973809E-23</v>
      </c>
      <c r="CN181" s="22">
        <f t="shared" si="172"/>
        <v>12.887383005030337</v>
      </c>
      <c r="CO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245.99999999999994</v>
      </c>
      <c r="CU181" s="17">
        <f>CT181*VLOOKUP('Données projet'!$B$13,Paramètres!$A$1:$I$89,3,0)*VLOOKUP('Données projet'!$B$13,Paramètres!$A$1:$I$89,5,0)</f>
        <v>234.09359999999998</v>
      </c>
      <c r="CV181" s="13">
        <f t="shared" si="173"/>
        <v>57.166902703920208</v>
      </c>
      <c r="CW181" s="20">
        <f t="shared" si="174"/>
        <v>507.27870887599425</v>
      </c>
      <c r="CX181" s="57">
        <f t="shared" si="122"/>
        <v>800.61204220932757</v>
      </c>
      <c r="CY181" s="57">
        <f ca="1">AVERAGE(OFFSET($CX$3,0,0,'Données projet'!$E$13+1,1))-AVERAGE(OFFSET($H$3,0,0,'Données projet'!$E$13+1,1))</f>
        <v>314.67680626853303</v>
      </c>
      <c r="CZ181" s="57">
        <f t="shared" si="150"/>
        <v>372.57247561536263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22.393417886002339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22.393417886002339</v>
      </c>
      <c r="DJ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319</v>
      </c>
      <c r="DP181" s="17">
        <f>DO181*VLOOKUP('Données projet'!$B$14,Paramètres!$A$1:$I$89,3,0)*VLOOKUP('Données projet'!$B$14,Paramètres!$A$1:$I$89,5,0)</f>
        <v>209.00879999999998</v>
      </c>
      <c r="DQ181" s="13">
        <f t="shared" si="176"/>
        <v>51.718923953824202</v>
      </c>
      <c r="DR181" s="20">
        <f t="shared" si="177"/>
        <v>454.10078588624373</v>
      </c>
      <c r="DS181" s="57">
        <f t="shared" si="125"/>
        <v>747.43411921957704</v>
      </c>
      <c r="DT181" s="57">
        <f ca="1">AVERAGE(OFFSET($DS$3,0,0,'Données projet'!$E$14+1,1))-AVERAGE(OFFSET($H$3,0,0,'Données projet'!$E$14+1,1))</f>
        <v>188.80259324758066</v>
      </c>
      <c r="DU181" s="57">
        <f t="shared" si="152"/>
        <v>195.48048518255354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5.1008197567503704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5.1008197567503704</v>
      </c>
      <c r="EE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319</v>
      </c>
      <c r="EK181" s="17">
        <f>EJ181*VLOOKUP('Données projet'!$B$15,Paramètres!$A$1:$I$89,3,0)*VLOOKUP('Données projet'!$B$15,Paramètres!$A$1:$I$89,5,0)</f>
        <v>258.77280000000002</v>
      </c>
      <c r="EL181" s="13">
        <f t="shared" si="179"/>
        <v>62.460716522234691</v>
      </c>
      <c r="EM181" s="20">
        <f t="shared" si="180"/>
        <v>559.48170794289206</v>
      </c>
      <c r="EN181" s="57">
        <f t="shared" si="128"/>
        <v>852.81504127622543</v>
      </c>
      <c r="EO181" s="57">
        <f ca="1">AVERAGE(OFFSET($EN$3,0,0,'Données projet'!$E$15+1,1))-AVERAGE(OFFSET($H$3,0,0,'Données projet'!$E$15+1,1))</f>
        <v>250.90550982248311</v>
      </c>
      <c r="EP181" s="57">
        <f t="shared" si="154"/>
        <v>254.68874167908001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6.3153006512147396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6.3153006512147396</v>
      </c>
      <c r="EZ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7" t="e">
        <f t="shared" si="131"/>
        <v>#N/A</v>
      </c>
      <c r="FJ181" s="57" t="e">
        <f ca="1">AVERAGE(OFFSET($FI$3,0,0,'Données projet'!$E$16+1,1))-AVERAGE(OFFSET($H$3,0,0,'Données projet'!$E$16+1,1))</f>
        <v>#N/A</v>
      </c>
      <c r="FK181" s="57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7" t="e">
        <f t="shared" si="134"/>
        <v>#N/A</v>
      </c>
      <c r="GE181" s="57" t="e">
        <f ca="1">AVERAGE(OFFSET($GD$3,0,0,'Données projet'!$E$17+1,1))-AVERAGE(OFFSET($H$3,0,0,'Données projet'!$E$17+1,1))</f>
        <v>#N/A</v>
      </c>
      <c r="GF181" s="57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7" t="e">
        <f t="shared" si="137"/>
        <v>#N/A</v>
      </c>
      <c r="GZ181" s="57" t="e">
        <f ca="1">AVERAGE(OFFSET($GY$3,0,0,'Données projet'!$E$18+1,1))-AVERAGE(OFFSET($H$3,0,0,'Données projet'!$E$18+1,1))</f>
        <v>#N/A</v>
      </c>
      <c r="HA181" s="57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0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4">
        <f t="shared" si="110"/>
        <v>635.39329397147765</v>
      </c>
      <c r="I182" s="6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258.61679999999996</v>
      </c>
      <c r="P182" s="13">
        <f t="shared" si="141"/>
        <v>62.427444141032439</v>
      </c>
      <c r="Q182" s="20">
        <f t="shared" si="162"/>
        <v>559.15205854563135</v>
      </c>
      <c r="R182" s="57">
        <f t="shared" si="109"/>
        <v>852.48539187896472</v>
      </c>
      <c r="S182" s="57">
        <f ca="1">AVERAGE(OFFSET($R$3,0,0,'Données projet'!$E$9+1,1))-AVERAGE(OFFSET($H$3,0,0,'Données projet'!$E$9+1,1))</f>
        <v>267.44861001389006</v>
      </c>
      <c r="T182" s="57">
        <f t="shared" si="142"/>
        <v>165.25921510802965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26.238156467819991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26.238156467819991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306.99999999999994</v>
      </c>
      <c r="AJ182" s="13">
        <f>AI182*VLOOKUP('Données projet'!$B$10,Paramètres!$A$1:$I$89,3,0)*VLOOKUP('Données projet'!$B$10,Paramètres!$A$1:$I$89,5,0)</f>
        <v>277.77359999999993</v>
      </c>
      <c r="AK182" s="13">
        <f t="shared" si="164"/>
        <v>66.496288176842356</v>
      </c>
      <c r="AL182" s="20">
        <f t="shared" si="165"/>
        <v>599.60338857466706</v>
      </c>
      <c r="AM182" s="57">
        <f t="shared" si="113"/>
        <v>892.93672190800044</v>
      </c>
      <c r="AN182" s="57">
        <f ca="1">AVERAGE(OFFSET($AM$3,0,0,'Données projet'!$E$10+1,1))-AVERAGE(OFFSET($H$3,0,0,'Données projet'!$E$10+1,1))</f>
        <v>294.92430430387071</v>
      </c>
      <c r="AO182" s="57">
        <f t="shared" si="144"/>
        <v>181.52228471516497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28.181723613584435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28.181723613584435</v>
      </c>
      <c r="AY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319</v>
      </c>
      <c r="BE182" s="13">
        <f>BD182*VLOOKUP('Données projet'!$B$11,Paramètres!$A$1:$I$89,3,0)*VLOOKUP('Données projet'!$B$11,Paramètres!$A$1:$I$89,5,0)</f>
        <v>258.77280000000002</v>
      </c>
      <c r="BF182" s="13">
        <f t="shared" si="167"/>
        <v>62.460716522234691</v>
      </c>
      <c r="BG182" s="20">
        <f t="shared" si="168"/>
        <v>559.48170794289206</v>
      </c>
      <c r="BH182" s="57">
        <f t="shared" si="116"/>
        <v>852.81504127622543</v>
      </c>
      <c r="BI182" s="57">
        <f ca="1">AVERAGE(OFFSET($BH$3,0,0,'Données projet'!$E$11+1,1))-AVERAGE(OFFSET($H$3,0,0,'Données projet'!$E$11+1,1))</f>
        <v>250.90550982248311</v>
      </c>
      <c r="BJ182" s="57">
        <f t="shared" si="146"/>
        <v>254.68874167908001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6.1914614573974669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6.1914614573974669</v>
      </c>
      <c r="BT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739.99999999999966</v>
      </c>
      <c r="BZ182" s="13">
        <f>BY182*VLOOKUP('Données projet'!$B$12,Paramètres!$A$1:$I$89,3,0)*VLOOKUP('Données projet'!$B$12,Paramètres!$A$1:$I$89,5,0)</f>
        <v>413.65999999999985</v>
      </c>
      <c r="CA182" s="13">
        <f t="shared" si="170"/>
        <v>94.540585122244352</v>
      </c>
      <c r="CB182" s="20">
        <f t="shared" si="171"/>
        <v>885.11601908790863</v>
      </c>
      <c r="CC182" s="57">
        <f t="shared" si="119"/>
        <v>1178.4493524212419</v>
      </c>
      <c r="CD182" s="57">
        <f ca="1">AVERAGE(OFFSET($CC$3,0,0,'Données projet'!$E$12+1,1))-AVERAGE(OFFSET($H$3,0,0,'Données projet'!$E$12+1,1))</f>
        <v>462.54745364638171</v>
      </c>
      <c r="CE182" s="57">
        <f t="shared" si="148"/>
        <v>571.50914830067313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11.699066430969513</v>
      </c>
      <c r="CL182" s="21">
        <f>EXP(-LN(2)/25)*CL181+(1-EXP(-LN(2)/25))/(LN(2)/25)*Calculateur!CG182*Calculateur!CI182*VLOOKUP('Données projet'!$B$12,Paramètres!$A$1:$I$89,3,0)*0.475*44/12</f>
        <v>0.9282205841154948</v>
      </c>
      <c r="CM182" s="21">
        <f>EXP(-LN(2)/2)*CM181+(1-EXP(-LN(2)/2))/(LN(2)/2)*CG182*CJ182*VLOOKUP('Données projet'!$B$12,Paramètres!$A$1:$I$89,3,0)*0.475*44/12</f>
        <v>3.1836927422348965E-23</v>
      </c>
      <c r="CN182" s="22">
        <f t="shared" si="172"/>
        <v>12.627287015085008</v>
      </c>
      <c r="CO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245.99999999999994</v>
      </c>
      <c r="CU182" s="17">
        <f>CT182*VLOOKUP('Données projet'!$B$13,Paramètres!$A$1:$I$89,3,0)*VLOOKUP('Données projet'!$B$13,Paramètres!$A$1:$I$89,5,0)</f>
        <v>234.09359999999998</v>
      </c>
      <c r="CV182" s="13">
        <f t="shared" si="173"/>
        <v>57.166902703920208</v>
      </c>
      <c r="CW182" s="20">
        <f t="shared" si="174"/>
        <v>507.27870887599425</v>
      </c>
      <c r="CX182" s="57">
        <f t="shared" si="122"/>
        <v>800.61204220932757</v>
      </c>
      <c r="CY182" s="57">
        <f ca="1">AVERAGE(OFFSET($CX$3,0,0,'Données projet'!$E$13+1,1))-AVERAGE(OFFSET($H$3,0,0,'Données projet'!$E$13+1,1))</f>
        <v>314.67680626853303</v>
      </c>
      <c r="CZ182" s="57">
        <f t="shared" si="150"/>
        <v>372.57247561536263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21.954296619894066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21.954296619894066</v>
      </c>
      <c r="DJ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319</v>
      </c>
      <c r="DP182" s="17">
        <f>DO182*VLOOKUP('Données projet'!$B$14,Paramètres!$A$1:$I$89,3,0)*VLOOKUP('Données projet'!$B$14,Paramètres!$A$1:$I$89,5,0)</f>
        <v>209.00879999999998</v>
      </c>
      <c r="DQ182" s="13">
        <f t="shared" si="176"/>
        <v>51.718923953824202</v>
      </c>
      <c r="DR182" s="20">
        <f t="shared" si="177"/>
        <v>454.10078588624373</v>
      </c>
      <c r="DS182" s="57">
        <f t="shared" si="125"/>
        <v>747.43411921957704</v>
      </c>
      <c r="DT182" s="57">
        <f ca="1">AVERAGE(OFFSET($DS$3,0,0,'Données projet'!$E$14+1,1))-AVERAGE(OFFSET($H$3,0,0,'Données projet'!$E$14+1,1))</f>
        <v>188.80259324758066</v>
      </c>
      <c r="DU182" s="57">
        <f t="shared" si="152"/>
        <v>195.48048518255354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5.0007957925133422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5.0007957925133422</v>
      </c>
      <c r="EE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319</v>
      </c>
      <c r="EK182" s="17">
        <f>EJ182*VLOOKUP('Données projet'!$B$15,Paramètres!$A$1:$I$89,3,0)*VLOOKUP('Données projet'!$B$15,Paramètres!$A$1:$I$89,5,0)</f>
        <v>258.77280000000002</v>
      </c>
      <c r="EL182" s="13">
        <f t="shared" si="179"/>
        <v>62.460716522234691</v>
      </c>
      <c r="EM182" s="20">
        <f t="shared" si="180"/>
        <v>559.48170794289206</v>
      </c>
      <c r="EN182" s="57">
        <f t="shared" si="128"/>
        <v>852.81504127622543</v>
      </c>
      <c r="EO182" s="57">
        <f ca="1">AVERAGE(OFFSET($EN$3,0,0,'Données projet'!$E$15+1,1))-AVERAGE(OFFSET($H$3,0,0,'Données projet'!$E$15+1,1))</f>
        <v>250.90550982248311</v>
      </c>
      <c r="EP182" s="57">
        <f t="shared" si="154"/>
        <v>254.68874167908001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6.1914614573974669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6.1914614573974669</v>
      </c>
      <c r="EZ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7" t="e">
        <f t="shared" si="131"/>
        <v>#N/A</v>
      </c>
      <c r="FJ182" s="57" t="e">
        <f ca="1">AVERAGE(OFFSET($FI$3,0,0,'Données projet'!$E$16+1,1))-AVERAGE(OFFSET($H$3,0,0,'Données projet'!$E$16+1,1))</f>
        <v>#N/A</v>
      </c>
      <c r="FK182" s="57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7" t="e">
        <f t="shared" si="134"/>
        <v>#N/A</v>
      </c>
      <c r="GE182" s="57" t="e">
        <f ca="1">AVERAGE(OFFSET($GD$3,0,0,'Données projet'!$E$17+1,1))-AVERAGE(OFFSET($H$3,0,0,'Données projet'!$E$17+1,1))</f>
        <v>#N/A</v>
      </c>
      <c r="GF182" s="57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7" t="e">
        <f t="shared" si="137"/>
        <v>#N/A</v>
      </c>
      <c r="GZ182" s="57" t="e">
        <f ca="1">AVERAGE(OFFSET($GY$3,0,0,'Données projet'!$E$18+1,1))-AVERAGE(OFFSET($H$3,0,0,'Données projet'!$E$18+1,1))</f>
        <v>#N/A</v>
      </c>
      <c r="HA182" s="57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0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4">
        <f t="shared" si="110"/>
        <v>637.25880222974092</v>
      </c>
      <c r="I183" s="6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258.61679999999996</v>
      </c>
      <c r="P183" s="13">
        <f t="shared" si="141"/>
        <v>62.427444141032439</v>
      </c>
      <c r="Q183" s="20">
        <f t="shared" si="162"/>
        <v>559.15205854563135</v>
      </c>
      <c r="R183" s="57">
        <f t="shared" si="109"/>
        <v>852.48539187896472</v>
      </c>
      <c r="S183" s="57">
        <f ca="1">AVERAGE(OFFSET($R$3,0,0,'Données projet'!$E$9+1,1))-AVERAGE(OFFSET($H$3,0,0,'Données projet'!$E$9+1,1))</f>
        <v>267.44861001389006</v>
      </c>
      <c r="T183" s="57">
        <f t="shared" si="142"/>
        <v>165.25921510802965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25.723642223181251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25.723642223181251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306.99999999999994</v>
      </c>
      <c r="AJ183" s="13">
        <f>AI183*VLOOKUP('Données projet'!$B$10,Paramètres!$A$1:$I$89,3,0)*VLOOKUP('Données projet'!$B$10,Paramètres!$A$1:$I$89,5,0)</f>
        <v>277.77359999999993</v>
      </c>
      <c r="AK183" s="13">
        <f t="shared" si="164"/>
        <v>66.496288176842356</v>
      </c>
      <c r="AL183" s="20">
        <f t="shared" si="165"/>
        <v>599.60338857466706</v>
      </c>
      <c r="AM183" s="57">
        <f t="shared" si="113"/>
        <v>892.93672190800044</v>
      </c>
      <c r="AN183" s="57">
        <f ca="1">AVERAGE(OFFSET($AM$3,0,0,'Données projet'!$E$10+1,1))-AVERAGE(OFFSET($H$3,0,0,'Données projet'!$E$10+1,1))</f>
        <v>294.92430430387071</v>
      </c>
      <c r="AO183" s="57">
        <f t="shared" si="144"/>
        <v>181.52228471516497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27.62909720267616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27.62909720267616</v>
      </c>
      <c r="AY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319</v>
      </c>
      <c r="BE183" s="13">
        <f>BD183*VLOOKUP('Données projet'!$B$11,Paramètres!$A$1:$I$89,3,0)*VLOOKUP('Données projet'!$B$11,Paramètres!$A$1:$I$89,5,0)</f>
        <v>258.77280000000002</v>
      </c>
      <c r="BF183" s="13">
        <f t="shared" si="167"/>
        <v>62.460716522234691</v>
      </c>
      <c r="BG183" s="20">
        <f t="shared" si="168"/>
        <v>559.48170794289206</v>
      </c>
      <c r="BH183" s="57">
        <f t="shared" si="116"/>
        <v>852.81504127622543</v>
      </c>
      <c r="BI183" s="57">
        <f ca="1">AVERAGE(OFFSET($BH$3,0,0,'Données projet'!$E$11+1,1))-AVERAGE(OFFSET($H$3,0,0,'Données projet'!$E$11+1,1))</f>
        <v>250.90550982248311</v>
      </c>
      <c r="BJ183" s="57">
        <f t="shared" si="146"/>
        <v>254.68874167908001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6.0700506746365015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6.0700506746365015</v>
      </c>
      <c r="BT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739.99999999999966</v>
      </c>
      <c r="BZ183" s="13">
        <f>BY183*VLOOKUP('Données projet'!$B$12,Paramètres!$A$1:$I$89,3,0)*VLOOKUP('Données projet'!$B$12,Paramètres!$A$1:$I$89,5,0)</f>
        <v>413.65999999999985</v>
      </c>
      <c r="CA183" s="13">
        <f t="shared" si="170"/>
        <v>94.540585122244352</v>
      </c>
      <c r="CB183" s="20">
        <f t="shared" si="171"/>
        <v>885.11601908790863</v>
      </c>
      <c r="CC183" s="57">
        <f t="shared" si="119"/>
        <v>1178.4493524212419</v>
      </c>
      <c r="CD183" s="57">
        <f ca="1">AVERAGE(OFFSET($CC$3,0,0,'Données projet'!$E$12+1,1))-AVERAGE(OFFSET($H$3,0,0,'Données projet'!$E$12+1,1))</f>
        <v>462.54745364638171</v>
      </c>
      <c r="CE183" s="57">
        <f t="shared" si="148"/>
        <v>571.50914830067313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11.46965487398413</v>
      </c>
      <c r="CL183" s="21">
        <f>EXP(-LN(2)/25)*CL182+(1-EXP(-LN(2)/25))/(LN(2)/25)*Calculateur!CG183*Calculateur!CI183*VLOOKUP('Données projet'!$B$12,Paramètres!$A$1:$I$89,3,0)*0.475*44/12</f>
        <v>0.90283834342985758</v>
      </c>
      <c r="CM183" s="21">
        <f>EXP(-LN(2)/2)*CM182+(1-EXP(-LN(2)/2))/(LN(2)/2)*CG183*CJ183*VLOOKUP('Données projet'!$B$12,Paramètres!$A$1:$I$89,3,0)*0.475*44/12</f>
        <v>2.2512107272486904E-23</v>
      </c>
      <c r="CN183" s="22">
        <f t="shared" si="172"/>
        <v>12.372493217413988</v>
      </c>
      <c r="CO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245.99999999999994</v>
      </c>
      <c r="CU183" s="17">
        <f>CT183*VLOOKUP('Données projet'!$B$13,Paramètres!$A$1:$I$89,3,0)*VLOOKUP('Données projet'!$B$13,Paramètres!$A$1:$I$89,5,0)</f>
        <v>234.09359999999998</v>
      </c>
      <c r="CV183" s="13">
        <f t="shared" si="173"/>
        <v>57.166902703920208</v>
      </c>
      <c r="CW183" s="20">
        <f t="shared" si="174"/>
        <v>507.27870887599425</v>
      </c>
      <c r="CX183" s="57">
        <f t="shared" si="122"/>
        <v>800.61204220932757</v>
      </c>
      <c r="CY183" s="57">
        <f ca="1">AVERAGE(OFFSET($CX$3,0,0,'Données projet'!$E$13+1,1))-AVERAGE(OFFSET($H$3,0,0,'Données projet'!$E$13+1,1))</f>
        <v>314.67680626853303</v>
      </c>
      <c r="CZ183" s="57">
        <f t="shared" si="150"/>
        <v>372.57247561536263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21.523786253976649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21.523786253976649</v>
      </c>
      <c r="DJ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319</v>
      </c>
      <c r="DP183" s="17">
        <f>DO183*VLOOKUP('Données projet'!$B$14,Paramètres!$A$1:$I$89,3,0)*VLOOKUP('Données projet'!$B$14,Paramètres!$A$1:$I$89,5,0)</f>
        <v>209.00879999999998</v>
      </c>
      <c r="DQ183" s="13">
        <f t="shared" si="176"/>
        <v>51.718923953824202</v>
      </c>
      <c r="DR183" s="20">
        <f t="shared" si="177"/>
        <v>454.10078588624373</v>
      </c>
      <c r="DS183" s="57">
        <f t="shared" si="125"/>
        <v>747.43411921957704</v>
      </c>
      <c r="DT183" s="57">
        <f ca="1">AVERAGE(OFFSET($DS$3,0,0,'Données projet'!$E$14+1,1))-AVERAGE(OFFSET($H$3,0,0,'Données projet'!$E$14+1,1))</f>
        <v>188.80259324758066</v>
      </c>
      <c r="DU183" s="57">
        <f t="shared" si="152"/>
        <v>195.48048518255354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4.9027332372064079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4.9027332372064079</v>
      </c>
      <c r="EE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319</v>
      </c>
      <c r="EK183" s="17">
        <f>EJ183*VLOOKUP('Données projet'!$B$15,Paramètres!$A$1:$I$89,3,0)*VLOOKUP('Données projet'!$B$15,Paramètres!$A$1:$I$89,5,0)</f>
        <v>258.77280000000002</v>
      </c>
      <c r="EL183" s="13">
        <f t="shared" si="179"/>
        <v>62.460716522234691</v>
      </c>
      <c r="EM183" s="20">
        <f t="shared" si="180"/>
        <v>559.48170794289206</v>
      </c>
      <c r="EN183" s="57">
        <f t="shared" si="128"/>
        <v>852.81504127622543</v>
      </c>
      <c r="EO183" s="57">
        <f ca="1">AVERAGE(OFFSET($EN$3,0,0,'Données projet'!$E$15+1,1))-AVERAGE(OFFSET($H$3,0,0,'Données projet'!$E$15+1,1))</f>
        <v>250.90550982248311</v>
      </c>
      <c r="EP183" s="57">
        <f t="shared" si="154"/>
        <v>254.68874167908001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6.0700506746365015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6.0700506746365015</v>
      </c>
      <c r="EZ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7" t="e">
        <f t="shared" si="131"/>
        <v>#N/A</v>
      </c>
      <c r="FJ183" s="57" t="e">
        <f ca="1">AVERAGE(OFFSET($FI$3,0,0,'Données projet'!$E$16+1,1))-AVERAGE(OFFSET($H$3,0,0,'Données projet'!$E$16+1,1))</f>
        <v>#N/A</v>
      </c>
      <c r="FK183" s="57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7" t="e">
        <f t="shared" si="134"/>
        <v>#N/A</v>
      </c>
      <c r="GE183" s="57" t="e">
        <f ca="1">AVERAGE(OFFSET($GD$3,0,0,'Données projet'!$E$17+1,1))-AVERAGE(OFFSET($H$3,0,0,'Données projet'!$E$17+1,1))</f>
        <v>#N/A</v>
      </c>
      <c r="GF183" s="57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7" t="e">
        <f t="shared" si="137"/>
        <v>#N/A</v>
      </c>
      <c r="GZ183" s="57" t="e">
        <f ca="1">AVERAGE(OFFSET($GY$3,0,0,'Données projet'!$E$18+1,1))-AVERAGE(OFFSET($H$3,0,0,'Données projet'!$E$18+1,1))</f>
        <v>#N/A</v>
      </c>
      <c r="HA183" s="57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0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4">
        <f t="shared" si="110"/>
        <v>639.12408811296234</v>
      </c>
      <c r="I184" s="6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258.61679999999996</v>
      </c>
      <c r="P184" s="13">
        <f t="shared" si="141"/>
        <v>62.427444141032439</v>
      </c>
      <c r="Q184" s="20">
        <f t="shared" si="162"/>
        <v>559.15205854563135</v>
      </c>
      <c r="R184" s="57">
        <f t="shared" si="109"/>
        <v>852.48539187896472</v>
      </c>
      <c r="S184" s="57">
        <f ca="1">AVERAGE(OFFSET($R$3,0,0,'Données projet'!$E$9+1,1))-AVERAGE(OFFSET($H$3,0,0,'Données projet'!$E$9+1,1))</f>
        <v>267.44861001389006</v>
      </c>
      <c r="T184" s="57">
        <f t="shared" si="142"/>
        <v>165.25921510802965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25.219217289057177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25.219217289057177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306.99999999999994</v>
      </c>
      <c r="AJ184" s="13">
        <f>AI184*VLOOKUP('Données projet'!$B$10,Paramètres!$A$1:$I$89,3,0)*VLOOKUP('Données projet'!$B$10,Paramètres!$A$1:$I$89,5,0)</f>
        <v>277.77359999999993</v>
      </c>
      <c r="AK184" s="13">
        <f t="shared" si="164"/>
        <v>66.496288176842356</v>
      </c>
      <c r="AL184" s="20">
        <f t="shared" si="165"/>
        <v>599.60338857466706</v>
      </c>
      <c r="AM184" s="57">
        <f t="shared" si="113"/>
        <v>892.93672190800044</v>
      </c>
      <c r="AN184" s="57">
        <f ca="1">AVERAGE(OFFSET($AM$3,0,0,'Données projet'!$E$10+1,1))-AVERAGE(OFFSET($H$3,0,0,'Données projet'!$E$10+1,1))</f>
        <v>294.92430430387071</v>
      </c>
      <c r="AO184" s="57">
        <f t="shared" si="144"/>
        <v>181.52228471516497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27.087307458616969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27.087307458616969</v>
      </c>
      <c r="AY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319</v>
      </c>
      <c r="BE184" s="13">
        <f>BD184*VLOOKUP('Données projet'!$B$11,Paramètres!$A$1:$I$89,3,0)*VLOOKUP('Données projet'!$B$11,Paramètres!$A$1:$I$89,5,0)</f>
        <v>258.77280000000002</v>
      </c>
      <c r="BF184" s="13">
        <f t="shared" si="167"/>
        <v>62.460716522234691</v>
      </c>
      <c r="BG184" s="20">
        <f t="shared" si="168"/>
        <v>559.48170794289206</v>
      </c>
      <c r="BH184" s="57">
        <f t="shared" si="116"/>
        <v>852.81504127622543</v>
      </c>
      <c r="BI184" s="57">
        <f ca="1">AVERAGE(OFFSET($BH$3,0,0,'Données projet'!$E$11+1,1))-AVERAGE(OFFSET($H$3,0,0,'Données projet'!$E$11+1,1))</f>
        <v>250.90550982248311</v>
      </c>
      <c r="BJ184" s="57">
        <f t="shared" si="146"/>
        <v>254.68874167908001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5.9510206832722128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5.9510206832722128</v>
      </c>
      <c r="BT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739.99999999999966</v>
      </c>
      <c r="BZ184" s="13">
        <f>BY184*VLOOKUP('Données projet'!$B$12,Paramètres!$A$1:$I$89,3,0)*VLOOKUP('Données projet'!$B$12,Paramètres!$A$1:$I$89,5,0)</f>
        <v>413.65999999999985</v>
      </c>
      <c r="CA184" s="13">
        <f t="shared" si="170"/>
        <v>94.540585122244352</v>
      </c>
      <c r="CB184" s="20">
        <f t="shared" si="171"/>
        <v>885.11601908790863</v>
      </c>
      <c r="CC184" s="57">
        <f t="shared" si="119"/>
        <v>1178.4493524212419</v>
      </c>
      <c r="CD184" s="57">
        <f ca="1">AVERAGE(OFFSET($CC$3,0,0,'Données projet'!$E$12+1,1))-AVERAGE(OFFSET($H$3,0,0,'Données projet'!$E$12+1,1))</f>
        <v>462.54745364638171</v>
      </c>
      <c r="CE184" s="57">
        <f t="shared" si="148"/>
        <v>571.50914830067313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11.244741937703996</v>
      </c>
      <c r="CL184" s="21">
        <f>EXP(-LN(2)/25)*CL183+(1-EXP(-LN(2)/25))/(LN(2)/25)*Calculateur!CG184*Calculateur!CI184*VLOOKUP('Données projet'!$B$12,Paramètres!$A$1:$I$89,3,0)*0.475*44/12</f>
        <v>0.87815018145056312</v>
      </c>
      <c r="CM184" s="21">
        <f>EXP(-LN(2)/2)*CM183+(1-EXP(-LN(2)/2))/(LN(2)/2)*CG184*CJ184*VLOOKUP('Données projet'!$B$12,Paramètres!$A$1:$I$89,3,0)*0.475*44/12</f>
        <v>1.5918463711174482E-23</v>
      </c>
      <c r="CN184" s="22">
        <f t="shared" si="172"/>
        <v>12.122892119154558</v>
      </c>
      <c r="CO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245.99999999999994</v>
      </c>
      <c r="CU184" s="17">
        <f>CT184*VLOOKUP('Données projet'!$B$13,Paramètres!$A$1:$I$89,3,0)*VLOOKUP('Données projet'!$B$13,Paramètres!$A$1:$I$89,5,0)</f>
        <v>234.09359999999998</v>
      </c>
      <c r="CV184" s="13">
        <f t="shared" si="173"/>
        <v>57.166902703920208</v>
      </c>
      <c r="CW184" s="20">
        <f t="shared" si="174"/>
        <v>507.27870887599425</v>
      </c>
      <c r="CX184" s="57">
        <f t="shared" si="122"/>
        <v>800.61204220932757</v>
      </c>
      <c r="CY184" s="57">
        <f ca="1">AVERAGE(OFFSET($CX$3,0,0,'Données projet'!$E$13+1,1))-AVERAGE(OFFSET($H$3,0,0,'Données projet'!$E$13+1,1))</f>
        <v>314.67680626853303</v>
      </c>
      <c r="CZ184" s="57">
        <f t="shared" si="150"/>
        <v>372.57247561536263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21.101717933749477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21.101717933749477</v>
      </c>
      <c r="DJ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319</v>
      </c>
      <c r="DP184" s="17">
        <f>DO184*VLOOKUP('Données projet'!$B$14,Paramètres!$A$1:$I$89,3,0)*VLOOKUP('Données projet'!$B$14,Paramètres!$A$1:$I$89,5,0)</f>
        <v>209.00879999999998</v>
      </c>
      <c r="DQ184" s="13">
        <f t="shared" si="176"/>
        <v>51.718923953824202</v>
      </c>
      <c r="DR184" s="20">
        <f t="shared" si="177"/>
        <v>454.10078588624373</v>
      </c>
      <c r="DS184" s="57">
        <f t="shared" si="125"/>
        <v>747.43411921957704</v>
      </c>
      <c r="DT184" s="57">
        <f ca="1">AVERAGE(OFFSET($DS$3,0,0,'Données projet'!$E$14+1,1))-AVERAGE(OFFSET($H$3,0,0,'Données projet'!$E$14+1,1))</f>
        <v>188.80259324758066</v>
      </c>
      <c r="DU184" s="57">
        <f t="shared" si="152"/>
        <v>195.48048518255354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4.8065936287967901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4.8065936287967901</v>
      </c>
      <c r="EE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319</v>
      </c>
      <c r="EK184" s="17">
        <f>EJ184*VLOOKUP('Données projet'!$B$15,Paramètres!$A$1:$I$89,3,0)*VLOOKUP('Données projet'!$B$15,Paramètres!$A$1:$I$89,5,0)</f>
        <v>258.77280000000002</v>
      </c>
      <c r="EL184" s="13">
        <f t="shared" si="179"/>
        <v>62.460716522234691</v>
      </c>
      <c r="EM184" s="20">
        <f t="shared" si="180"/>
        <v>559.48170794289206</v>
      </c>
      <c r="EN184" s="57">
        <f t="shared" si="128"/>
        <v>852.81504127622543</v>
      </c>
      <c r="EO184" s="57">
        <f ca="1">AVERAGE(OFFSET($EN$3,0,0,'Données projet'!$E$15+1,1))-AVERAGE(OFFSET($H$3,0,0,'Données projet'!$E$15+1,1))</f>
        <v>250.90550982248311</v>
      </c>
      <c r="EP184" s="57">
        <f t="shared" si="154"/>
        <v>254.68874167908001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5.9510206832722128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5.9510206832722128</v>
      </c>
      <c r="EZ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7" t="e">
        <f t="shared" si="131"/>
        <v>#N/A</v>
      </c>
      <c r="FJ184" s="57" t="e">
        <f ca="1">AVERAGE(OFFSET($FI$3,0,0,'Données projet'!$E$16+1,1))-AVERAGE(OFFSET($H$3,0,0,'Données projet'!$E$16+1,1))</f>
        <v>#N/A</v>
      </c>
      <c r="FK184" s="57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7" t="e">
        <f t="shared" si="134"/>
        <v>#N/A</v>
      </c>
      <c r="GE184" s="57" t="e">
        <f ca="1">AVERAGE(OFFSET($GD$3,0,0,'Données projet'!$E$17+1,1))-AVERAGE(OFFSET($H$3,0,0,'Données projet'!$E$17+1,1))</f>
        <v>#N/A</v>
      </c>
      <c r="GF184" s="57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7" t="e">
        <f t="shared" si="137"/>
        <v>#N/A</v>
      </c>
      <c r="GZ184" s="57" t="e">
        <f ca="1">AVERAGE(OFFSET($GY$3,0,0,'Données projet'!$E$18+1,1))-AVERAGE(OFFSET($H$3,0,0,'Données projet'!$E$18+1,1))</f>
        <v>#N/A</v>
      </c>
      <c r="HA184" s="57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0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4">
        <f t="shared" si="110"/>
        <v>640.9891529923143</v>
      </c>
      <c r="I185" s="6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258.61679999999996</v>
      </c>
      <c r="P185" s="13">
        <f t="shared" si="141"/>
        <v>62.427444141032439</v>
      </c>
      <c r="Q185" s="20">
        <f t="shared" si="162"/>
        <v>559.15205854563135</v>
      </c>
      <c r="R185" s="57">
        <f t="shared" si="109"/>
        <v>852.48539187896472</v>
      </c>
      <c r="S185" s="57">
        <f ca="1">AVERAGE(OFFSET($R$3,0,0,'Données projet'!$E$9+1,1))-AVERAGE(OFFSET($H$3,0,0,'Données projet'!$E$9+1,1))</f>
        <v>267.44861001389006</v>
      </c>
      <c r="T185" s="57">
        <f t="shared" si="142"/>
        <v>165.25921510802965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24.724683820222445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24.724683820222445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306.99999999999994</v>
      </c>
      <c r="AJ185" s="13">
        <f>AI185*VLOOKUP('Données projet'!$B$10,Paramètres!$A$1:$I$89,3,0)*VLOOKUP('Données projet'!$B$10,Paramètres!$A$1:$I$89,5,0)</f>
        <v>277.77359999999993</v>
      </c>
      <c r="AK185" s="13">
        <f t="shared" si="164"/>
        <v>66.496288176842356</v>
      </c>
      <c r="AL185" s="20">
        <f t="shared" si="165"/>
        <v>599.60338857466706</v>
      </c>
      <c r="AM185" s="57">
        <f t="shared" si="113"/>
        <v>892.93672190800044</v>
      </c>
      <c r="AN185" s="57">
        <f ca="1">AVERAGE(OFFSET($AM$3,0,0,'Données projet'!$E$10+1,1))-AVERAGE(OFFSET($H$3,0,0,'Données projet'!$E$10+1,1))</f>
        <v>294.92430430387071</v>
      </c>
      <c r="AO185" s="57">
        <f t="shared" si="144"/>
        <v>181.52228471516497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26.556141880979666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26.556141880979666</v>
      </c>
      <c r="AY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319</v>
      </c>
      <c r="BE185" s="13">
        <f>BD185*VLOOKUP('Données projet'!$B$11,Paramètres!$A$1:$I$89,3,0)*VLOOKUP('Données projet'!$B$11,Paramètres!$A$1:$I$89,5,0)</f>
        <v>258.77280000000002</v>
      </c>
      <c r="BF185" s="13">
        <f t="shared" si="167"/>
        <v>62.460716522234691</v>
      </c>
      <c r="BG185" s="20">
        <f t="shared" si="168"/>
        <v>559.48170794289206</v>
      </c>
      <c r="BH185" s="57">
        <f t="shared" si="116"/>
        <v>852.81504127622543</v>
      </c>
      <c r="BI185" s="57">
        <f ca="1">AVERAGE(OFFSET($BH$3,0,0,'Données projet'!$E$11+1,1))-AVERAGE(OFFSET($H$3,0,0,'Données projet'!$E$11+1,1))</f>
        <v>250.90550982248311</v>
      </c>
      <c r="BJ185" s="57">
        <f t="shared" si="146"/>
        <v>254.68874167908001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5.8343247974374517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5.8343247974374517</v>
      </c>
      <c r="BT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739.99999999999966</v>
      </c>
      <c r="BZ185" s="13">
        <f>BY185*VLOOKUP('Données projet'!$B$12,Paramètres!$A$1:$I$89,3,0)*VLOOKUP('Données projet'!$B$12,Paramètres!$A$1:$I$89,5,0)</f>
        <v>413.65999999999985</v>
      </c>
      <c r="CA185" s="13">
        <f t="shared" si="170"/>
        <v>94.540585122244352</v>
      </c>
      <c r="CB185" s="20">
        <f t="shared" si="171"/>
        <v>885.11601908790863</v>
      </c>
      <c r="CC185" s="57">
        <f t="shared" si="119"/>
        <v>1178.4493524212419</v>
      </c>
      <c r="CD185" s="57">
        <f ca="1">AVERAGE(OFFSET($CC$3,0,0,'Données projet'!$E$12+1,1))-AVERAGE(OFFSET($H$3,0,0,'Données projet'!$E$12+1,1))</f>
        <v>462.54745364638171</v>
      </c>
      <c r="CE185" s="57">
        <f t="shared" si="148"/>
        <v>571.50914830067313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11.024239406920969</v>
      </c>
      <c r="CL185" s="21">
        <f>EXP(-LN(2)/25)*CL184+(1-EXP(-LN(2)/25))/(LN(2)/25)*Calculateur!CG185*Calculateur!CI185*VLOOKUP('Données projet'!$B$12,Paramètres!$A$1:$I$89,3,0)*0.475*44/12</f>
        <v>0.85413711855888641</v>
      </c>
      <c r="CM185" s="21">
        <f>EXP(-LN(2)/2)*CM184+(1-EXP(-LN(2)/2))/(LN(2)/2)*CG185*CJ185*VLOOKUP('Données projet'!$B$12,Paramètres!$A$1:$I$89,3,0)*0.475*44/12</f>
        <v>1.1256053636243452E-23</v>
      </c>
      <c r="CN185" s="22">
        <f t="shared" si="172"/>
        <v>11.878376525479856</v>
      </c>
      <c r="CO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245.99999999999994</v>
      </c>
      <c r="CU185" s="17">
        <f>CT185*VLOOKUP('Données projet'!$B$13,Paramètres!$A$1:$I$89,3,0)*VLOOKUP('Données projet'!$B$13,Paramètres!$A$1:$I$89,5,0)</f>
        <v>234.09359999999998</v>
      </c>
      <c r="CV185" s="13">
        <f t="shared" si="173"/>
        <v>57.166902703920208</v>
      </c>
      <c r="CW185" s="20">
        <f t="shared" si="174"/>
        <v>507.27870887599425</v>
      </c>
      <c r="CX185" s="57">
        <f t="shared" si="122"/>
        <v>800.61204220932757</v>
      </c>
      <c r="CY185" s="57">
        <f ca="1">AVERAGE(OFFSET($CX$3,0,0,'Données projet'!$E$13+1,1))-AVERAGE(OFFSET($H$3,0,0,'Données projet'!$E$13+1,1))</f>
        <v>314.67680626853303</v>
      </c>
      <c r="CZ185" s="57">
        <f t="shared" si="150"/>
        <v>372.57247561536263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20.687926115845706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20.687926115845706</v>
      </c>
      <c r="DJ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319</v>
      </c>
      <c r="DP185" s="17">
        <f>DO185*VLOOKUP('Données projet'!$B$14,Paramètres!$A$1:$I$89,3,0)*VLOOKUP('Données projet'!$B$14,Paramètres!$A$1:$I$89,5,0)</f>
        <v>209.00879999999998</v>
      </c>
      <c r="DQ185" s="13">
        <f t="shared" si="176"/>
        <v>51.718923953824202</v>
      </c>
      <c r="DR185" s="20">
        <f t="shared" si="177"/>
        <v>454.10078588624373</v>
      </c>
      <c r="DS185" s="57">
        <f t="shared" si="125"/>
        <v>747.43411921957704</v>
      </c>
      <c r="DT185" s="57">
        <f ca="1">AVERAGE(OFFSET($DS$3,0,0,'Données projet'!$E$14+1,1))-AVERAGE(OFFSET($H$3,0,0,'Données projet'!$E$14+1,1))</f>
        <v>188.80259324758066</v>
      </c>
      <c r="DU185" s="57">
        <f t="shared" si="152"/>
        <v>195.48048518255354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4.7123392594687141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4.7123392594687141</v>
      </c>
      <c r="EE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319</v>
      </c>
      <c r="EK185" s="17">
        <f>EJ185*VLOOKUP('Données projet'!$B$15,Paramètres!$A$1:$I$89,3,0)*VLOOKUP('Données projet'!$B$15,Paramètres!$A$1:$I$89,5,0)</f>
        <v>258.77280000000002</v>
      </c>
      <c r="EL185" s="13">
        <f t="shared" si="179"/>
        <v>62.460716522234691</v>
      </c>
      <c r="EM185" s="20">
        <f t="shared" si="180"/>
        <v>559.48170794289206</v>
      </c>
      <c r="EN185" s="57">
        <f t="shared" si="128"/>
        <v>852.81504127622543</v>
      </c>
      <c r="EO185" s="57">
        <f ca="1">AVERAGE(OFFSET($EN$3,0,0,'Données projet'!$E$15+1,1))-AVERAGE(OFFSET($H$3,0,0,'Données projet'!$E$15+1,1))</f>
        <v>250.90550982248311</v>
      </c>
      <c r="EP185" s="57">
        <f t="shared" si="154"/>
        <v>254.68874167908001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5.8343247974374517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5.8343247974374517</v>
      </c>
      <c r="EZ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7" t="e">
        <f t="shared" si="131"/>
        <v>#N/A</v>
      </c>
      <c r="FJ185" s="57" t="e">
        <f ca="1">AVERAGE(OFFSET($FI$3,0,0,'Données projet'!$E$16+1,1))-AVERAGE(OFFSET($H$3,0,0,'Données projet'!$E$16+1,1))</f>
        <v>#N/A</v>
      </c>
      <c r="FK185" s="57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7" t="e">
        <f t="shared" si="134"/>
        <v>#N/A</v>
      </c>
      <c r="GE185" s="57" t="e">
        <f ca="1">AVERAGE(OFFSET($GD$3,0,0,'Données projet'!$E$17+1,1))-AVERAGE(OFFSET($H$3,0,0,'Données projet'!$E$17+1,1))</f>
        <v>#N/A</v>
      </c>
      <c r="GF185" s="57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7" t="e">
        <f t="shared" si="137"/>
        <v>#N/A</v>
      </c>
      <c r="GZ185" s="57" t="e">
        <f ca="1">AVERAGE(OFFSET($GY$3,0,0,'Données projet'!$E$18+1,1))-AVERAGE(OFFSET($H$3,0,0,'Données projet'!$E$18+1,1))</f>
        <v>#N/A</v>
      </c>
      <c r="HA185" s="57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0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4">
        <f t="shared" si="110"/>
        <v>642.85399822302975</v>
      </c>
      <c r="I186" s="6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258.61679999999996</v>
      </c>
      <c r="P186" s="13">
        <f t="shared" si="141"/>
        <v>62.427444141032439</v>
      </c>
      <c r="Q186" s="20">
        <f t="shared" si="162"/>
        <v>559.15205854563135</v>
      </c>
      <c r="R186" s="57">
        <f t="shared" si="109"/>
        <v>852.48539187896472</v>
      </c>
      <c r="S186" s="57">
        <f ca="1">AVERAGE(OFFSET($R$3,0,0,'Données projet'!$E$9+1,1))-AVERAGE(OFFSET($H$3,0,0,'Données projet'!$E$9+1,1))</f>
        <v>267.44861001389006</v>
      </c>
      <c r="T186" s="57">
        <f t="shared" si="142"/>
        <v>165.25921510802965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24.239847851075933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24.239847851075933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306.99999999999994</v>
      </c>
      <c r="AJ186" s="13">
        <f>AI186*VLOOKUP('Données projet'!$B$10,Paramètres!$A$1:$I$89,3,0)*VLOOKUP('Données projet'!$B$10,Paramètres!$A$1:$I$89,5,0)</f>
        <v>277.77359999999993</v>
      </c>
      <c r="AK186" s="13">
        <f t="shared" si="164"/>
        <v>66.496288176842356</v>
      </c>
      <c r="AL186" s="20">
        <f t="shared" si="165"/>
        <v>599.60338857466706</v>
      </c>
      <c r="AM186" s="57">
        <f t="shared" si="113"/>
        <v>892.93672190800044</v>
      </c>
      <c r="AN186" s="57">
        <f ca="1">AVERAGE(OFFSET($AM$3,0,0,'Données projet'!$E$10+1,1))-AVERAGE(OFFSET($H$3,0,0,'Données projet'!$E$10+1,1))</f>
        <v>294.92430430387071</v>
      </c>
      <c r="AO186" s="57">
        <f t="shared" si="144"/>
        <v>181.52228471516497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26.035392136340818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26.035392136340818</v>
      </c>
      <c r="AY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319</v>
      </c>
      <c r="BE186" s="13">
        <f>BD186*VLOOKUP('Données projet'!$B$11,Paramètres!$A$1:$I$89,3,0)*VLOOKUP('Données projet'!$B$11,Paramètres!$A$1:$I$89,5,0)</f>
        <v>258.77280000000002</v>
      </c>
      <c r="BF186" s="13">
        <f t="shared" si="167"/>
        <v>62.460716522234691</v>
      </c>
      <c r="BG186" s="20">
        <f t="shared" si="168"/>
        <v>559.48170794289206</v>
      </c>
      <c r="BH186" s="57">
        <f t="shared" si="116"/>
        <v>852.81504127622543</v>
      </c>
      <c r="BI186" s="57">
        <f ca="1">AVERAGE(OFFSET($BH$3,0,0,'Données projet'!$E$11+1,1))-AVERAGE(OFFSET($H$3,0,0,'Données projet'!$E$11+1,1))</f>
        <v>250.90550982248311</v>
      </c>
      <c r="BJ186" s="57">
        <f t="shared" si="146"/>
        <v>254.68874167908001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5.7199172467464487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5.7199172467464487</v>
      </c>
      <c r="BT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739.99999999999966</v>
      </c>
      <c r="BZ186" s="13">
        <f>BY186*VLOOKUP('Données projet'!$B$12,Paramètres!$A$1:$I$89,3,0)*VLOOKUP('Données projet'!$B$12,Paramètres!$A$1:$I$89,5,0)</f>
        <v>413.65999999999985</v>
      </c>
      <c r="CA186" s="13">
        <f t="shared" si="170"/>
        <v>94.540585122244352</v>
      </c>
      <c r="CB186" s="20">
        <f t="shared" si="171"/>
        <v>885.11601908790863</v>
      </c>
      <c r="CC186" s="57">
        <f t="shared" si="119"/>
        <v>1178.4493524212419</v>
      </c>
      <c r="CD186" s="57">
        <f ca="1">AVERAGE(OFFSET($CC$3,0,0,'Données projet'!$E$12+1,1))-AVERAGE(OFFSET($H$3,0,0,'Données projet'!$E$12+1,1))</f>
        <v>462.54745364638171</v>
      </c>
      <c r="CE186" s="57">
        <f t="shared" si="148"/>
        <v>571.50914830067313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10.808060796273336</v>
      </c>
      <c r="CL186" s="21">
        <f>EXP(-LN(2)/25)*CL185+(1-EXP(-LN(2)/25))/(LN(2)/25)*Calculateur!CG186*Calculateur!CI186*VLOOKUP('Données projet'!$B$12,Paramètres!$A$1:$I$89,3,0)*0.475*44/12</f>
        <v>0.83078069413477473</v>
      </c>
      <c r="CM186" s="21">
        <f>EXP(-LN(2)/2)*CM185+(1-EXP(-LN(2)/2))/(LN(2)/2)*CG186*CJ186*VLOOKUP('Données projet'!$B$12,Paramètres!$A$1:$I$89,3,0)*0.475*44/12</f>
        <v>7.9592318555872412E-24</v>
      </c>
      <c r="CN186" s="22">
        <f t="shared" si="172"/>
        <v>11.638841490408112</v>
      </c>
      <c r="CO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245.99999999999994</v>
      </c>
      <c r="CU186" s="17">
        <f>CT186*VLOOKUP('Données projet'!$B$13,Paramètres!$A$1:$I$89,3,0)*VLOOKUP('Données projet'!$B$13,Paramètres!$A$1:$I$89,5,0)</f>
        <v>234.09359999999998</v>
      </c>
      <c r="CV186" s="13">
        <f t="shared" si="173"/>
        <v>57.166902703920208</v>
      </c>
      <c r="CW186" s="20">
        <f t="shared" si="174"/>
        <v>507.27870887599425</v>
      </c>
      <c r="CX186" s="57">
        <f t="shared" si="122"/>
        <v>800.61204220932757</v>
      </c>
      <c r="CY186" s="57">
        <f ca="1">AVERAGE(OFFSET($CX$3,0,0,'Données projet'!$E$13+1,1))-AVERAGE(OFFSET($H$3,0,0,'Données projet'!$E$13+1,1))</f>
        <v>314.67680626853303</v>
      </c>
      <c r="CZ186" s="57">
        <f t="shared" si="150"/>
        <v>372.57247561536263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20.282248503102938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20.282248503102938</v>
      </c>
      <c r="DJ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319</v>
      </c>
      <c r="DP186" s="17">
        <f>DO186*VLOOKUP('Données projet'!$B$14,Paramètres!$A$1:$I$89,3,0)*VLOOKUP('Données projet'!$B$14,Paramètres!$A$1:$I$89,5,0)</f>
        <v>209.00879999999998</v>
      </c>
      <c r="DQ186" s="13">
        <f t="shared" si="176"/>
        <v>51.718923953824202</v>
      </c>
      <c r="DR186" s="20">
        <f t="shared" si="177"/>
        <v>454.10078588624373</v>
      </c>
      <c r="DS186" s="57">
        <f t="shared" si="125"/>
        <v>747.43411921957704</v>
      </c>
      <c r="DT186" s="57">
        <f ca="1">AVERAGE(OFFSET($DS$3,0,0,'Données projet'!$E$14+1,1))-AVERAGE(OFFSET($H$3,0,0,'Données projet'!$E$14+1,1))</f>
        <v>188.80259324758066</v>
      </c>
      <c r="DU186" s="57">
        <f t="shared" si="152"/>
        <v>195.48048518255354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4.6199331608336731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4.6199331608336731</v>
      </c>
      <c r="EE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319</v>
      </c>
      <c r="EK186" s="17">
        <f>EJ186*VLOOKUP('Données projet'!$B$15,Paramètres!$A$1:$I$89,3,0)*VLOOKUP('Données projet'!$B$15,Paramètres!$A$1:$I$89,5,0)</f>
        <v>258.77280000000002</v>
      </c>
      <c r="EL186" s="13">
        <f t="shared" si="179"/>
        <v>62.460716522234691</v>
      </c>
      <c r="EM186" s="20">
        <f t="shared" si="180"/>
        <v>559.48170794289206</v>
      </c>
      <c r="EN186" s="57">
        <f t="shared" si="128"/>
        <v>852.81504127622543</v>
      </c>
      <c r="EO186" s="57">
        <f ca="1">AVERAGE(OFFSET($EN$3,0,0,'Données projet'!$E$15+1,1))-AVERAGE(OFFSET($H$3,0,0,'Données projet'!$E$15+1,1))</f>
        <v>250.90550982248311</v>
      </c>
      <c r="EP186" s="57">
        <f t="shared" si="154"/>
        <v>254.68874167908001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5.7199172467464487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5.7199172467464487</v>
      </c>
      <c r="EZ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7" t="e">
        <f t="shared" si="131"/>
        <v>#N/A</v>
      </c>
      <c r="FJ186" s="57" t="e">
        <f ca="1">AVERAGE(OFFSET($FI$3,0,0,'Données projet'!$E$16+1,1))-AVERAGE(OFFSET($H$3,0,0,'Données projet'!$E$16+1,1))</f>
        <v>#N/A</v>
      </c>
      <c r="FK186" s="57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7" t="e">
        <f t="shared" si="134"/>
        <v>#N/A</v>
      </c>
      <c r="GE186" s="57" t="e">
        <f ca="1">AVERAGE(OFFSET($GD$3,0,0,'Données projet'!$E$17+1,1))-AVERAGE(OFFSET($H$3,0,0,'Données projet'!$E$17+1,1))</f>
        <v>#N/A</v>
      </c>
      <c r="GF186" s="57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7" t="e">
        <f t="shared" si="137"/>
        <v>#N/A</v>
      </c>
      <c r="GZ186" s="57" t="e">
        <f ca="1">AVERAGE(OFFSET($GY$3,0,0,'Données projet'!$E$18+1,1))-AVERAGE(OFFSET($H$3,0,0,'Données projet'!$E$18+1,1))</f>
        <v>#N/A</v>
      </c>
      <c r="HA186" s="57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0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4">
        <f t="shared" si="110"/>
        <v>644.71862514467216</v>
      </c>
      <c r="I187" s="6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258.61679999999996</v>
      </c>
      <c r="P187" s="13">
        <f t="shared" si="141"/>
        <v>62.427444141032439</v>
      </c>
      <c r="Q187" s="20">
        <f t="shared" si="162"/>
        <v>559.15205854563135</v>
      </c>
      <c r="R187" s="57">
        <f t="shared" si="109"/>
        <v>852.48539187896472</v>
      </c>
      <c r="S187" s="57">
        <f ca="1">AVERAGE(OFFSET($R$3,0,0,'Données projet'!$E$9+1,1))-AVERAGE(OFFSET($H$3,0,0,'Données projet'!$E$9+1,1))</f>
        <v>267.44861001389006</v>
      </c>
      <c r="T187" s="57">
        <f t="shared" si="142"/>
        <v>165.25921510802965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23.764519219563642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23.764519219563642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306.99999999999994</v>
      </c>
      <c r="AJ187" s="13">
        <f>AI187*VLOOKUP('Données projet'!$B$10,Paramètres!$A$1:$I$89,3,0)*VLOOKUP('Données projet'!$B$10,Paramètres!$A$1:$I$89,5,0)</f>
        <v>277.77359999999993</v>
      </c>
      <c r="AK187" s="13">
        <f t="shared" si="164"/>
        <v>66.496288176842356</v>
      </c>
      <c r="AL187" s="20">
        <f t="shared" si="165"/>
        <v>599.60338857466706</v>
      </c>
      <c r="AM187" s="57">
        <f t="shared" si="113"/>
        <v>892.93672190800044</v>
      </c>
      <c r="AN187" s="57">
        <f ca="1">AVERAGE(OFFSET($AM$3,0,0,'Données projet'!$E$10+1,1))-AVERAGE(OFFSET($H$3,0,0,'Données projet'!$E$10+1,1))</f>
        <v>294.92430430387071</v>
      </c>
      <c r="AO187" s="57">
        <f t="shared" si="144"/>
        <v>181.52228471516497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25.524853976568355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25.524853976568355</v>
      </c>
      <c r="AY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319</v>
      </c>
      <c r="BE187" s="13">
        <f>BD187*VLOOKUP('Données projet'!$B$11,Paramètres!$A$1:$I$89,3,0)*VLOOKUP('Données projet'!$B$11,Paramètres!$A$1:$I$89,5,0)</f>
        <v>258.77280000000002</v>
      </c>
      <c r="BF187" s="13">
        <f t="shared" si="167"/>
        <v>62.460716522234691</v>
      </c>
      <c r="BG187" s="20">
        <f t="shared" si="168"/>
        <v>559.48170794289206</v>
      </c>
      <c r="BH187" s="57">
        <f t="shared" si="116"/>
        <v>852.81504127622543</v>
      </c>
      <c r="BI187" s="57">
        <f ca="1">AVERAGE(OFFSET($BH$3,0,0,'Données projet'!$E$11+1,1))-AVERAGE(OFFSET($H$3,0,0,'Données projet'!$E$11+1,1))</f>
        <v>250.90550982248311</v>
      </c>
      <c r="BJ187" s="57">
        <f t="shared" si="146"/>
        <v>254.68874167908001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5.6077531583427804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5.6077531583427804</v>
      </c>
      <c r="BT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739.99999999999966</v>
      </c>
      <c r="BZ187" s="13">
        <f>BY187*VLOOKUP('Données projet'!$B$12,Paramètres!$A$1:$I$89,3,0)*VLOOKUP('Données projet'!$B$12,Paramètres!$A$1:$I$89,5,0)</f>
        <v>413.65999999999985</v>
      </c>
      <c r="CA187" s="13">
        <f t="shared" si="170"/>
        <v>94.540585122244352</v>
      </c>
      <c r="CB187" s="20">
        <f t="shared" si="171"/>
        <v>885.11601908790863</v>
      </c>
      <c r="CC187" s="57">
        <f t="shared" si="119"/>
        <v>1178.4493524212419</v>
      </c>
      <c r="CD187" s="57">
        <f ca="1">AVERAGE(OFFSET($CC$3,0,0,'Données projet'!$E$12+1,1))-AVERAGE(OFFSET($H$3,0,0,'Données projet'!$E$12+1,1))</f>
        <v>462.54745364638171</v>
      </c>
      <c r="CE187" s="57">
        <f t="shared" si="148"/>
        <v>571.50914830067313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10.59612131632457</v>
      </c>
      <c r="CL187" s="21">
        <f>EXP(-LN(2)/25)*CL186+(1-EXP(-LN(2)/25))/(LN(2)/25)*Calculateur!CG187*Calculateur!CI187*VLOOKUP('Données projet'!$B$12,Paramètres!$A$1:$I$89,3,0)*0.475*44/12</f>
        <v>0.80806295236480141</v>
      </c>
      <c r="CM187" s="21">
        <f>EXP(-LN(2)/2)*CM186+(1-EXP(-LN(2)/2))/(LN(2)/2)*CG187*CJ187*VLOOKUP('Données projet'!$B$12,Paramètres!$A$1:$I$89,3,0)*0.475*44/12</f>
        <v>5.6280268181217261E-24</v>
      </c>
      <c r="CN187" s="22">
        <f t="shared" si="172"/>
        <v>11.404184268689372</v>
      </c>
      <c r="CO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245.99999999999994</v>
      </c>
      <c r="CU187" s="17">
        <f>CT187*VLOOKUP('Données projet'!$B$13,Paramètres!$A$1:$I$89,3,0)*VLOOKUP('Données projet'!$B$13,Paramètres!$A$1:$I$89,5,0)</f>
        <v>234.09359999999998</v>
      </c>
      <c r="CV187" s="13">
        <f t="shared" si="173"/>
        <v>57.166902703920208</v>
      </c>
      <c r="CW187" s="20">
        <f t="shared" si="174"/>
        <v>507.27870887599425</v>
      </c>
      <c r="CX187" s="57">
        <f t="shared" si="122"/>
        <v>800.61204220932757</v>
      </c>
      <c r="CY187" s="57">
        <f ca="1">AVERAGE(OFFSET($CX$3,0,0,'Données projet'!$E$13+1,1))-AVERAGE(OFFSET($H$3,0,0,'Données projet'!$E$13+1,1))</f>
        <v>314.67680626853303</v>
      </c>
      <c r="CZ187" s="57">
        <f t="shared" si="150"/>
        <v>372.57247561536263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19.884525980907146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19.884525980907146</v>
      </c>
      <c r="DJ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319</v>
      </c>
      <c r="DP187" s="17">
        <f>DO187*VLOOKUP('Données projet'!$B$14,Paramètres!$A$1:$I$89,3,0)*VLOOKUP('Données projet'!$B$14,Paramètres!$A$1:$I$89,5,0)</f>
        <v>209.00879999999998</v>
      </c>
      <c r="DQ187" s="13">
        <f t="shared" si="176"/>
        <v>51.718923953824202</v>
      </c>
      <c r="DR187" s="20">
        <f t="shared" si="177"/>
        <v>454.10078588624373</v>
      </c>
      <c r="DS187" s="57">
        <f t="shared" si="125"/>
        <v>747.43411921957704</v>
      </c>
      <c r="DT187" s="57">
        <f ca="1">AVERAGE(OFFSET($DS$3,0,0,'Données projet'!$E$14+1,1))-AVERAGE(OFFSET($H$3,0,0,'Données projet'!$E$14+1,1))</f>
        <v>188.80259324758066</v>
      </c>
      <c r="DU187" s="57">
        <f t="shared" si="152"/>
        <v>195.48048518255354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4.5293390894307102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4.5293390894307102</v>
      </c>
      <c r="EE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319</v>
      </c>
      <c r="EK187" s="17">
        <f>EJ187*VLOOKUP('Données projet'!$B$15,Paramètres!$A$1:$I$89,3,0)*VLOOKUP('Données projet'!$B$15,Paramètres!$A$1:$I$89,5,0)</f>
        <v>258.77280000000002</v>
      </c>
      <c r="EL187" s="13">
        <f t="shared" si="179"/>
        <v>62.460716522234691</v>
      </c>
      <c r="EM187" s="20">
        <f t="shared" si="180"/>
        <v>559.48170794289206</v>
      </c>
      <c r="EN187" s="57">
        <f t="shared" si="128"/>
        <v>852.81504127622543</v>
      </c>
      <c r="EO187" s="57">
        <f ca="1">AVERAGE(OFFSET($EN$3,0,0,'Données projet'!$E$15+1,1))-AVERAGE(OFFSET($H$3,0,0,'Données projet'!$E$15+1,1))</f>
        <v>250.90550982248311</v>
      </c>
      <c r="EP187" s="57">
        <f t="shared" si="154"/>
        <v>254.68874167908001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5.6077531583427804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5.6077531583427804</v>
      </c>
      <c r="EZ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7" t="e">
        <f t="shared" si="131"/>
        <v>#N/A</v>
      </c>
      <c r="FJ187" s="57" t="e">
        <f ca="1">AVERAGE(OFFSET($FI$3,0,0,'Données projet'!$E$16+1,1))-AVERAGE(OFFSET($H$3,0,0,'Données projet'!$E$16+1,1))</f>
        <v>#N/A</v>
      </c>
      <c r="FK187" s="57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7" t="e">
        <f t="shared" si="134"/>
        <v>#N/A</v>
      </c>
      <c r="GE187" s="57" t="e">
        <f ca="1">AVERAGE(OFFSET($GD$3,0,0,'Données projet'!$E$17+1,1))-AVERAGE(OFFSET($H$3,0,0,'Données projet'!$E$17+1,1))</f>
        <v>#N/A</v>
      </c>
      <c r="GF187" s="57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7" t="e">
        <f t="shared" si="137"/>
        <v>#N/A</v>
      </c>
      <c r="GZ187" s="57" t="e">
        <f ca="1">AVERAGE(OFFSET($GY$3,0,0,'Données projet'!$E$18+1,1))-AVERAGE(OFFSET($H$3,0,0,'Données projet'!$E$18+1,1))</f>
        <v>#N/A</v>
      </c>
      <c r="HA187" s="57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0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4">
        <f t="shared" si="110"/>
        <v>646.58303508140284</v>
      </c>
      <c r="I188" s="6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258.61679999999996</v>
      </c>
      <c r="P188" s="13">
        <f t="shared" si="141"/>
        <v>62.427444141032439</v>
      </c>
      <c r="Q188" s="20">
        <f t="shared" si="162"/>
        <v>559.15205854563135</v>
      </c>
      <c r="R188" s="57">
        <f t="shared" si="109"/>
        <v>852.48539187896472</v>
      </c>
      <c r="S188" s="57">
        <f ca="1">AVERAGE(OFFSET($R$3,0,0,'Données projet'!$E$9+1,1))-AVERAGE(OFFSET($H$3,0,0,'Données projet'!$E$9+1,1))</f>
        <v>267.44861001389006</v>
      </c>
      <c r="T188" s="57">
        <f t="shared" si="142"/>
        <v>165.25921510802965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23.29851149259347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23.29851149259347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306.99999999999994</v>
      </c>
      <c r="AJ188" s="13">
        <f>AI188*VLOOKUP('Données projet'!$B$10,Paramètres!$A$1:$I$89,3,0)*VLOOKUP('Données projet'!$B$10,Paramètres!$A$1:$I$89,5,0)</f>
        <v>277.77359999999993</v>
      </c>
      <c r="AK188" s="13">
        <f t="shared" si="164"/>
        <v>66.496288176842356</v>
      </c>
      <c r="AL188" s="20">
        <f t="shared" si="165"/>
        <v>599.60338857466706</v>
      </c>
      <c r="AM188" s="57">
        <f t="shared" si="113"/>
        <v>892.93672190800044</v>
      </c>
      <c r="AN188" s="57">
        <f ca="1">AVERAGE(OFFSET($AM$3,0,0,'Données projet'!$E$10+1,1))-AVERAGE(OFFSET($H$3,0,0,'Données projet'!$E$10+1,1))</f>
        <v>294.92430430387071</v>
      </c>
      <c r="AO188" s="57">
        <f t="shared" si="144"/>
        <v>181.52228471516497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25.0243271587115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25.0243271587115</v>
      </c>
      <c r="AY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319</v>
      </c>
      <c r="BE188" s="13">
        <f>BD188*VLOOKUP('Données projet'!$B$11,Paramètres!$A$1:$I$89,3,0)*VLOOKUP('Données projet'!$B$11,Paramètres!$A$1:$I$89,5,0)</f>
        <v>258.77280000000002</v>
      </c>
      <c r="BF188" s="13">
        <f t="shared" si="167"/>
        <v>62.460716522234691</v>
      </c>
      <c r="BG188" s="20">
        <f t="shared" si="168"/>
        <v>559.48170794289206</v>
      </c>
      <c r="BH188" s="57">
        <f t="shared" si="116"/>
        <v>852.81504127622543</v>
      </c>
      <c r="BI188" s="57">
        <f ca="1">AVERAGE(OFFSET($BH$3,0,0,'Données projet'!$E$11+1,1))-AVERAGE(OFFSET($H$3,0,0,'Données projet'!$E$11+1,1))</f>
        <v>250.90550982248311</v>
      </c>
      <c r="BJ188" s="57">
        <f t="shared" si="146"/>
        <v>254.68874167908001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5.4977885392993695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5.4977885392993695</v>
      </c>
      <c r="BT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739.99999999999966</v>
      </c>
      <c r="BZ188" s="13">
        <f>BY188*VLOOKUP('Données projet'!$B$12,Paramètres!$A$1:$I$89,3,0)*VLOOKUP('Données projet'!$B$12,Paramètres!$A$1:$I$89,5,0)</f>
        <v>413.65999999999985</v>
      </c>
      <c r="CA188" s="13">
        <f t="shared" si="170"/>
        <v>94.540585122244352</v>
      </c>
      <c r="CB188" s="20">
        <f t="shared" si="171"/>
        <v>885.11601908790863</v>
      </c>
      <c r="CC188" s="57">
        <f t="shared" si="119"/>
        <v>1178.4493524212419</v>
      </c>
      <c r="CD188" s="57">
        <f ca="1">AVERAGE(OFFSET($CC$3,0,0,'Données projet'!$E$12+1,1))-AVERAGE(OFFSET($H$3,0,0,'Données projet'!$E$12+1,1))</f>
        <v>462.54745364638171</v>
      </c>
      <c r="CE188" s="57">
        <f t="shared" si="148"/>
        <v>571.50914830067313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10.38833784030728</v>
      </c>
      <c r="CL188" s="21">
        <f>EXP(-LN(2)/25)*CL187+(1-EXP(-LN(2)/25))/(LN(2)/25)*Calculateur!CG188*Calculateur!CI188*VLOOKUP('Données projet'!$B$12,Paramètres!$A$1:$I$89,3,0)*0.475*44/12</f>
        <v>0.78596642843820208</v>
      </c>
      <c r="CM188" s="21">
        <f>EXP(-LN(2)/2)*CM187+(1-EXP(-LN(2)/2))/(LN(2)/2)*CG188*CJ188*VLOOKUP('Données projet'!$B$12,Paramètres!$A$1:$I$89,3,0)*0.475*44/12</f>
        <v>3.9796159277936206E-24</v>
      </c>
      <c r="CN188" s="22">
        <f t="shared" si="172"/>
        <v>11.174304268745482</v>
      </c>
      <c r="CO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245.99999999999994</v>
      </c>
      <c r="CU188" s="17">
        <f>CT188*VLOOKUP('Données projet'!$B$13,Paramètres!$A$1:$I$89,3,0)*VLOOKUP('Données projet'!$B$13,Paramètres!$A$1:$I$89,5,0)</f>
        <v>234.09359999999998</v>
      </c>
      <c r="CV188" s="13">
        <f t="shared" si="173"/>
        <v>57.166902703920208</v>
      </c>
      <c r="CW188" s="20">
        <f t="shared" si="174"/>
        <v>507.27870887599425</v>
      </c>
      <c r="CX188" s="57">
        <f t="shared" si="122"/>
        <v>800.61204220932757</v>
      </c>
      <c r="CY188" s="57">
        <f ca="1">AVERAGE(OFFSET($CX$3,0,0,'Données projet'!$E$13+1,1))-AVERAGE(OFFSET($H$3,0,0,'Données projet'!$E$13+1,1))</f>
        <v>314.67680626853303</v>
      </c>
      <c r="CZ188" s="57">
        <f t="shared" si="150"/>
        <v>372.57247561536263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19.49460255478483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19.49460255478483</v>
      </c>
      <c r="DJ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319</v>
      </c>
      <c r="DP188" s="17">
        <f>DO188*VLOOKUP('Données projet'!$B$14,Paramètres!$A$1:$I$89,3,0)*VLOOKUP('Données projet'!$B$14,Paramètres!$A$1:$I$89,5,0)</f>
        <v>209.00879999999998</v>
      </c>
      <c r="DQ188" s="13">
        <f t="shared" si="176"/>
        <v>51.718923953824202</v>
      </c>
      <c r="DR188" s="20">
        <f t="shared" si="177"/>
        <v>454.10078588624373</v>
      </c>
      <c r="DS188" s="57">
        <f t="shared" si="125"/>
        <v>747.43411921957704</v>
      </c>
      <c r="DT188" s="57">
        <f ca="1">AVERAGE(OFFSET($DS$3,0,0,'Données projet'!$E$14+1,1))-AVERAGE(OFFSET($H$3,0,0,'Données projet'!$E$14+1,1))</f>
        <v>188.80259324758066</v>
      </c>
      <c r="DU188" s="57">
        <f t="shared" si="152"/>
        <v>195.48048518255354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4.4405215125110322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4.4405215125110322</v>
      </c>
      <c r="EE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319</v>
      </c>
      <c r="EK188" s="17">
        <f>EJ188*VLOOKUP('Données projet'!$B$15,Paramètres!$A$1:$I$89,3,0)*VLOOKUP('Données projet'!$B$15,Paramètres!$A$1:$I$89,5,0)</f>
        <v>258.77280000000002</v>
      </c>
      <c r="EL188" s="13">
        <f t="shared" si="179"/>
        <v>62.460716522234691</v>
      </c>
      <c r="EM188" s="20">
        <f t="shared" si="180"/>
        <v>559.48170794289206</v>
      </c>
      <c r="EN188" s="57">
        <f t="shared" si="128"/>
        <v>852.81504127622543</v>
      </c>
      <c r="EO188" s="57">
        <f ca="1">AVERAGE(OFFSET($EN$3,0,0,'Données projet'!$E$15+1,1))-AVERAGE(OFFSET($H$3,0,0,'Données projet'!$E$15+1,1))</f>
        <v>250.90550982248311</v>
      </c>
      <c r="EP188" s="57">
        <f t="shared" si="154"/>
        <v>254.68874167908001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5.4977885392993695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5.4977885392993695</v>
      </c>
      <c r="EZ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7" t="e">
        <f t="shared" si="131"/>
        <v>#N/A</v>
      </c>
      <c r="FJ188" s="57" t="e">
        <f ca="1">AVERAGE(OFFSET($FI$3,0,0,'Données projet'!$E$16+1,1))-AVERAGE(OFFSET($H$3,0,0,'Données projet'!$E$16+1,1))</f>
        <v>#N/A</v>
      </c>
      <c r="FK188" s="57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7" t="e">
        <f t="shared" si="134"/>
        <v>#N/A</v>
      </c>
      <c r="GE188" s="57" t="e">
        <f ca="1">AVERAGE(OFFSET($GD$3,0,0,'Données projet'!$E$17+1,1))-AVERAGE(OFFSET($H$3,0,0,'Données projet'!$E$17+1,1))</f>
        <v>#N/A</v>
      </c>
      <c r="GF188" s="57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7" t="e">
        <f t="shared" si="137"/>
        <v>#N/A</v>
      </c>
      <c r="GZ188" s="57" t="e">
        <f ca="1">AVERAGE(OFFSET($GY$3,0,0,'Données projet'!$E$18+1,1))-AVERAGE(OFFSET($H$3,0,0,'Données projet'!$E$18+1,1))</f>
        <v>#N/A</v>
      </c>
      <c r="HA188" s="57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0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4">
        <f t="shared" si="110"/>
        <v>648.44722934223819</v>
      </c>
      <c r="I189" s="6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258.61679999999996</v>
      </c>
      <c r="P189" s="13">
        <f t="shared" si="141"/>
        <v>62.427444141032439</v>
      </c>
      <c r="Q189" s="20">
        <f t="shared" si="162"/>
        <v>559.15205854563135</v>
      </c>
      <c r="R189" s="57">
        <f t="shared" si="109"/>
        <v>852.48539187896472</v>
      </c>
      <c r="S189" s="57">
        <f ca="1">AVERAGE(OFFSET($R$3,0,0,'Données projet'!$E$9+1,1))-AVERAGE(OFFSET($H$3,0,0,'Données projet'!$E$9+1,1))</f>
        <v>267.44861001389006</v>
      </c>
      <c r="T189" s="57">
        <f t="shared" si="142"/>
        <v>165.25921510802965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22.841641892912534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22.841641892912534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306.99999999999994</v>
      </c>
      <c r="AJ189" s="13">
        <f>AI189*VLOOKUP('Données projet'!$B$10,Paramètres!$A$1:$I$89,3,0)*VLOOKUP('Données projet'!$B$10,Paramètres!$A$1:$I$89,5,0)</f>
        <v>277.77359999999993</v>
      </c>
      <c r="AK189" s="13">
        <f t="shared" si="164"/>
        <v>66.496288176842356</v>
      </c>
      <c r="AL189" s="20">
        <f t="shared" si="165"/>
        <v>599.60338857466706</v>
      </c>
      <c r="AM189" s="57">
        <f t="shared" si="113"/>
        <v>892.93672190800044</v>
      </c>
      <c r="AN189" s="57">
        <f ca="1">AVERAGE(OFFSET($AM$3,0,0,'Données projet'!$E$10+1,1))-AVERAGE(OFFSET($H$3,0,0,'Données projet'!$E$10+1,1))</f>
        <v>294.92430430387071</v>
      </c>
      <c r="AO189" s="57">
        <f t="shared" si="144"/>
        <v>181.52228471516497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24.533615366461607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24.533615366461607</v>
      </c>
      <c r="AY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319</v>
      </c>
      <c r="BE189" s="13">
        <f>BD189*VLOOKUP('Données projet'!$B$11,Paramètres!$A$1:$I$89,3,0)*VLOOKUP('Données projet'!$B$11,Paramètres!$A$1:$I$89,5,0)</f>
        <v>258.77280000000002</v>
      </c>
      <c r="BF189" s="13">
        <f t="shared" si="167"/>
        <v>62.460716522234691</v>
      </c>
      <c r="BG189" s="20">
        <f t="shared" si="168"/>
        <v>559.48170794289206</v>
      </c>
      <c r="BH189" s="57">
        <f t="shared" si="116"/>
        <v>852.81504127622543</v>
      </c>
      <c r="BI189" s="57">
        <f ca="1">AVERAGE(OFFSET($BH$3,0,0,'Données projet'!$E$11+1,1))-AVERAGE(OFFSET($H$3,0,0,'Données projet'!$E$11+1,1))</f>
        <v>250.90550982248311</v>
      </c>
      <c r="BJ189" s="57">
        <f t="shared" si="146"/>
        <v>254.68874167908001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5.3899802593636048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5.3899802593636048</v>
      </c>
      <c r="BT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739.99999999999966</v>
      </c>
      <c r="BZ189" s="13">
        <f>BY189*VLOOKUP('Données projet'!$B$12,Paramètres!$A$1:$I$89,3,0)*VLOOKUP('Données projet'!$B$12,Paramètres!$A$1:$I$89,5,0)</f>
        <v>413.65999999999985</v>
      </c>
      <c r="CA189" s="13">
        <f t="shared" si="170"/>
        <v>94.540585122244352</v>
      </c>
      <c r="CB189" s="20">
        <f t="shared" si="171"/>
        <v>885.11601908790863</v>
      </c>
      <c r="CC189" s="57">
        <f t="shared" si="119"/>
        <v>1178.4493524212419</v>
      </c>
      <c r="CD189" s="57">
        <f ca="1">AVERAGE(OFFSET($CC$3,0,0,'Données projet'!$E$12+1,1))-AVERAGE(OFFSET($H$3,0,0,'Données projet'!$E$12+1,1))</f>
        <v>462.54745364638171</v>
      </c>
      <c r="CE189" s="57">
        <f t="shared" si="148"/>
        <v>571.50914830067313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10.184628871519283</v>
      </c>
      <c r="CL189" s="21">
        <f>EXP(-LN(2)/25)*CL188+(1-EXP(-LN(2)/25))/(LN(2)/25)*Calculateur!CG189*Calculateur!CI189*VLOOKUP('Données projet'!$B$12,Paramètres!$A$1:$I$89,3,0)*0.475*44/12</f>
        <v>0.76447413512038132</v>
      </c>
      <c r="CM189" s="21">
        <f>EXP(-LN(2)/2)*CM188+(1-EXP(-LN(2)/2))/(LN(2)/2)*CG189*CJ189*VLOOKUP('Données projet'!$B$12,Paramètres!$A$1:$I$89,3,0)*0.475*44/12</f>
        <v>2.814013409060863E-24</v>
      </c>
      <c r="CN189" s="22">
        <f t="shared" si="172"/>
        <v>10.949103006639664</v>
      </c>
      <c r="CO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245.99999999999994</v>
      </c>
      <c r="CU189" s="17">
        <f>CT189*VLOOKUP('Données projet'!$B$13,Paramètres!$A$1:$I$89,3,0)*VLOOKUP('Données projet'!$B$13,Paramètres!$A$1:$I$89,5,0)</f>
        <v>234.09359999999998</v>
      </c>
      <c r="CV189" s="13">
        <f t="shared" si="173"/>
        <v>57.166902703920208</v>
      </c>
      <c r="CW189" s="20">
        <f t="shared" si="174"/>
        <v>507.27870887599425</v>
      </c>
      <c r="CX189" s="57">
        <f t="shared" si="122"/>
        <v>800.61204220932757</v>
      </c>
      <c r="CY189" s="57">
        <f ca="1">AVERAGE(OFFSET($CX$3,0,0,'Données projet'!$E$13+1,1))-AVERAGE(OFFSET($H$3,0,0,'Données projet'!$E$13+1,1))</f>
        <v>314.67680626853303</v>
      </c>
      <c r="CZ189" s="57">
        <f t="shared" si="150"/>
        <v>372.57247561536263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19.112325289218965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19.112325289218965</v>
      </c>
      <c r="DJ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319</v>
      </c>
      <c r="DP189" s="17">
        <f>DO189*VLOOKUP('Données projet'!$B$14,Paramètres!$A$1:$I$89,3,0)*VLOOKUP('Données projet'!$B$14,Paramètres!$A$1:$I$89,5,0)</f>
        <v>209.00879999999998</v>
      </c>
      <c r="DQ189" s="13">
        <f t="shared" si="176"/>
        <v>51.718923953824202</v>
      </c>
      <c r="DR189" s="20">
        <f t="shared" si="177"/>
        <v>454.10078588624373</v>
      </c>
      <c r="DS189" s="57">
        <f t="shared" si="125"/>
        <v>747.43411921957704</v>
      </c>
      <c r="DT189" s="57">
        <f ca="1">AVERAGE(OFFSET($DS$3,0,0,'Données projet'!$E$14+1,1))-AVERAGE(OFFSET($H$3,0,0,'Données projet'!$E$14+1,1))</f>
        <v>188.80259324758066</v>
      </c>
      <c r="DU189" s="57">
        <f t="shared" si="152"/>
        <v>195.48048518255354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4.3534455941013759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4.3534455941013759</v>
      </c>
      <c r="EE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319</v>
      </c>
      <c r="EK189" s="17">
        <f>EJ189*VLOOKUP('Données projet'!$B$15,Paramètres!$A$1:$I$89,3,0)*VLOOKUP('Données projet'!$B$15,Paramètres!$A$1:$I$89,5,0)</f>
        <v>258.77280000000002</v>
      </c>
      <c r="EL189" s="13">
        <f t="shared" si="179"/>
        <v>62.460716522234691</v>
      </c>
      <c r="EM189" s="20">
        <f t="shared" si="180"/>
        <v>559.48170794289206</v>
      </c>
      <c r="EN189" s="57">
        <f t="shared" si="128"/>
        <v>852.81504127622543</v>
      </c>
      <c r="EO189" s="57">
        <f ca="1">AVERAGE(OFFSET($EN$3,0,0,'Données projet'!$E$15+1,1))-AVERAGE(OFFSET($H$3,0,0,'Données projet'!$E$15+1,1))</f>
        <v>250.90550982248311</v>
      </c>
      <c r="EP189" s="57">
        <f t="shared" si="154"/>
        <v>254.68874167908001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5.3899802593636048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5.3899802593636048</v>
      </c>
      <c r="EZ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7" t="e">
        <f t="shared" si="131"/>
        <v>#N/A</v>
      </c>
      <c r="FJ189" s="57" t="e">
        <f ca="1">AVERAGE(OFFSET($FI$3,0,0,'Données projet'!$E$16+1,1))-AVERAGE(OFFSET($H$3,0,0,'Données projet'!$E$16+1,1))</f>
        <v>#N/A</v>
      </c>
      <c r="FK189" s="57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7" t="e">
        <f t="shared" si="134"/>
        <v>#N/A</v>
      </c>
      <c r="GE189" s="57" t="e">
        <f ca="1">AVERAGE(OFFSET($GD$3,0,0,'Données projet'!$E$17+1,1))-AVERAGE(OFFSET($H$3,0,0,'Données projet'!$E$17+1,1))</f>
        <v>#N/A</v>
      </c>
      <c r="GF189" s="57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7" t="e">
        <f t="shared" si="137"/>
        <v>#N/A</v>
      </c>
      <c r="GZ189" s="57" t="e">
        <f ca="1">AVERAGE(OFFSET($GY$3,0,0,'Données projet'!$E$18+1,1))-AVERAGE(OFFSET($H$3,0,0,'Données projet'!$E$18+1,1))</f>
        <v>#N/A</v>
      </c>
      <c r="HA189" s="57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0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4">
        <f t="shared" si="110"/>
        <v>650.31120922130515</v>
      </c>
      <c r="I190" s="6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258.61679999999996</v>
      </c>
      <c r="P190" s="13">
        <f t="shared" si="141"/>
        <v>62.427444141032439</v>
      </c>
      <c r="Q190" s="20">
        <f t="shared" si="162"/>
        <v>559.15205854563135</v>
      </c>
      <c r="R190" s="57">
        <f t="shared" si="109"/>
        <v>852.48539187896472</v>
      </c>
      <c r="S190" s="57">
        <f ca="1">AVERAGE(OFFSET($R$3,0,0,'Données projet'!$E$9+1,1))-AVERAGE(OFFSET($H$3,0,0,'Données projet'!$E$9+1,1))</f>
        <v>267.44861001389006</v>
      </c>
      <c r="T190" s="57">
        <f t="shared" si="142"/>
        <v>165.25921510802965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22.393731227418399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22.393731227418399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306.99999999999994</v>
      </c>
      <c r="AJ190" s="13">
        <f>AI190*VLOOKUP('Données projet'!$B$10,Paramètres!$A$1:$I$89,3,0)*VLOOKUP('Données projet'!$B$10,Paramètres!$A$1:$I$89,5,0)</f>
        <v>277.77359999999993</v>
      </c>
      <c r="AK190" s="13">
        <f t="shared" si="164"/>
        <v>66.496288176842356</v>
      </c>
      <c r="AL190" s="20">
        <f t="shared" si="165"/>
        <v>599.60338857466706</v>
      </c>
      <c r="AM190" s="57">
        <f t="shared" si="113"/>
        <v>892.93672190800044</v>
      </c>
      <c r="AN190" s="57">
        <f ca="1">AVERAGE(OFFSET($AM$3,0,0,'Données projet'!$E$10+1,1))-AVERAGE(OFFSET($H$3,0,0,'Données projet'!$E$10+1,1))</f>
        <v>294.92430430387071</v>
      </c>
      <c r="AO190" s="57">
        <f t="shared" si="144"/>
        <v>181.52228471516497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24.052526133153094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24.052526133153094</v>
      </c>
      <c r="AY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319</v>
      </c>
      <c r="BE190" s="13">
        <f>BD190*VLOOKUP('Données projet'!$B$11,Paramètres!$A$1:$I$89,3,0)*VLOOKUP('Données projet'!$B$11,Paramètres!$A$1:$I$89,5,0)</f>
        <v>258.77280000000002</v>
      </c>
      <c r="BF190" s="13">
        <f t="shared" si="167"/>
        <v>62.460716522234691</v>
      </c>
      <c r="BG190" s="20">
        <f t="shared" si="168"/>
        <v>559.48170794289206</v>
      </c>
      <c r="BH190" s="57">
        <f t="shared" si="116"/>
        <v>852.81504127622543</v>
      </c>
      <c r="BI190" s="57">
        <f ca="1">AVERAGE(OFFSET($BH$3,0,0,'Données projet'!$E$11+1,1))-AVERAGE(OFFSET($H$3,0,0,'Données projet'!$E$11+1,1))</f>
        <v>250.90550982248311</v>
      </c>
      <c r="BJ190" s="57">
        <f t="shared" si="146"/>
        <v>254.68874167908001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5.2842860340408224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5.2842860340408224</v>
      </c>
      <c r="BT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739.99999999999966</v>
      </c>
      <c r="BZ190" s="13">
        <f>BY190*VLOOKUP('Données projet'!$B$12,Paramètres!$A$1:$I$89,3,0)*VLOOKUP('Données projet'!$B$12,Paramètres!$A$1:$I$89,5,0)</f>
        <v>413.65999999999985</v>
      </c>
      <c r="CA190" s="13">
        <f t="shared" si="170"/>
        <v>94.540585122244352</v>
      </c>
      <c r="CB190" s="20">
        <f t="shared" si="171"/>
        <v>885.11601908790863</v>
      </c>
      <c r="CC190" s="57">
        <f t="shared" si="119"/>
        <v>1178.4493524212419</v>
      </c>
      <c r="CD190" s="57">
        <f ca="1">AVERAGE(OFFSET($CC$3,0,0,'Données projet'!$E$12+1,1))-AVERAGE(OFFSET($H$3,0,0,'Données projet'!$E$12+1,1))</f>
        <v>462.54745364638171</v>
      </c>
      <c r="CE190" s="57">
        <f t="shared" si="148"/>
        <v>571.50914830067313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9.9849145113590172</v>
      </c>
      <c r="CL190" s="21">
        <f>EXP(-LN(2)/25)*CL189+(1-EXP(-LN(2)/25))/(LN(2)/25)*Calculateur!CG190*Calculateur!CI190*VLOOKUP('Données projet'!$B$12,Paramètres!$A$1:$I$89,3,0)*0.475*44/12</f>
        <v>0.74356954969356692</v>
      </c>
      <c r="CM190" s="21">
        <f>EXP(-LN(2)/2)*CM189+(1-EXP(-LN(2)/2))/(LN(2)/2)*CG190*CJ190*VLOOKUP('Données projet'!$B$12,Paramètres!$A$1:$I$89,3,0)*0.475*44/12</f>
        <v>1.9898079638968103E-24</v>
      </c>
      <c r="CN190" s="22">
        <f t="shared" si="172"/>
        <v>10.728484061052583</v>
      </c>
      <c r="CO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245.99999999999994</v>
      </c>
      <c r="CU190" s="17">
        <f>CT190*VLOOKUP('Données projet'!$B$13,Paramètres!$A$1:$I$89,3,0)*VLOOKUP('Données projet'!$B$13,Paramètres!$A$1:$I$89,5,0)</f>
        <v>234.09359999999998</v>
      </c>
      <c r="CV190" s="13">
        <f t="shared" si="173"/>
        <v>57.166902703920208</v>
      </c>
      <c r="CW190" s="20">
        <f t="shared" si="174"/>
        <v>507.27870887599425</v>
      </c>
      <c r="CX190" s="57">
        <f t="shared" si="122"/>
        <v>800.61204220932757</v>
      </c>
      <c r="CY190" s="57">
        <f ca="1">AVERAGE(OFFSET($CX$3,0,0,'Données projet'!$E$13+1,1))-AVERAGE(OFFSET($H$3,0,0,'Données projet'!$E$13+1,1))</f>
        <v>314.67680626853303</v>
      </c>
      <c r="CZ190" s="57">
        <f t="shared" si="150"/>
        <v>372.57247561536263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18.73754424766474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18.73754424766474</v>
      </c>
      <c r="DJ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319</v>
      </c>
      <c r="DP190" s="17">
        <f>DO190*VLOOKUP('Données projet'!$B$14,Paramètres!$A$1:$I$89,3,0)*VLOOKUP('Données projet'!$B$14,Paramètres!$A$1:$I$89,5,0)</f>
        <v>209.00879999999998</v>
      </c>
      <c r="DQ190" s="13">
        <f t="shared" si="176"/>
        <v>51.718923953824202</v>
      </c>
      <c r="DR190" s="20">
        <f t="shared" si="177"/>
        <v>454.10078588624373</v>
      </c>
      <c r="DS190" s="57">
        <f t="shared" si="125"/>
        <v>747.43411921957704</v>
      </c>
      <c r="DT190" s="57">
        <f ca="1">AVERAGE(OFFSET($DS$3,0,0,'Données projet'!$E$14+1,1))-AVERAGE(OFFSET($H$3,0,0,'Données projet'!$E$14+1,1))</f>
        <v>188.80259324758066</v>
      </c>
      <c r="DU190" s="57">
        <f t="shared" si="152"/>
        <v>195.48048518255354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4.2680771813406677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4.2680771813406677</v>
      </c>
      <c r="EE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319</v>
      </c>
      <c r="EK190" s="17">
        <f>EJ190*VLOOKUP('Données projet'!$B$15,Paramètres!$A$1:$I$89,3,0)*VLOOKUP('Données projet'!$B$15,Paramètres!$A$1:$I$89,5,0)</f>
        <v>258.77280000000002</v>
      </c>
      <c r="EL190" s="13">
        <f t="shared" si="179"/>
        <v>62.460716522234691</v>
      </c>
      <c r="EM190" s="20">
        <f t="shared" si="180"/>
        <v>559.48170794289206</v>
      </c>
      <c r="EN190" s="57">
        <f t="shared" si="128"/>
        <v>852.81504127622543</v>
      </c>
      <c r="EO190" s="57">
        <f ca="1">AVERAGE(OFFSET($EN$3,0,0,'Données projet'!$E$15+1,1))-AVERAGE(OFFSET($H$3,0,0,'Données projet'!$E$15+1,1))</f>
        <v>250.90550982248311</v>
      </c>
      <c r="EP190" s="57">
        <f t="shared" si="154"/>
        <v>254.68874167908001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5.2842860340408224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5.2842860340408224</v>
      </c>
      <c r="EZ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7" t="e">
        <f t="shared" si="131"/>
        <v>#N/A</v>
      </c>
      <c r="FJ190" s="57" t="e">
        <f ca="1">AVERAGE(OFFSET($FI$3,0,0,'Données projet'!$E$16+1,1))-AVERAGE(OFFSET($H$3,0,0,'Données projet'!$E$16+1,1))</f>
        <v>#N/A</v>
      </c>
      <c r="FK190" s="57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7" t="e">
        <f t="shared" si="134"/>
        <v>#N/A</v>
      </c>
      <c r="GE190" s="57" t="e">
        <f ca="1">AVERAGE(OFFSET($GD$3,0,0,'Données projet'!$E$17+1,1))-AVERAGE(OFFSET($H$3,0,0,'Données projet'!$E$17+1,1))</f>
        <v>#N/A</v>
      </c>
      <c r="GF190" s="57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7" t="e">
        <f t="shared" si="137"/>
        <v>#N/A</v>
      </c>
      <c r="GZ190" s="57" t="e">
        <f ca="1">AVERAGE(OFFSET($GY$3,0,0,'Données projet'!$E$18+1,1))-AVERAGE(OFFSET($H$3,0,0,'Données projet'!$E$18+1,1))</f>
        <v>#N/A</v>
      </c>
      <c r="HA190" s="57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0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4">
        <f t="shared" si="110"/>
        <v>652.17497599808837</v>
      </c>
      <c r="I191" s="6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258.61679999999996</v>
      </c>
      <c r="P191" s="13">
        <f t="shared" si="141"/>
        <v>62.427444141032439</v>
      </c>
      <c r="Q191" s="20">
        <f t="shared" si="162"/>
        <v>559.15205854563135</v>
      </c>
      <c r="R191" s="57">
        <f t="shared" si="109"/>
        <v>852.48539187896472</v>
      </c>
      <c r="S191" s="57">
        <f ca="1">AVERAGE(OFFSET($R$3,0,0,'Données projet'!$E$9+1,1))-AVERAGE(OFFSET($H$3,0,0,'Données projet'!$E$9+1,1))</f>
        <v>267.44861001389006</v>
      </c>
      <c r="T191" s="57">
        <f t="shared" si="142"/>
        <v>165.25921510802965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21.954603816876077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21.954603816876077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306.99999999999994</v>
      </c>
      <c r="AJ191" s="13">
        <f>AI191*VLOOKUP('Données projet'!$B$10,Paramètres!$A$1:$I$89,3,0)*VLOOKUP('Données projet'!$B$10,Paramètres!$A$1:$I$89,5,0)</f>
        <v>277.77359999999993</v>
      </c>
      <c r="AK191" s="13">
        <f t="shared" si="164"/>
        <v>66.496288176842356</v>
      </c>
      <c r="AL191" s="20">
        <f t="shared" si="165"/>
        <v>599.60338857466706</v>
      </c>
      <c r="AM191" s="57">
        <f t="shared" si="113"/>
        <v>892.93672190800044</v>
      </c>
      <c r="AN191" s="57">
        <f ca="1">AVERAGE(OFFSET($AM$3,0,0,'Données projet'!$E$10+1,1))-AVERAGE(OFFSET($H$3,0,0,'Données projet'!$E$10+1,1))</f>
        <v>294.92430430387071</v>
      </c>
      <c r="AO191" s="57">
        <f t="shared" si="144"/>
        <v>181.52228471516497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23.580870766274302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23.580870766274302</v>
      </c>
      <c r="AY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319</v>
      </c>
      <c r="BE191" s="13">
        <f>BD191*VLOOKUP('Données projet'!$B$11,Paramètres!$A$1:$I$89,3,0)*VLOOKUP('Données projet'!$B$11,Paramètres!$A$1:$I$89,5,0)</f>
        <v>258.77280000000002</v>
      </c>
      <c r="BF191" s="13">
        <f t="shared" si="167"/>
        <v>62.460716522234691</v>
      </c>
      <c r="BG191" s="20">
        <f t="shared" si="168"/>
        <v>559.48170794289206</v>
      </c>
      <c r="BH191" s="57">
        <f t="shared" si="116"/>
        <v>852.81504127622543</v>
      </c>
      <c r="BI191" s="57">
        <f ca="1">AVERAGE(OFFSET($BH$3,0,0,'Données projet'!$E$11+1,1))-AVERAGE(OFFSET($H$3,0,0,'Données projet'!$E$11+1,1))</f>
        <v>250.90550982248311</v>
      </c>
      <c r="BJ191" s="57">
        <f t="shared" si="146"/>
        <v>254.68874167908001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5.1806644080095081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5.1806644080095081</v>
      </c>
      <c r="BT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739.99999999999966</v>
      </c>
      <c r="BZ191" s="13">
        <f>BY191*VLOOKUP('Données projet'!$B$12,Paramètres!$A$1:$I$89,3,0)*VLOOKUP('Données projet'!$B$12,Paramètres!$A$1:$I$89,5,0)</f>
        <v>413.65999999999985</v>
      </c>
      <c r="CA191" s="13">
        <f t="shared" si="170"/>
        <v>94.540585122244352</v>
      </c>
      <c r="CB191" s="20">
        <f t="shared" si="171"/>
        <v>885.11601908790863</v>
      </c>
      <c r="CC191" s="57">
        <f t="shared" si="119"/>
        <v>1178.4493524212419</v>
      </c>
      <c r="CD191" s="57">
        <f ca="1">AVERAGE(OFFSET($CC$3,0,0,'Données projet'!$E$12+1,1))-AVERAGE(OFFSET($H$3,0,0,'Données projet'!$E$12+1,1))</f>
        <v>462.54745364638171</v>
      </c>
      <c r="CE191" s="57">
        <f t="shared" si="148"/>
        <v>571.50914830067313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9.7891164279877625</v>
      </c>
      <c r="CL191" s="21">
        <f>EXP(-LN(2)/25)*CL190+(1-EXP(-LN(2)/25))/(LN(2)/25)*Calculateur!CG191*Calculateur!CI191*VLOOKUP('Données projet'!$B$12,Paramètres!$A$1:$I$89,3,0)*0.475*44/12</f>
        <v>0.72323660125457312</v>
      </c>
      <c r="CM191" s="21">
        <f>EXP(-LN(2)/2)*CM190+(1-EXP(-LN(2)/2))/(LN(2)/2)*CG191*CJ191*VLOOKUP('Données projet'!$B$12,Paramètres!$A$1:$I$89,3,0)*0.475*44/12</f>
        <v>1.4070067045304315E-24</v>
      </c>
      <c r="CN191" s="22">
        <f t="shared" si="172"/>
        <v>10.512353029242336</v>
      </c>
      <c r="CO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245.99999999999994</v>
      </c>
      <c r="CU191" s="17">
        <f>CT191*VLOOKUP('Données projet'!$B$13,Paramètres!$A$1:$I$89,3,0)*VLOOKUP('Données projet'!$B$13,Paramètres!$A$1:$I$89,5,0)</f>
        <v>234.09359999999998</v>
      </c>
      <c r="CV191" s="13">
        <f t="shared" si="173"/>
        <v>57.166902703920208</v>
      </c>
      <c r="CW191" s="20">
        <f t="shared" si="174"/>
        <v>507.27870887599425</v>
      </c>
      <c r="CX191" s="57">
        <f t="shared" si="122"/>
        <v>800.61204220932757</v>
      </c>
      <c r="CY191" s="57">
        <f ca="1">AVERAGE(OFFSET($CX$3,0,0,'Données projet'!$E$13+1,1))-AVERAGE(OFFSET($H$3,0,0,'Données projet'!$E$13+1,1))</f>
        <v>314.67680626853303</v>
      </c>
      <c r="CZ191" s="57">
        <f t="shared" si="150"/>
        <v>372.57247561536263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18.370112433741529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18.370112433741529</v>
      </c>
      <c r="DJ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319</v>
      </c>
      <c r="DP191" s="17">
        <f>DO191*VLOOKUP('Données projet'!$B$14,Paramètres!$A$1:$I$89,3,0)*VLOOKUP('Données projet'!$B$14,Paramètres!$A$1:$I$89,5,0)</f>
        <v>209.00879999999998</v>
      </c>
      <c r="DQ191" s="13">
        <f t="shared" si="176"/>
        <v>51.718923953824202</v>
      </c>
      <c r="DR191" s="20">
        <f t="shared" si="177"/>
        <v>454.10078588624373</v>
      </c>
      <c r="DS191" s="57">
        <f t="shared" si="125"/>
        <v>747.43411921957704</v>
      </c>
      <c r="DT191" s="57">
        <f ca="1">AVERAGE(OFFSET($DS$3,0,0,'Données projet'!$E$14+1,1))-AVERAGE(OFFSET($H$3,0,0,'Données projet'!$E$14+1,1))</f>
        <v>188.80259324758066</v>
      </c>
      <c r="DU191" s="57">
        <f t="shared" si="152"/>
        <v>195.48048518255354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4.1843827910846061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4.1843827910846061</v>
      </c>
      <c r="EE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319</v>
      </c>
      <c r="EK191" s="17">
        <f>EJ191*VLOOKUP('Données projet'!$B$15,Paramètres!$A$1:$I$89,3,0)*VLOOKUP('Données projet'!$B$15,Paramètres!$A$1:$I$89,5,0)</f>
        <v>258.77280000000002</v>
      </c>
      <c r="EL191" s="13">
        <f t="shared" si="179"/>
        <v>62.460716522234691</v>
      </c>
      <c r="EM191" s="20">
        <f t="shared" si="180"/>
        <v>559.48170794289206</v>
      </c>
      <c r="EN191" s="57">
        <f t="shared" si="128"/>
        <v>852.81504127622543</v>
      </c>
      <c r="EO191" s="57">
        <f ca="1">AVERAGE(OFFSET($EN$3,0,0,'Données projet'!$E$15+1,1))-AVERAGE(OFFSET($H$3,0,0,'Données projet'!$E$15+1,1))</f>
        <v>250.90550982248311</v>
      </c>
      <c r="EP191" s="57">
        <f t="shared" si="154"/>
        <v>254.68874167908001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5.1806644080095081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5.1806644080095081</v>
      </c>
      <c r="EZ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7" t="e">
        <f t="shared" si="131"/>
        <v>#N/A</v>
      </c>
      <c r="FJ191" s="57" t="e">
        <f ca="1">AVERAGE(OFFSET($FI$3,0,0,'Données projet'!$E$16+1,1))-AVERAGE(OFFSET($H$3,0,0,'Données projet'!$E$16+1,1))</f>
        <v>#N/A</v>
      </c>
      <c r="FK191" s="57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7" t="e">
        <f t="shared" si="134"/>
        <v>#N/A</v>
      </c>
      <c r="GE191" s="57" t="e">
        <f ca="1">AVERAGE(OFFSET($GD$3,0,0,'Données projet'!$E$17+1,1))-AVERAGE(OFFSET($H$3,0,0,'Données projet'!$E$17+1,1))</f>
        <v>#N/A</v>
      </c>
      <c r="GF191" s="57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7" t="e">
        <f t="shared" si="137"/>
        <v>#N/A</v>
      </c>
      <c r="GZ191" s="57" t="e">
        <f ca="1">AVERAGE(OFFSET($GY$3,0,0,'Données projet'!$E$18+1,1))-AVERAGE(OFFSET($H$3,0,0,'Données projet'!$E$18+1,1))</f>
        <v>#N/A</v>
      </c>
      <c r="HA191" s="57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0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4">
        <f t="shared" si="110"/>
        <v>654.03853093767293</v>
      </c>
      <c r="I192" s="6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258.61679999999996</v>
      </c>
      <c r="P192" s="13">
        <f t="shared" si="141"/>
        <v>62.427444141032439</v>
      </c>
      <c r="Q192" s="20">
        <f t="shared" si="162"/>
        <v>559.15205854563135</v>
      </c>
      <c r="R192" s="57">
        <f t="shared" si="109"/>
        <v>852.48539187896472</v>
      </c>
      <c r="S192" s="57">
        <f ca="1">AVERAGE(OFFSET($R$3,0,0,'Données projet'!$E$9+1,1))-AVERAGE(OFFSET($H$3,0,0,'Données projet'!$E$9+1,1))</f>
        <v>267.44861001389006</v>
      </c>
      <c r="T192" s="57">
        <f t="shared" si="142"/>
        <v>165.25921510802965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21.524087427013214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21.524087427013214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306.99999999999994</v>
      </c>
      <c r="AJ192" s="13">
        <f>AI192*VLOOKUP('Données projet'!$B$10,Paramètres!$A$1:$I$89,3,0)*VLOOKUP('Données projet'!$B$10,Paramètres!$A$1:$I$89,5,0)</f>
        <v>277.77359999999993</v>
      </c>
      <c r="AK192" s="13">
        <f t="shared" si="164"/>
        <v>66.496288176842356</v>
      </c>
      <c r="AL192" s="20">
        <f t="shared" si="165"/>
        <v>599.60338857466706</v>
      </c>
      <c r="AM192" s="57">
        <f t="shared" si="113"/>
        <v>892.93672190800044</v>
      </c>
      <c r="AN192" s="57">
        <f ca="1">AVERAGE(OFFSET($AM$3,0,0,'Données projet'!$E$10+1,1))-AVERAGE(OFFSET($H$3,0,0,'Données projet'!$E$10+1,1))</f>
        <v>294.92430430387071</v>
      </c>
      <c r="AO192" s="57">
        <f t="shared" si="144"/>
        <v>181.52228471516497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23.118464273458635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23.118464273458635</v>
      </c>
      <c r="AY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319</v>
      </c>
      <c r="BE192" s="13">
        <f>BD192*VLOOKUP('Données projet'!$B$11,Paramètres!$A$1:$I$89,3,0)*VLOOKUP('Données projet'!$B$11,Paramètres!$A$1:$I$89,5,0)</f>
        <v>258.77280000000002</v>
      </c>
      <c r="BF192" s="13">
        <f t="shared" si="167"/>
        <v>62.460716522234691</v>
      </c>
      <c r="BG192" s="20">
        <f t="shared" si="168"/>
        <v>559.48170794289206</v>
      </c>
      <c r="BH192" s="57">
        <f t="shared" si="116"/>
        <v>852.81504127622543</v>
      </c>
      <c r="BI192" s="57">
        <f ca="1">AVERAGE(OFFSET($BH$3,0,0,'Données projet'!$E$11+1,1))-AVERAGE(OFFSET($H$3,0,0,'Données projet'!$E$11+1,1))</f>
        <v>250.90550982248311</v>
      </c>
      <c r="BJ192" s="57">
        <f t="shared" si="146"/>
        <v>254.68874167908001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5.079074738861717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5.079074738861717</v>
      </c>
      <c r="BT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739.99999999999966</v>
      </c>
      <c r="BZ192" s="13">
        <f>BY192*VLOOKUP('Données projet'!$B$12,Paramètres!$A$1:$I$89,3,0)*VLOOKUP('Données projet'!$B$12,Paramètres!$A$1:$I$89,5,0)</f>
        <v>413.65999999999985</v>
      </c>
      <c r="CA192" s="13">
        <f t="shared" si="170"/>
        <v>94.540585122244352</v>
      </c>
      <c r="CB192" s="20">
        <f t="shared" si="171"/>
        <v>885.11601908790863</v>
      </c>
      <c r="CC192" s="57">
        <f t="shared" si="119"/>
        <v>1178.4493524212419</v>
      </c>
      <c r="CD192" s="57">
        <f ca="1">AVERAGE(OFFSET($CC$3,0,0,'Données projet'!$E$12+1,1))-AVERAGE(OFFSET($H$3,0,0,'Données projet'!$E$12+1,1))</f>
        <v>462.54745364638171</v>
      </c>
      <c r="CE192" s="57">
        <f t="shared" si="148"/>
        <v>571.50914830067313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9.597157825606379</v>
      </c>
      <c r="CL192" s="21">
        <f>EXP(-LN(2)/25)*CL191+(1-EXP(-LN(2)/25))/(LN(2)/25)*Calculateur!CG192*Calculateur!CI192*VLOOKUP('Données projet'!$B$12,Paramètres!$A$1:$I$89,3,0)*0.475*44/12</f>
        <v>0.70345965835990698</v>
      </c>
      <c r="CM192" s="21">
        <f>EXP(-LN(2)/2)*CM191+(1-EXP(-LN(2)/2))/(LN(2)/2)*CG192*CJ192*VLOOKUP('Données projet'!$B$12,Paramètres!$A$1:$I$89,3,0)*0.475*44/12</f>
        <v>9.9490398194840515E-25</v>
      </c>
      <c r="CN192" s="22">
        <f t="shared" si="172"/>
        <v>10.300617483966287</v>
      </c>
      <c r="CO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245.99999999999994</v>
      </c>
      <c r="CU192" s="17">
        <f>CT192*VLOOKUP('Données projet'!$B$13,Paramètres!$A$1:$I$89,3,0)*VLOOKUP('Données projet'!$B$13,Paramètres!$A$1:$I$89,5,0)</f>
        <v>234.09359999999998</v>
      </c>
      <c r="CV192" s="13">
        <f t="shared" si="173"/>
        <v>57.166902703920208</v>
      </c>
      <c r="CW192" s="20">
        <f t="shared" si="174"/>
        <v>507.27870887599425</v>
      </c>
      <c r="CX192" s="57">
        <f t="shared" si="122"/>
        <v>800.61204220932757</v>
      </c>
      <c r="CY192" s="57">
        <f ca="1">AVERAGE(OFFSET($CX$3,0,0,'Données projet'!$E$13+1,1))-AVERAGE(OFFSET($H$3,0,0,'Données projet'!$E$13+1,1))</f>
        <v>314.67680626853303</v>
      </c>
      <c r="CZ192" s="57">
        <f t="shared" si="150"/>
        <v>372.57247561536263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18.009885733578074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18.009885733578074</v>
      </c>
      <c r="DJ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319</v>
      </c>
      <c r="DP192" s="17">
        <f>DO192*VLOOKUP('Données projet'!$B$14,Paramètres!$A$1:$I$89,3,0)*VLOOKUP('Données projet'!$B$14,Paramètres!$A$1:$I$89,5,0)</f>
        <v>209.00879999999998</v>
      </c>
      <c r="DQ192" s="13">
        <f t="shared" si="176"/>
        <v>51.718923953824202</v>
      </c>
      <c r="DR192" s="20">
        <f t="shared" si="177"/>
        <v>454.10078588624373</v>
      </c>
      <c r="DS192" s="57">
        <f t="shared" si="125"/>
        <v>747.43411921957704</v>
      </c>
      <c r="DT192" s="57">
        <f ca="1">AVERAGE(OFFSET($DS$3,0,0,'Données projet'!$E$14+1,1))-AVERAGE(OFFSET($H$3,0,0,'Données projet'!$E$14+1,1))</f>
        <v>188.80259324758066</v>
      </c>
      <c r="DU192" s="57">
        <f t="shared" si="152"/>
        <v>195.48048518255354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4.102329596772929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4.102329596772929</v>
      </c>
      <c r="EE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319</v>
      </c>
      <c r="EK192" s="17">
        <f>EJ192*VLOOKUP('Données projet'!$B$15,Paramètres!$A$1:$I$89,3,0)*VLOOKUP('Données projet'!$B$15,Paramètres!$A$1:$I$89,5,0)</f>
        <v>258.77280000000002</v>
      </c>
      <c r="EL192" s="13">
        <f t="shared" si="179"/>
        <v>62.460716522234691</v>
      </c>
      <c r="EM192" s="20">
        <f t="shared" si="180"/>
        <v>559.48170794289206</v>
      </c>
      <c r="EN192" s="57">
        <f t="shared" si="128"/>
        <v>852.81504127622543</v>
      </c>
      <c r="EO192" s="57">
        <f ca="1">AVERAGE(OFFSET($EN$3,0,0,'Données projet'!$E$15+1,1))-AVERAGE(OFFSET($H$3,0,0,'Données projet'!$E$15+1,1))</f>
        <v>250.90550982248311</v>
      </c>
      <c r="EP192" s="57">
        <f t="shared" si="154"/>
        <v>254.68874167908001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5.079074738861717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5.079074738861717</v>
      </c>
      <c r="EZ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7" t="e">
        <f t="shared" si="131"/>
        <v>#N/A</v>
      </c>
      <c r="FJ192" s="57" t="e">
        <f ca="1">AVERAGE(OFFSET($FI$3,0,0,'Données projet'!$E$16+1,1))-AVERAGE(OFFSET($H$3,0,0,'Données projet'!$E$16+1,1))</f>
        <v>#N/A</v>
      </c>
      <c r="FK192" s="57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7" t="e">
        <f t="shared" si="134"/>
        <v>#N/A</v>
      </c>
      <c r="GE192" s="57" t="e">
        <f ca="1">AVERAGE(OFFSET($GD$3,0,0,'Données projet'!$E$17+1,1))-AVERAGE(OFFSET($H$3,0,0,'Données projet'!$E$17+1,1))</f>
        <v>#N/A</v>
      </c>
      <c r="GF192" s="57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7" t="e">
        <f t="shared" si="137"/>
        <v>#N/A</v>
      </c>
      <c r="GZ192" s="57" t="e">
        <f ca="1">AVERAGE(OFFSET($GY$3,0,0,'Données projet'!$E$18+1,1))-AVERAGE(OFFSET($H$3,0,0,'Données projet'!$E$18+1,1))</f>
        <v>#N/A</v>
      </c>
      <c r="HA192" s="57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0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4">
        <f t="shared" si="110"/>
        <v>655.90187529098182</v>
      </c>
      <c r="I193" s="6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258.61679999999996</v>
      </c>
      <c r="P193" s="13">
        <f t="shared" si="141"/>
        <v>62.427444141032439</v>
      </c>
      <c r="Q193" s="20">
        <f t="shared" si="162"/>
        <v>559.15205854563135</v>
      </c>
      <c r="R193" s="57">
        <f t="shared" si="109"/>
        <v>852.48539187896472</v>
      </c>
      <c r="S193" s="57">
        <f ca="1">AVERAGE(OFFSET($R$3,0,0,'Données projet'!$E$9+1,1))-AVERAGE(OFFSET($H$3,0,0,'Données projet'!$E$9+1,1))</f>
        <v>267.44861001389006</v>
      </c>
      <c r="T193" s="57">
        <f t="shared" si="142"/>
        <v>165.25921510802965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21.102013200966493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21.102013200966493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306.99999999999994</v>
      </c>
      <c r="AJ193" s="13">
        <f>AI193*VLOOKUP('Données projet'!$B$10,Paramètres!$A$1:$I$89,3,0)*VLOOKUP('Données projet'!$B$10,Paramètres!$A$1:$I$89,5,0)</f>
        <v>277.77359999999993</v>
      </c>
      <c r="AK193" s="13">
        <f t="shared" si="164"/>
        <v>66.496288176842356</v>
      </c>
      <c r="AL193" s="20">
        <f t="shared" si="165"/>
        <v>599.60338857466706</v>
      </c>
      <c r="AM193" s="57">
        <f t="shared" si="113"/>
        <v>892.93672190800044</v>
      </c>
      <c r="AN193" s="57">
        <f ca="1">AVERAGE(OFFSET($AM$3,0,0,'Données projet'!$E$10+1,1))-AVERAGE(OFFSET($H$3,0,0,'Données projet'!$E$10+1,1))</f>
        <v>294.92430430387071</v>
      </c>
      <c r="AO193" s="57">
        <f t="shared" si="144"/>
        <v>181.52228471516497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22.665125289926973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22.665125289926973</v>
      </c>
      <c r="AY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319</v>
      </c>
      <c r="BE193" s="13">
        <f>BD193*VLOOKUP('Données projet'!$B$11,Paramètres!$A$1:$I$89,3,0)*VLOOKUP('Données projet'!$B$11,Paramètres!$A$1:$I$89,5,0)</f>
        <v>258.77280000000002</v>
      </c>
      <c r="BF193" s="13">
        <f t="shared" si="167"/>
        <v>62.460716522234691</v>
      </c>
      <c r="BG193" s="20">
        <f t="shared" si="168"/>
        <v>559.48170794289206</v>
      </c>
      <c r="BH193" s="57">
        <f t="shared" si="116"/>
        <v>852.81504127622543</v>
      </c>
      <c r="BI193" s="57">
        <f ca="1">AVERAGE(OFFSET($BH$3,0,0,'Données projet'!$E$11+1,1))-AVERAGE(OFFSET($H$3,0,0,'Données projet'!$E$11+1,1))</f>
        <v>250.90550982248311</v>
      </c>
      <c r="BJ193" s="57">
        <f t="shared" si="146"/>
        <v>254.68874167908001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4.9794771811623342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4.9794771811623342</v>
      </c>
      <c r="BT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739.99999999999966</v>
      </c>
      <c r="BZ193" s="13">
        <f>BY193*VLOOKUP('Données projet'!$B$12,Paramètres!$A$1:$I$89,3,0)*VLOOKUP('Données projet'!$B$12,Paramètres!$A$1:$I$89,5,0)</f>
        <v>413.65999999999985</v>
      </c>
      <c r="CA193" s="13">
        <f t="shared" si="170"/>
        <v>94.540585122244352</v>
      </c>
      <c r="CB193" s="20">
        <f t="shared" si="171"/>
        <v>885.11601908790863</v>
      </c>
      <c r="CC193" s="57">
        <f t="shared" si="119"/>
        <v>1178.4493524212419</v>
      </c>
      <c r="CD193" s="57">
        <f ca="1">AVERAGE(OFFSET($CC$3,0,0,'Données projet'!$E$12+1,1))-AVERAGE(OFFSET($H$3,0,0,'Données projet'!$E$12+1,1))</f>
        <v>462.54745364638171</v>
      </c>
      <c r="CE193" s="57">
        <f t="shared" si="148"/>
        <v>571.50914830067313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9.408963414334508</v>
      </c>
      <c r="CL193" s="21">
        <f>EXP(-LN(2)/25)*CL192+(1-EXP(-LN(2)/25))/(LN(2)/25)*Calculateur!CG193*Calculateur!CI193*VLOOKUP('Données projet'!$B$12,Paramètres!$A$1:$I$89,3,0)*0.475*44/12</f>
        <v>0.68422351700871964</v>
      </c>
      <c r="CM193" s="21">
        <f>EXP(-LN(2)/2)*CM192+(1-EXP(-LN(2)/2))/(LN(2)/2)*CG193*CJ193*VLOOKUP('Données projet'!$B$12,Paramètres!$A$1:$I$89,3,0)*0.475*44/12</f>
        <v>7.0350335226521576E-25</v>
      </c>
      <c r="CN193" s="22">
        <f t="shared" si="172"/>
        <v>10.093186931343228</v>
      </c>
      <c r="CO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245.99999999999994</v>
      </c>
      <c r="CU193" s="17">
        <f>CT193*VLOOKUP('Données projet'!$B$13,Paramètres!$A$1:$I$89,3,0)*VLOOKUP('Données projet'!$B$13,Paramètres!$A$1:$I$89,5,0)</f>
        <v>234.09359999999998</v>
      </c>
      <c r="CV193" s="13">
        <f t="shared" si="173"/>
        <v>57.166902703920208</v>
      </c>
      <c r="CW193" s="20">
        <f t="shared" si="174"/>
        <v>507.27870887599425</v>
      </c>
      <c r="CX193" s="57">
        <f t="shared" si="122"/>
        <v>800.61204220932757</v>
      </c>
      <c r="CY193" s="57">
        <f ca="1">AVERAGE(OFFSET($CX$3,0,0,'Données projet'!$E$13+1,1))-AVERAGE(OFFSET($H$3,0,0,'Données projet'!$E$13+1,1))</f>
        <v>314.67680626853303</v>
      </c>
      <c r="CZ193" s="57">
        <f t="shared" si="150"/>
        <v>372.57247561536263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17.65672285928823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17.65672285928823</v>
      </c>
      <c r="DJ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319</v>
      </c>
      <c r="DP193" s="17">
        <f>DO193*VLOOKUP('Données projet'!$B$14,Paramètres!$A$1:$I$89,3,0)*VLOOKUP('Données projet'!$B$14,Paramètres!$A$1:$I$89,5,0)</f>
        <v>209.00879999999998</v>
      </c>
      <c r="DQ193" s="13">
        <f t="shared" si="176"/>
        <v>51.718923953824202</v>
      </c>
      <c r="DR193" s="20">
        <f t="shared" si="177"/>
        <v>454.10078588624373</v>
      </c>
      <c r="DS193" s="57">
        <f t="shared" si="125"/>
        <v>747.43411921957704</v>
      </c>
      <c r="DT193" s="57">
        <f ca="1">AVERAGE(OFFSET($DS$3,0,0,'Données projet'!$E$14+1,1))-AVERAGE(OFFSET($H$3,0,0,'Données projet'!$E$14+1,1))</f>
        <v>188.80259324758066</v>
      </c>
      <c r="DU193" s="57">
        <f t="shared" si="152"/>
        <v>195.48048518255354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4.0218854155541965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4.0218854155541965</v>
      </c>
      <c r="EE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319</v>
      </c>
      <c r="EK193" s="17">
        <f>EJ193*VLOOKUP('Données projet'!$B$15,Paramètres!$A$1:$I$89,3,0)*VLOOKUP('Données projet'!$B$15,Paramètres!$A$1:$I$89,5,0)</f>
        <v>258.77280000000002</v>
      </c>
      <c r="EL193" s="13">
        <f t="shared" si="179"/>
        <v>62.460716522234691</v>
      </c>
      <c r="EM193" s="20">
        <f t="shared" si="180"/>
        <v>559.48170794289206</v>
      </c>
      <c r="EN193" s="57">
        <f t="shared" si="128"/>
        <v>852.81504127622543</v>
      </c>
      <c r="EO193" s="57">
        <f ca="1">AVERAGE(OFFSET($EN$3,0,0,'Données projet'!$E$15+1,1))-AVERAGE(OFFSET($H$3,0,0,'Données projet'!$E$15+1,1))</f>
        <v>250.90550982248311</v>
      </c>
      <c r="EP193" s="57">
        <f t="shared" si="154"/>
        <v>254.68874167908001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4.9794771811623342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4.9794771811623342</v>
      </c>
      <c r="EZ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7" t="e">
        <f t="shared" si="131"/>
        <v>#N/A</v>
      </c>
      <c r="FJ193" s="57" t="e">
        <f ca="1">AVERAGE(OFFSET($FI$3,0,0,'Données projet'!$E$16+1,1))-AVERAGE(OFFSET($H$3,0,0,'Données projet'!$E$16+1,1))</f>
        <v>#N/A</v>
      </c>
      <c r="FK193" s="57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7" t="e">
        <f t="shared" si="134"/>
        <v>#N/A</v>
      </c>
      <c r="GE193" s="57" t="e">
        <f ca="1">AVERAGE(OFFSET($GD$3,0,0,'Données projet'!$E$17+1,1))-AVERAGE(OFFSET($H$3,0,0,'Données projet'!$E$17+1,1))</f>
        <v>#N/A</v>
      </c>
      <c r="GF193" s="57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7" t="e">
        <f t="shared" si="137"/>
        <v>#N/A</v>
      </c>
      <c r="GZ193" s="57" t="e">
        <f ca="1">AVERAGE(OFFSET($GY$3,0,0,'Données projet'!$E$18+1,1))-AVERAGE(OFFSET($H$3,0,0,'Données projet'!$E$18+1,1))</f>
        <v>#N/A</v>
      </c>
      <c r="HA193" s="57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0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4">
        <f t="shared" si="110"/>
        <v>657.7650102950081</v>
      </c>
      <c r="I194" s="6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258.61679999999996</v>
      </c>
      <c r="P194" s="13">
        <f t="shared" si="141"/>
        <v>62.427444141032439</v>
      </c>
      <c r="Q194" s="20">
        <f t="shared" si="162"/>
        <v>559.15205854563135</v>
      </c>
      <c r="R194" s="57">
        <f t="shared" si="109"/>
        <v>852.48539187896472</v>
      </c>
      <c r="S194" s="57">
        <f ca="1">AVERAGE(OFFSET($R$3,0,0,'Données projet'!$E$9+1,1))-AVERAGE(OFFSET($H$3,0,0,'Données projet'!$E$9+1,1))</f>
        <v>267.44861001389006</v>
      </c>
      <c r="T194" s="57">
        <f t="shared" si="142"/>
        <v>165.25921510802965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20.688215593052689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20.688215593052689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306.99999999999994</v>
      </c>
      <c r="AJ194" s="13">
        <f>AI194*VLOOKUP('Données projet'!$B$10,Paramètres!$A$1:$I$89,3,0)*VLOOKUP('Données projet'!$B$10,Paramètres!$A$1:$I$89,5,0)</f>
        <v>277.77359999999993</v>
      </c>
      <c r="AK194" s="13">
        <f t="shared" si="164"/>
        <v>66.496288176842356</v>
      </c>
      <c r="AL194" s="20">
        <f t="shared" si="165"/>
        <v>599.60338857466706</v>
      </c>
      <c r="AM194" s="57">
        <f t="shared" si="113"/>
        <v>892.93672190800044</v>
      </c>
      <c r="AN194" s="57">
        <f ca="1">AVERAGE(OFFSET($AM$3,0,0,'Données projet'!$E$10+1,1))-AVERAGE(OFFSET($H$3,0,0,'Données projet'!$E$10+1,1))</f>
        <v>294.92430430387071</v>
      </c>
      <c r="AO194" s="57">
        <f t="shared" si="144"/>
        <v>181.52228471516497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22.220676007352889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22.220676007352889</v>
      </c>
      <c r="AY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319</v>
      </c>
      <c r="BE194" s="13">
        <f>BD194*VLOOKUP('Données projet'!$B$11,Paramètres!$A$1:$I$89,3,0)*VLOOKUP('Données projet'!$B$11,Paramètres!$A$1:$I$89,5,0)</f>
        <v>258.77280000000002</v>
      </c>
      <c r="BF194" s="13">
        <f t="shared" si="167"/>
        <v>62.460716522234691</v>
      </c>
      <c r="BG194" s="20">
        <f t="shared" si="168"/>
        <v>559.48170794289206</v>
      </c>
      <c r="BH194" s="57">
        <f t="shared" si="116"/>
        <v>852.81504127622543</v>
      </c>
      <c r="BI194" s="57">
        <f ca="1">AVERAGE(OFFSET($BH$3,0,0,'Données projet'!$E$11+1,1))-AVERAGE(OFFSET($H$3,0,0,'Données projet'!$E$11+1,1))</f>
        <v>250.90550982248311</v>
      </c>
      <c r="BJ194" s="57">
        <f t="shared" si="146"/>
        <v>254.68874167908001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4.8818326708209243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4.8818326708209243</v>
      </c>
      <c r="BT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739.99999999999966</v>
      </c>
      <c r="BZ194" s="13">
        <f>BY194*VLOOKUP('Données projet'!$B$12,Paramètres!$A$1:$I$89,3,0)*VLOOKUP('Données projet'!$B$12,Paramètres!$A$1:$I$89,5,0)</f>
        <v>413.65999999999985</v>
      </c>
      <c r="CA194" s="13">
        <f t="shared" si="170"/>
        <v>94.540585122244352</v>
      </c>
      <c r="CB194" s="20">
        <f t="shared" si="171"/>
        <v>885.11601908790863</v>
      </c>
      <c r="CC194" s="57">
        <f t="shared" si="119"/>
        <v>1178.4493524212419</v>
      </c>
      <c r="CD194" s="57">
        <f ca="1">AVERAGE(OFFSET($CC$3,0,0,'Données projet'!$E$12+1,1))-AVERAGE(OFFSET($H$3,0,0,'Données projet'!$E$12+1,1))</f>
        <v>462.54745364638171</v>
      </c>
      <c r="CE194" s="57">
        <f t="shared" si="148"/>
        <v>571.50914830067313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9.2244593806804218</v>
      </c>
      <c r="CL194" s="21">
        <f>EXP(-LN(2)/25)*CL193+(1-EXP(-LN(2)/25))/(LN(2)/25)*Calculateur!CG194*Calculateur!CI194*VLOOKUP('Données projet'!$B$12,Paramètres!$A$1:$I$89,3,0)*0.475*44/12</f>
        <v>0.66551338895436529</v>
      </c>
      <c r="CM194" s="21">
        <f>EXP(-LN(2)/2)*CM193+(1-EXP(-LN(2)/2))/(LN(2)/2)*CG194*CJ194*VLOOKUP('Données projet'!$B$12,Paramètres!$A$1:$I$89,3,0)*0.475*44/12</f>
        <v>4.9745199097420257E-25</v>
      </c>
      <c r="CN194" s="22">
        <f t="shared" si="172"/>
        <v>9.8899727696347863</v>
      </c>
      <c r="CO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245.99999999999994</v>
      </c>
      <c r="CU194" s="17">
        <f>CT194*VLOOKUP('Données projet'!$B$13,Paramètres!$A$1:$I$89,3,0)*VLOOKUP('Données projet'!$B$13,Paramètres!$A$1:$I$89,5,0)</f>
        <v>234.09359999999998</v>
      </c>
      <c r="CV194" s="13">
        <f t="shared" si="173"/>
        <v>57.166902703920208</v>
      </c>
      <c r="CW194" s="20">
        <f t="shared" si="174"/>
        <v>507.27870887599425</v>
      </c>
      <c r="CX194" s="57">
        <f t="shared" si="122"/>
        <v>800.61204220932757</v>
      </c>
      <c r="CY194" s="57">
        <f ca="1">AVERAGE(OFFSET($CX$3,0,0,'Données projet'!$E$13+1,1))-AVERAGE(OFFSET($H$3,0,0,'Données projet'!$E$13+1,1))</f>
        <v>314.67680626853303</v>
      </c>
      <c r="CZ194" s="57">
        <f t="shared" si="150"/>
        <v>372.57247561536263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17.310485293555129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17.310485293555129</v>
      </c>
      <c r="DJ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319</v>
      </c>
      <c r="DP194" s="17">
        <f>DO194*VLOOKUP('Données projet'!$B$14,Paramètres!$A$1:$I$89,3,0)*VLOOKUP('Données projet'!$B$14,Paramètres!$A$1:$I$89,5,0)</f>
        <v>209.00879999999998</v>
      </c>
      <c r="DQ194" s="13">
        <f t="shared" si="176"/>
        <v>51.718923953824202</v>
      </c>
      <c r="DR194" s="20">
        <f t="shared" si="177"/>
        <v>454.10078588624373</v>
      </c>
      <c r="DS194" s="57">
        <f t="shared" si="125"/>
        <v>747.43411921957704</v>
      </c>
      <c r="DT194" s="57">
        <f ca="1">AVERAGE(OFFSET($DS$3,0,0,'Données projet'!$E$14+1,1))-AVERAGE(OFFSET($H$3,0,0,'Données projet'!$E$14+1,1))</f>
        <v>188.80259324758066</v>
      </c>
      <c r="DU194" s="57">
        <f t="shared" si="152"/>
        <v>195.48048518255354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3.9430186956630577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3.9430186956630577</v>
      </c>
      <c r="EE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319</v>
      </c>
      <c r="EK194" s="17">
        <f>EJ194*VLOOKUP('Données projet'!$B$15,Paramètres!$A$1:$I$89,3,0)*VLOOKUP('Données projet'!$B$15,Paramètres!$A$1:$I$89,5,0)</f>
        <v>258.77280000000002</v>
      </c>
      <c r="EL194" s="13">
        <f t="shared" si="179"/>
        <v>62.460716522234691</v>
      </c>
      <c r="EM194" s="20">
        <f t="shared" si="180"/>
        <v>559.48170794289206</v>
      </c>
      <c r="EN194" s="57">
        <f t="shared" si="128"/>
        <v>852.81504127622543</v>
      </c>
      <c r="EO194" s="57">
        <f ca="1">AVERAGE(OFFSET($EN$3,0,0,'Données projet'!$E$15+1,1))-AVERAGE(OFFSET($H$3,0,0,'Données projet'!$E$15+1,1))</f>
        <v>250.90550982248311</v>
      </c>
      <c r="EP194" s="57">
        <f t="shared" si="154"/>
        <v>254.68874167908001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4.8818326708209243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4.8818326708209243</v>
      </c>
      <c r="EZ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7" t="e">
        <f t="shared" si="131"/>
        <v>#N/A</v>
      </c>
      <c r="FJ194" s="57" t="e">
        <f ca="1">AVERAGE(OFFSET($FI$3,0,0,'Données projet'!$E$16+1,1))-AVERAGE(OFFSET($H$3,0,0,'Données projet'!$E$16+1,1))</f>
        <v>#N/A</v>
      </c>
      <c r="FK194" s="57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7" t="e">
        <f t="shared" si="134"/>
        <v>#N/A</v>
      </c>
      <c r="GE194" s="57" t="e">
        <f ca="1">AVERAGE(OFFSET($GD$3,0,0,'Données projet'!$E$17+1,1))-AVERAGE(OFFSET($H$3,0,0,'Données projet'!$E$17+1,1))</f>
        <v>#N/A</v>
      </c>
      <c r="GF194" s="57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7" t="e">
        <f t="shared" si="137"/>
        <v>#N/A</v>
      </c>
      <c r="GZ194" s="57" t="e">
        <f ca="1">AVERAGE(OFFSET($GY$3,0,0,'Données projet'!$E$18+1,1))-AVERAGE(OFFSET($H$3,0,0,'Données projet'!$E$18+1,1))</f>
        <v>#N/A</v>
      </c>
      <c r="HA194" s="57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0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4">
        <f t="shared" si="110"/>
        <v>659.62793717304248</v>
      </c>
      <c r="I195" s="6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258.61679999999996</v>
      </c>
      <c r="P195" s="13">
        <f t="shared" si="141"/>
        <v>62.427444141032439</v>
      </c>
      <c r="Q195" s="20">
        <f t="shared" si="162"/>
        <v>559.15205854563135</v>
      </c>
      <c r="R195" s="57">
        <f t="shared" ref="R195:R203" si="191">Q195+(I195+J195)*44/12</f>
        <v>852.48539187896472</v>
      </c>
      <c r="S195" s="57">
        <f ca="1">AVERAGE(OFFSET($R$3,0,0,'Données projet'!$E$9+1,1))-AVERAGE(OFFSET($H$3,0,0,'Données projet'!$E$9+1,1))</f>
        <v>267.44861001389006</v>
      </c>
      <c r="T195" s="57">
        <f t="shared" si="142"/>
        <v>165.25921510802965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20.282532303838458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20.282532303838458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306.99999999999994</v>
      </c>
      <c r="AJ195" s="13">
        <f>AI195*VLOOKUP('Données projet'!$B$10,Paramètres!$A$1:$I$89,3,0)*VLOOKUP('Données projet'!$B$10,Paramètres!$A$1:$I$89,5,0)</f>
        <v>277.77359999999993</v>
      </c>
      <c r="AK195" s="13">
        <f t="shared" si="164"/>
        <v>66.496288176842356</v>
      </c>
      <c r="AL195" s="20">
        <f t="shared" si="165"/>
        <v>599.60338857466706</v>
      </c>
      <c r="AM195" s="57">
        <f t="shared" si="113"/>
        <v>892.93672190800044</v>
      </c>
      <c r="AN195" s="57">
        <f ca="1">AVERAGE(OFFSET($AM$3,0,0,'Données projet'!$E$10+1,1))-AVERAGE(OFFSET($H$3,0,0,'Données projet'!$E$10+1,1))</f>
        <v>294.92430430387071</v>
      </c>
      <c r="AO195" s="57">
        <f t="shared" si="144"/>
        <v>181.52228471516497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21.784942104122788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21.784942104122788</v>
      </c>
      <c r="AY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319</v>
      </c>
      <c r="BE195" s="13">
        <f>BD195*VLOOKUP('Données projet'!$B$11,Paramètres!$A$1:$I$89,3,0)*VLOOKUP('Données projet'!$B$11,Paramètres!$A$1:$I$89,5,0)</f>
        <v>258.77280000000002</v>
      </c>
      <c r="BF195" s="13">
        <f t="shared" si="167"/>
        <v>62.460716522234691</v>
      </c>
      <c r="BG195" s="20">
        <f t="shared" si="168"/>
        <v>559.48170794289206</v>
      </c>
      <c r="BH195" s="57">
        <f t="shared" si="116"/>
        <v>852.81504127622543</v>
      </c>
      <c r="BI195" s="57">
        <f ca="1">AVERAGE(OFFSET($BH$3,0,0,'Données projet'!$E$11+1,1))-AVERAGE(OFFSET($H$3,0,0,'Données projet'!$E$11+1,1))</f>
        <v>250.90550982248311</v>
      </c>
      <c r="BJ195" s="57">
        <f t="shared" si="146"/>
        <v>254.68874167908001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4.7861029097700394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4.7861029097700394</v>
      </c>
      <c r="BT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739.99999999999966</v>
      </c>
      <c r="BZ195" s="13">
        <f>BY195*VLOOKUP('Données projet'!$B$12,Paramètres!$A$1:$I$89,3,0)*VLOOKUP('Données projet'!$B$12,Paramètres!$A$1:$I$89,5,0)</f>
        <v>413.65999999999985</v>
      </c>
      <c r="CA195" s="13">
        <f t="shared" si="170"/>
        <v>94.540585122244352</v>
      </c>
      <c r="CB195" s="20">
        <f t="shared" si="171"/>
        <v>885.11601908790863</v>
      </c>
      <c r="CC195" s="57">
        <f t="shared" si="119"/>
        <v>1178.4493524212419</v>
      </c>
      <c r="CD195" s="57">
        <f ca="1">AVERAGE(OFFSET($CC$3,0,0,'Données projet'!$E$12+1,1))-AVERAGE(OFFSET($H$3,0,0,'Données projet'!$E$12+1,1))</f>
        <v>462.54745364638171</v>
      </c>
      <c r="CE195" s="57">
        <f t="shared" si="148"/>
        <v>571.50914830067313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9.0435733585899438</v>
      </c>
      <c r="CL195" s="21">
        <f>EXP(-LN(2)/25)*CL194+(1-EXP(-LN(2)/25))/(LN(2)/25)*Calculateur!CG195*Calculateur!CI195*VLOOKUP('Données projet'!$B$12,Paramètres!$A$1:$I$89,3,0)*0.475*44/12</f>
        <v>0.6473148903355801</v>
      </c>
      <c r="CM195" s="21">
        <f>EXP(-LN(2)/2)*CM194+(1-EXP(-LN(2)/2))/(LN(2)/2)*CG195*CJ195*VLOOKUP('Données projet'!$B$12,Paramètres!$A$1:$I$89,3,0)*0.475*44/12</f>
        <v>3.5175167613260788E-25</v>
      </c>
      <c r="CN195" s="22">
        <f t="shared" si="172"/>
        <v>9.6908882489255248</v>
      </c>
      <c r="CO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245.99999999999994</v>
      </c>
      <c r="CU195" s="17">
        <f>CT195*VLOOKUP('Données projet'!$B$13,Paramètres!$A$1:$I$89,3,0)*VLOOKUP('Données projet'!$B$13,Paramètres!$A$1:$I$89,5,0)</f>
        <v>234.09359999999998</v>
      </c>
      <c r="CV195" s="13">
        <f t="shared" si="173"/>
        <v>57.166902703920208</v>
      </c>
      <c r="CW195" s="20">
        <f t="shared" si="174"/>
        <v>507.27870887599425</v>
      </c>
      <c r="CX195" s="57">
        <f t="shared" si="122"/>
        <v>800.61204220932757</v>
      </c>
      <c r="CY195" s="57">
        <f ca="1">AVERAGE(OFFSET($CX$3,0,0,'Données projet'!$E$13+1,1))-AVERAGE(OFFSET($H$3,0,0,'Données projet'!$E$13+1,1))</f>
        <v>314.67680626853303</v>
      </c>
      <c r="CZ195" s="57">
        <f t="shared" si="150"/>
        <v>372.57247561536263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16.971037235301992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16.971037235301992</v>
      </c>
      <c r="DJ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319</v>
      </c>
      <c r="DP195" s="17">
        <f>DO195*VLOOKUP('Données projet'!$B$14,Paramètres!$A$1:$I$89,3,0)*VLOOKUP('Données projet'!$B$14,Paramètres!$A$1:$I$89,5,0)</f>
        <v>209.00879999999998</v>
      </c>
      <c r="DQ195" s="13">
        <f t="shared" si="176"/>
        <v>51.718923953824202</v>
      </c>
      <c r="DR195" s="20">
        <f t="shared" si="177"/>
        <v>454.10078588624373</v>
      </c>
      <c r="DS195" s="57">
        <f t="shared" si="125"/>
        <v>747.43411921957704</v>
      </c>
      <c r="DT195" s="57">
        <f ca="1">AVERAGE(OFFSET($DS$3,0,0,'Données projet'!$E$14+1,1))-AVERAGE(OFFSET($H$3,0,0,'Données projet'!$E$14+1,1))</f>
        <v>188.80259324758066</v>
      </c>
      <c r="DU195" s="57">
        <f t="shared" si="152"/>
        <v>195.48048518255354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3.8656985040450351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3.8656985040450351</v>
      </c>
      <c r="EE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319</v>
      </c>
      <c r="EK195" s="17">
        <f>EJ195*VLOOKUP('Données projet'!$B$15,Paramètres!$A$1:$I$89,3,0)*VLOOKUP('Données projet'!$B$15,Paramètres!$A$1:$I$89,5,0)</f>
        <v>258.77280000000002</v>
      </c>
      <c r="EL195" s="13">
        <f t="shared" si="179"/>
        <v>62.460716522234691</v>
      </c>
      <c r="EM195" s="20">
        <f t="shared" si="180"/>
        <v>559.48170794289206</v>
      </c>
      <c r="EN195" s="57">
        <f t="shared" si="128"/>
        <v>852.81504127622543</v>
      </c>
      <c r="EO195" s="57">
        <f ca="1">AVERAGE(OFFSET($EN$3,0,0,'Données projet'!$E$15+1,1))-AVERAGE(OFFSET($H$3,0,0,'Données projet'!$E$15+1,1))</f>
        <v>250.90550982248311</v>
      </c>
      <c r="EP195" s="57">
        <f t="shared" si="154"/>
        <v>254.68874167908001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4.7861029097700394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4.7861029097700394</v>
      </c>
      <c r="EZ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7" t="e">
        <f t="shared" si="131"/>
        <v>#N/A</v>
      </c>
      <c r="FJ195" s="57" t="e">
        <f ca="1">AVERAGE(OFFSET($FI$3,0,0,'Données projet'!$E$16+1,1))-AVERAGE(OFFSET($H$3,0,0,'Données projet'!$E$16+1,1))</f>
        <v>#N/A</v>
      </c>
      <c r="FK195" s="57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7" t="e">
        <f t="shared" si="134"/>
        <v>#N/A</v>
      </c>
      <c r="GE195" s="57" t="e">
        <f ca="1">AVERAGE(OFFSET($GD$3,0,0,'Données projet'!$E$17+1,1))-AVERAGE(OFFSET($H$3,0,0,'Données projet'!$E$17+1,1))</f>
        <v>#N/A</v>
      </c>
      <c r="GF195" s="57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7" t="e">
        <f t="shared" si="137"/>
        <v>#N/A</v>
      </c>
      <c r="GZ195" s="57" t="e">
        <f ca="1">AVERAGE(OFFSET($GY$3,0,0,'Données projet'!$E$18+1,1))-AVERAGE(OFFSET($H$3,0,0,'Données projet'!$E$18+1,1))</f>
        <v>#N/A</v>
      </c>
      <c r="HA195" s="57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0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4">
        <f t="shared" ref="H196:H203" si="192">(B196+E196+F196)*44/12+(C196+D196)*0.475*44/12</f>
        <v>661.49065713489483</v>
      </c>
      <c r="I196" s="6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258.61679999999996</v>
      </c>
      <c r="P196" s="13">
        <f t="shared" si="141"/>
        <v>62.427444141032439</v>
      </c>
      <c r="Q196" s="20">
        <f t="shared" si="162"/>
        <v>559.15205854563135</v>
      </c>
      <c r="R196" s="57">
        <f t="shared" si="191"/>
        <v>852.48539187896472</v>
      </c>
      <c r="S196" s="57">
        <f ca="1">AVERAGE(OFFSET($R$3,0,0,'Données projet'!$E$9+1,1))-AVERAGE(OFFSET($H$3,0,0,'Données projet'!$E$9+1,1))</f>
        <v>267.44861001389006</v>
      </c>
      <c r="T196" s="57">
        <f t="shared" si="142"/>
        <v>165.25921510802965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19.884804216483346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19.884804216483346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306.99999999999994</v>
      </c>
      <c r="AJ196" s="13">
        <f>AI196*VLOOKUP('Données projet'!$B$10,Paramètres!$A$1:$I$89,3,0)*VLOOKUP('Données projet'!$B$10,Paramètres!$A$1:$I$89,5,0)</f>
        <v>277.77359999999993</v>
      </c>
      <c r="AK196" s="13">
        <f t="shared" si="164"/>
        <v>66.496288176842356</v>
      </c>
      <c r="AL196" s="20">
        <f t="shared" si="165"/>
        <v>599.60338857466706</v>
      </c>
      <c r="AM196" s="57">
        <f t="shared" ref="AM196:AM203" si="193">AL196+(AD196+AE196)*44/12</f>
        <v>892.93672190800044</v>
      </c>
      <c r="AN196" s="57">
        <f ca="1">AVERAGE(OFFSET($AM$3,0,0,'Données projet'!$E$10+1,1))-AVERAGE(OFFSET($H$3,0,0,'Données projet'!$E$10+1,1))</f>
        <v>294.92430430387071</v>
      </c>
      <c r="AO196" s="57">
        <f t="shared" si="144"/>
        <v>181.52228471516497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21.357752676963592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21.357752676963592</v>
      </c>
      <c r="AY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319</v>
      </c>
      <c r="BE196" s="13">
        <f>BD196*VLOOKUP('Données projet'!$B$11,Paramètres!$A$1:$I$89,3,0)*VLOOKUP('Données projet'!$B$11,Paramètres!$A$1:$I$89,5,0)</f>
        <v>258.77280000000002</v>
      </c>
      <c r="BF196" s="13">
        <f t="shared" si="167"/>
        <v>62.460716522234691</v>
      </c>
      <c r="BG196" s="20">
        <f t="shared" si="168"/>
        <v>559.48170794289206</v>
      </c>
      <c r="BH196" s="57">
        <f t="shared" ref="BH196:BH203" si="194">BG196+(AY196+AZ196)*44/12</f>
        <v>852.81504127622543</v>
      </c>
      <c r="BI196" s="57">
        <f ca="1">AVERAGE(OFFSET($BH$3,0,0,'Données projet'!$E$11+1,1))-AVERAGE(OFFSET($H$3,0,0,'Données projet'!$E$11+1,1))</f>
        <v>250.90550982248311</v>
      </c>
      <c r="BJ196" s="57">
        <f t="shared" si="146"/>
        <v>254.68874167908001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4.692250350943973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4.692250350943973</v>
      </c>
      <c r="BT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739.99999999999966</v>
      </c>
      <c r="BZ196" s="13">
        <f>BY196*VLOOKUP('Données projet'!$B$12,Paramètres!$A$1:$I$89,3,0)*VLOOKUP('Données projet'!$B$12,Paramètres!$A$1:$I$89,5,0)</f>
        <v>413.65999999999985</v>
      </c>
      <c r="CA196" s="13">
        <f t="shared" si="170"/>
        <v>94.540585122244352</v>
      </c>
      <c r="CB196" s="20">
        <f t="shared" si="171"/>
        <v>885.11601908790863</v>
      </c>
      <c r="CC196" s="57">
        <f t="shared" ref="CC196:CC203" si="195">CB196+(BT196+BU196)*44/12</f>
        <v>1178.4493524212419</v>
      </c>
      <c r="CD196" s="57">
        <f ca="1">AVERAGE(OFFSET($CC$3,0,0,'Données projet'!$E$12+1,1))-AVERAGE(OFFSET($H$3,0,0,'Données projet'!$E$12+1,1))</f>
        <v>462.54745364638171</v>
      </c>
      <c r="CE196" s="57">
        <f t="shared" si="148"/>
        <v>571.50914830067313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8.86623440106308</v>
      </c>
      <c r="CL196" s="21">
        <f>EXP(-LN(2)/25)*CL195+(1-EXP(-LN(2)/25))/(LN(2)/25)*Calculateur!CG196*Calculateur!CI196*VLOOKUP('Données projet'!$B$12,Paramètres!$A$1:$I$89,3,0)*0.475*44/12</f>
        <v>0.62961403061854304</v>
      </c>
      <c r="CM196" s="21">
        <f>EXP(-LN(2)/2)*CM195+(1-EXP(-LN(2)/2))/(LN(2)/2)*CG196*CJ196*VLOOKUP('Données projet'!$B$12,Paramètres!$A$1:$I$89,3,0)*0.475*44/12</f>
        <v>2.4872599548710129E-25</v>
      </c>
      <c r="CN196" s="22">
        <f t="shared" si="172"/>
        <v>9.4958484316816225</v>
      </c>
      <c r="CO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245.99999999999994</v>
      </c>
      <c r="CU196" s="17">
        <f>CT196*VLOOKUP('Données projet'!$B$13,Paramètres!$A$1:$I$89,3,0)*VLOOKUP('Données projet'!$B$13,Paramètres!$A$1:$I$89,5,0)</f>
        <v>234.09359999999998</v>
      </c>
      <c r="CV196" s="13">
        <f t="shared" si="173"/>
        <v>57.166902703920208</v>
      </c>
      <c r="CW196" s="20">
        <f t="shared" si="174"/>
        <v>507.27870887599425</v>
      </c>
      <c r="CX196" s="57">
        <f t="shared" ref="CX196:CX203" si="196">CW196+(CO196+CP196)*44/12</f>
        <v>800.61204220932757</v>
      </c>
      <c r="CY196" s="57">
        <f ca="1">AVERAGE(OFFSET($CX$3,0,0,'Données projet'!$E$13+1,1))-AVERAGE(OFFSET($H$3,0,0,'Données projet'!$E$13+1,1))</f>
        <v>314.67680626853303</v>
      </c>
      <c r="CZ196" s="57">
        <f t="shared" si="150"/>
        <v>372.57247561536263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16.638245546428326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16.638245546428326</v>
      </c>
      <c r="DJ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319</v>
      </c>
      <c r="DP196" s="17">
        <f>DO196*VLOOKUP('Données projet'!$B$14,Paramètres!$A$1:$I$89,3,0)*VLOOKUP('Données projet'!$B$14,Paramètres!$A$1:$I$89,5,0)</f>
        <v>209.00879999999998</v>
      </c>
      <c r="DQ196" s="13">
        <f t="shared" si="176"/>
        <v>51.718923953824202</v>
      </c>
      <c r="DR196" s="20">
        <f t="shared" si="177"/>
        <v>454.10078588624373</v>
      </c>
      <c r="DS196" s="57">
        <f t="shared" ref="DS196:DS203" si="197">DR196+(DJ196+DK196)*44/12</f>
        <v>747.43411921957704</v>
      </c>
      <c r="DT196" s="57">
        <f ca="1">AVERAGE(OFFSET($DS$3,0,0,'Données projet'!$E$14+1,1))-AVERAGE(OFFSET($H$3,0,0,'Données projet'!$E$14+1,1))</f>
        <v>188.80259324758066</v>
      </c>
      <c r="DU196" s="57">
        <f t="shared" si="152"/>
        <v>195.48048518255354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3.7898945142239819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3.7898945142239819</v>
      </c>
      <c r="EE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319</v>
      </c>
      <c r="EK196" s="17">
        <f>EJ196*VLOOKUP('Données projet'!$B$15,Paramètres!$A$1:$I$89,3,0)*VLOOKUP('Données projet'!$B$15,Paramètres!$A$1:$I$89,5,0)</f>
        <v>258.77280000000002</v>
      </c>
      <c r="EL196" s="13">
        <f t="shared" si="179"/>
        <v>62.460716522234691</v>
      </c>
      <c r="EM196" s="20">
        <f t="shared" si="180"/>
        <v>559.48170794289206</v>
      </c>
      <c r="EN196" s="57">
        <f t="shared" ref="EN196:EN203" si="198">EM196+(EE196+EF196)*44/12</f>
        <v>852.81504127622543</v>
      </c>
      <c r="EO196" s="57">
        <f ca="1">AVERAGE(OFFSET($EN$3,0,0,'Données projet'!$E$15+1,1))-AVERAGE(OFFSET($H$3,0,0,'Données projet'!$E$15+1,1))</f>
        <v>250.90550982248311</v>
      </c>
      <c r="EP196" s="57">
        <f t="shared" si="154"/>
        <v>254.68874167908001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4.692250350943973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4.692250350943973</v>
      </c>
      <c r="EZ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7" t="e">
        <f t="shared" ref="FI196:FI203" si="199">FH196+(EZ196+FA196)*44/12</f>
        <v>#N/A</v>
      </c>
      <c r="FJ196" s="57" t="e">
        <f ca="1">AVERAGE(OFFSET($FI$3,0,0,'Données projet'!$E$16+1,1))-AVERAGE(OFFSET($H$3,0,0,'Données projet'!$E$16+1,1))</f>
        <v>#N/A</v>
      </c>
      <c r="FK196" s="57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7" t="e">
        <f t="shared" ref="GD196:GD203" si="200">GC196+(FU196+FV196)*44/12</f>
        <v>#N/A</v>
      </c>
      <c r="GE196" s="57" t="e">
        <f ca="1">AVERAGE(OFFSET($GD$3,0,0,'Données projet'!$E$17+1,1))-AVERAGE(OFFSET($H$3,0,0,'Données projet'!$E$17+1,1))</f>
        <v>#N/A</v>
      </c>
      <c r="GF196" s="57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7" t="e">
        <f t="shared" ref="GY196:GY203" si="201">GX196+(GP196+GQ196)*44/12</f>
        <v>#N/A</v>
      </c>
      <c r="GZ196" s="57" t="e">
        <f ca="1">AVERAGE(OFFSET($GY$3,0,0,'Données projet'!$E$18+1,1))-AVERAGE(OFFSET($H$3,0,0,'Données projet'!$E$18+1,1))</f>
        <v>#N/A</v>
      </c>
      <c r="HA196" s="57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0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4">
        <f t="shared" si="192"/>
        <v>663.35317137711263</v>
      </c>
      <c r="I197" s="6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258.61679999999996</v>
      </c>
      <c r="P197" s="13">
        <f t="shared" ref="P197:P203" si="203">EXP(-1.0587+0.8836*LN(O197)+0.284)</f>
        <v>62.427444141032439</v>
      </c>
      <c r="Q197" s="20">
        <f t="shared" si="162"/>
        <v>559.15205854563135</v>
      </c>
      <c r="R197" s="57">
        <f t="shared" si="191"/>
        <v>852.48539187896472</v>
      </c>
      <c r="S197" s="57">
        <f ca="1">AVERAGE(OFFSET($R$3,0,0,'Données projet'!$E$9+1,1))-AVERAGE(OFFSET($H$3,0,0,'Données projet'!$E$9+1,1))</f>
        <v>267.44861001389006</v>
      </c>
      <c r="T197" s="57">
        <f t="shared" ref="T197:T203" si="204">$T$3</f>
        <v>165.25921510802965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19.494875334331088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19.494875334331088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306.99999999999994</v>
      </c>
      <c r="AJ197" s="13">
        <f>AI197*VLOOKUP('Données projet'!$B$10,Paramètres!$A$1:$I$89,3,0)*VLOOKUP('Données projet'!$B$10,Paramètres!$A$1:$I$89,5,0)</f>
        <v>277.77359999999993</v>
      </c>
      <c r="AK197" s="13">
        <f t="shared" si="164"/>
        <v>66.496288176842356</v>
      </c>
      <c r="AL197" s="20">
        <f t="shared" si="165"/>
        <v>599.60338857466706</v>
      </c>
      <c r="AM197" s="57">
        <f t="shared" si="193"/>
        <v>892.93672190800044</v>
      </c>
      <c r="AN197" s="57">
        <f ca="1">AVERAGE(OFFSET($AM$3,0,0,'Données projet'!$E$10+1,1))-AVERAGE(OFFSET($H$3,0,0,'Données projet'!$E$10+1,1))</f>
        <v>294.92430430387071</v>
      </c>
      <c r="AO197" s="57">
        <f t="shared" ref="AO197:AO203" si="205">$AO$3</f>
        <v>181.52228471516497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20.938940173911167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20.938940173911167</v>
      </c>
      <c r="AY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319</v>
      </c>
      <c r="BE197" s="13">
        <f>BD197*VLOOKUP('Données projet'!$B$11,Paramètres!$A$1:$I$89,3,0)*VLOOKUP('Données projet'!$B$11,Paramètres!$A$1:$I$89,5,0)</f>
        <v>258.77280000000002</v>
      </c>
      <c r="BF197" s="13">
        <f t="shared" si="167"/>
        <v>62.460716522234691</v>
      </c>
      <c r="BG197" s="20">
        <f t="shared" si="168"/>
        <v>559.48170794289206</v>
      </c>
      <c r="BH197" s="57">
        <f t="shared" si="194"/>
        <v>852.81504127622543</v>
      </c>
      <c r="BI197" s="57">
        <f ca="1">AVERAGE(OFFSET($BH$3,0,0,'Données projet'!$E$11+1,1))-AVERAGE(OFFSET($H$3,0,0,'Données projet'!$E$11+1,1))</f>
        <v>250.90550982248311</v>
      </c>
      <c r="BJ197" s="57">
        <f t="shared" ref="BJ197:BJ203" si="206">$BJ$3</f>
        <v>254.68874167908001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4.6002381835520776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4.6002381835520776</v>
      </c>
      <c r="BT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739.99999999999966</v>
      </c>
      <c r="BZ197" s="13">
        <f>BY197*VLOOKUP('Données projet'!$B$12,Paramètres!$A$1:$I$89,3,0)*VLOOKUP('Données projet'!$B$12,Paramètres!$A$1:$I$89,5,0)</f>
        <v>413.65999999999985</v>
      </c>
      <c r="CA197" s="13">
        <f t="shared" si="170"/>
        <v>94.540585122244352</v>
      </c>
      <c r="CB197" s="20">
        <f t="shared" si="171"/>
        <v>885.11601908790863</v>
      </c>
      <c r="CC197" s="57">
        <f t="shared" si="195"/>
        <v>1178.4493524212419</v>
      </c>
      <c r="CD197" s="57">
        <f ca="1">AVERAGE(OFFSET($CC$3,0,0,'Données projet'!$E$12+1,1))-AVERAGE(OFFSET($H$3,0,0,'Données projet'!$E$12+1,1))</f>
        <v>462.54745364638171</v>
      </c>
      <c r="CE197" s="57">
        <f t="shared" ref="CE197:CE203" si="207">$CE$3</f>
        <v>571.50914830067313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8.6923729523272346</v>
      </c>
      <c r="CL197" s="21">
        <f>EXP(-LN(2)/25)*CL196+(1-EXP(-LN(2)/25))/(LN(2)/25)*Calculateur!CG197*Calculateur!CI197*VLOOKUP('Données projet'!$B$12,Paramètres!$A$1:$I$89,3,0)*0.475*44/12</f>
        <v>0.61239720184131607</v>
      </c>
      <c r="CM197" s="21">
        <f>EXP(-LN(2)/2)*CM196+(1-EXP(-LN(2)/2))/(LN(2)/2)*CG197*CJ197*VLOOKUP('Données projet'!$B$12,Paramètres!$A$1:$I$89,3,0)*0.475*44/12</f>
        <v>1.7587583806630394E-25</v>
      </c>
      <c r="CN197" s="22">
        <f t="shared" si="172"/>
        <v>9.3047701541685512</v>
      </c>
      <c r="CO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245.99999999999994</v>
      </c>
      <c r="CU197" s="17">
        <f>CT197*VLOOKUP('Données projet'!$B$13,Paramètres!$A$1:$I$89,3,0)*VLOOKUP('Données projet'!$B$13,Paramètres!$A$1:$I$89,5,0)</f>
        <v>234.09359999999998</v>
      </c>
      <c r="CV197" s="13">
        <f t="shared" si="173"/>
        <v>57.166902703920208</v>
      </c>
      <c r="CW197" s="20">
        <f t="shared" si="174"/>
        <v>507.27870887599425</v>
      </c>
      <c r="CX197" s="57">
        <f t="shared" si="196"/>
        <v>800.61204220932757</v>
      </c>
      <c r="CY197" s="57">
        <f ca="1">AVERAGE(OFFSET($CX$3,0,0,'Données projet'!$E$13+1,1))-AVERAGE(OFFSET($H$3,0,0,'Données projet'!$E$13+1,1))</f>
        <v>314.67680626853303</v>
      </c>
      <c r="CZ197" s="57">
        <f t="shared" ref="CZ197:CZ203" si="208">$CZ$3</f>
        <v>372.57247561536263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16.311979699590587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16.311979699590587</v>
      </c>
      <c r="DJ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319</v>
      </c>
      <c r="DP197" s="17">
        <f>DO197*VLOOKUP('Données projet'!$B$14,Paramètres!$A$1:$I$89,3,0)*VLOOKUP('Données projet'!$B$14,Paramètres!$A$1:$I$89,5,0)</f>
        <v>209.00879999999998</v>
      </c>
      <c r="DQ197" s="13">
        <f t="shared" si="176"/>
        <v>51.718923953824202</v>
      </c>
      <c r="DR197" s="20">
        <f t="shared" si="177"/>
        <v>454.10078588624373</v>
      </c>
      <c r="DS197" s="57">
        <f t="shared" si="197"/>
        <v>747.43411921957704</v>
      </c>
      <c r="DT197" s="57">
        <f ca="1">AVERAGE(OFFSET($DS$3,0,0,'Données projet'!$E$14+1,1))-AVERAGE(OFFSET($H$3,0,0,'Données projet'!$E$14+1,1))</f>
        <v>188.80259324758066</v>
      </c>
      <c r="DU197" s="57">
        <f t="shared" ref="DU197:DU203" si="209">$DU$3</f>
        <v>195.48048518255354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3.715576994407451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3.715576994407451</v>
      </c>
      <c r="EE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319</v>
      </c>
      <c r="EK197" s="17">
        <f>EJ197*VLOOKUP('Données projet'!$B$15,Paramètres!$A$1:$I$89,3,0)*VLOOKUP('Données projet'!$B$15,Paramètres!$A$1:$I$89,5,0)</f>
        <v>258.77280000000002</v>
      </c>
      <c r="EL197" s="13">
        <f t="shared" si="179"/>
        <v>62.460716522234691</v>
      </c>
      <c r="EM197" s="20">
        <f t="shared" si="180"/>
        <v>559.48170794289206</v>
      </c>
      <c r="EN197" s="57">
        <f t="shared" si="198"/>
        <v>852.81504127622543</v>
      </c>
      <c r="EO197" s="57">
        <f ca="1">AVERAGE(OFFSET($EN$3,0,0,'Données projet'!$E$15+1,1))-AVERAGE(OFFSET($H$3,0,0,'Données projet'!$E$15+1,1))</f>
        <v>250.90550982248311</v>
      </c>
      <c r="EP197" s="57">
        <f t="shared" ref="EP197:EP203" si="210">$EP$3</f>
        <v>254.68874167908001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4.6002381835520776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4.6002381835520776</v>
      </c>
      <c r="EZ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7" t="e">
        <f t="shared" si="199"/>
        <v>#N/A</v>
      </c>
      <c r="FJ197" s="57" t="e">
        <f ca="1">AVERAGE(OFFSET($FI$3,0,0,'Données projet'!$E$16+1,1))-AVERAGE(OFFSET($H$3,0,0,'Données projet'!$E$16+1,1))</f>
        <v>#N/A</v>
      </c>
      <c r="FK197" s="57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7" t="e">
        <f t="shared" si="200"/>
        <v>#N/A</v>
      </c>
      <c r="GE197" s="57" t="e">
        <f ca="1">AVERAGE(OFFSET($GD$3,0,0,'Données projet'!$E$17+1,1))-AVERAGE(OFFSET($H$3,0,0,'Données projet'!$E$17+1,1))</f>
        <v>#N/A</v>
      </c>
      <c r="GF197" s="57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7" t="e">
        <f t="shared" si="201"/>
        <v>#N/A</v>
      </c>
      <c r="GZ197" s="57" t="e">
        <f ca="1">AVERAGE(OFFSET($GY$3,0,0,'Données projet'!$E$18+1,1))-AVERAGE(OFFSET($H$3,0,0,'Données projet'!$E$18+1,1))</f>
        <v>#N/A</v>
      </c>
      <c r="HA197" s="57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0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4">
        <f t="shared" si="192"/>
        <v>665.21548108319348</v>
      </c>
      <c r="I198" s="6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258.61679999999996</v>
      </c>
      <c r="P198" s="13">
        <f t="shared" si="203"/>
        <v>62.427444141032439</v>
      </c>
      <c r="Q198" s="20">
        <f t="shared" si="162"/>
        <v>559.15205854563135</v>
      </c>
      <c r="R198" s="57">
        <f t="shared" si="191"/>
        <v>852.48539187896472</v>
      </c>
      <c r="S198" s="57">
        <f ca="1">AVERAGE(OFFSET($R$3,0,0,'Données projet'!$E$9+1,1))-AVERAGE(OFFSET($H$3,0,0,'Données projet'!$E$9+1,1))</f>
        <v>267.44861001389006</v>
      </c>
      <c r="T198" s="57">
        <f t="shared" si="204"/>
        <v>165.25921510802965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19.112592719724699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19.112592719724699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306.99999999999994</v>
      </c>
      <c r="AJ198" s="13">
        <f>AI198*VLOOKUP('Données projet'!$B$10,Paramètres!$A$1:$I$89,3,0)*VLOOKUP('Données projet'!$B$10,Paramètres!$A$1:$I$89,5,0)</f>
        <v>277.77359999999993</v>
      </c>
      <c r="AK198" s="13">
        <f t="shared" si="164"/>
        <v>66.496288176842356</v>
      </c>
      <c r="AL198" s="20">
        <f t="shared" si="165"/>
        <v>599.60338857466706</v>
      </c>
      <c r="AM198" s="57">
        <f t="shared" si="193"/>
        <v>892.93672190800044</v>
      </c>
      <c r="AN198" s="57">
        <f ca="1">AVERAGE(OFFSET($AM$3,0,0,'Données projet'!$E$10+1,1))-AVERAGE(OFFSET($H$3,0,0,'Données projet'!$E$10+1,1))</f>
        <v>294.92430430387071</v>
      </c>
      <c r="AO198" s="57">
        <f t="shared" si="205"/>
        <v>181.52228471516497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20.528340328593195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20.528340328593195</v>
      </c>
      <c r="AY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319</v>
      </c>
      <c r="BE198" s="13">
        <f>BD198*VLOOKUP('Données projet'!$B$11,Paramètres!$A$1:$I$89,3,0)*VLOOKUP('Données projet'!$B$11,Paramètres!$A$1:$I$89,5,0)</f>
        <v>258.77280000000002</v>
      </c>
      <c r="BF198" s="13">
        <f t="shared" si="167"/>
        <v>62.460716522234691</v>
      </c>
      <c r="BG198" s="20">
        <f t="shared" si="168"/>
        <v>559.48170794289206</v>
      </c>
      <c r="BH198" s="57">
        <f t="shared" si="194"/>
        <v>852.81504127622543</v>
      </c>
      <c r="BI198" s="57">
        <f ca="1">AVERAGE(OFFSET($BH$3,0,0,'Données projet'!$E$11+1,1))-AVERAGE(OFFSET($H$3,0,0,'Données projet'!$E$11+1,1))</f>
        <v>250.90550982248311</v>
      </c>
      <c r="BJ198" s="57">
        <f t="shared" si="206"/>
        <v>254.68874167908001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4.5100303186408572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4.5100303186408572</v>
      </c>
      <c r="BT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739.99999999999966</v>
      </c>
      <c r="BZ198" s="13">
        <f>BY198*VLOOKUP('Données projet'!$B$12,Paramètres!$A$1:$I$89,3,0)*VLOOKUP('Données projet'!$B$12,Paramètres!$A$1:$I$89,5,0)</f>
        <v>413.65999999999985</v>
      </c>
      <c r="CA198" s="13">
        <f t="shared" si="170"/>
        <v>94.540585122244352</v>
      </c>
      <c r="CB198" s="20">
        <f t="shared" si="171"/>
        <v>885.11601908790863</v>
      </c>
      <c r="CC198" s="57">
        <f t="shared" si="195"/>
        <v>1178.4493524212419</v>
      </c>
      <c r="CD198" s="57">
        <f ca="1">AVERAGE(OFFSET($CC$3,0,0,'Données projet'!$E$12+1,1))-AVERAGE(OFFSET($H$3,0,0,'Données projet'!$E$12+1,1))</f>
        <v>462.54745364638171</v>
      </c>
      <c r="CE198" s="57">
        <f t="shared" si="207"/>
        <v>571.50914830067313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8.5219208205560868</v>
      </c>
      <c r="CL198" s="21">
        <f>EXP(-LN(2)/25)*CL197+(1-EXP(-LN(2)/25))/(LN(2)/25)*Calculateur!CG198*Calculateur!CI198*VLOOKUP('Données projet'!$B$12,Paramètres!$A$1:$I$89,3,0)*0.475*44/12</f>
        <v>0.59565116815239605</v>
      </c>
      <c r="CM198" s="21">
        <f>EXP(-LN(2)/2)*CM197+(1-EXP(-LN(2)/2))/(LN(2)/2)*CG198*CJ198*VLOOKUP('Données projet'!$B$12,Paramètres!$A$1:$I$89,3,0)*0.475*44/12</f>
        <v>1.2436299774355064E-25</v>
      </c>
      <c r="CN198" s="22">
        <f t="shared" si="172"/>
        <v>9.1175719887084821</v>
      </c>
      <c r="CO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245.99999999999994</v>
      </c>
      <c r="CU198" s="17">
        <f>CT198*VLOOKUP('Données projet'!$B$13,Paramètres!$A$1:$I$89,3,0)*VLOOKUP('Données projet'!$B$13,Paramètres!$A$1:$I$89,5,0)</f>
        <v>234.09359999999998</v>
      </c>
      <c r="CV198" s="13">
        <f t="shared" si="173"/>
        <v>57.166902703920208</v>
      </c>
      <c r="CW198" s="20">
        <f t="shared" si="174"/>
        <v>507.27870887599425</v>
      </c>
      <c r="CX198" s="57">
        <f t="shared" si="196"/>
        <v>800.61204220932757</v>
      </c>
      <c r="CY198" s="57">
        <f ca="1">AVERAGE(OFFSET($CX$3,0,0,'Données projet'!$E$13+1,1))-AVERAGE(OFFSET($H$3,0,0,'Données projet'!$E$13+1,1))</f>
        <v>314.67680626853303</v>
      </c>
      <c r="CZ198" s="57">
        <f t="shared" si="208"/>
        <v>372.57247561536263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15.992111727006819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15.992111727006819</v>
      </c>
      <c r="DJ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319</v>
      </c>
      <c r="DP198" s="17">
        <f>DO198*VLOOKUP('Données projet'!$B$14,Paramètres!$A$1:$I$89,3,0)*VLOOKUP('Données projet'!$B$14,Paramètres!$A$1:$I$89,5,0)</f>
        <v>209.00879999999998</v>
      </c>
      <c r="DQ198" s="13">
        <f t="shared" si="176"/>
        <v>51.718923953824202</v>
      </c>
      <c r="DR198" s="20">
        <f t="shared" si="177"/>
        <v>454.10078588624373</v>
      </c>
      <c r="DS198" s="57">
        <f t="shared" si="197"/>
        <v>747.43411921957704</v>
      </c>
      <c r="DT198" s="57">
        <f ca="1">AVERAGE(OFFSET($DS$3,0,0,'Données projet'!$E$14+1,1))-AVERAGE(OFFSET($H$3,0,0,'Données projet'!$E$14+1,1))</f>
        <v>188.80259324758066</v>
      </c>
      <c r="DU198" s="57">
        <f t="shared" si="209"/>
        <v>195.48048518255354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3.642716795825311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3.642716795825311</v>
      </c>
      <c r="EE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319</v>
      </c>
      <c r="EK198" s="17">
        <f>EJ198*VLOOKUP('Données projet'!$B$15,Paramètres!$A$1:$I$89,3,0)*VLOOKUP('Données projet'!$B$15,Paramètres!$A$1:$I$89,5,0)</f>
        <v>258.77280000000002</v>
      </c>
      <c r="EL198" s="13">
        <f t="shared" si="179"/>
        <v>62.460716522234691</v>
      </c>
      <c r="EM198" s="20">
        <f t="shared" si="180"/>
        <v>559.48170794289206</v>
      </c>
      <c r="EN198" s="57">
        <f t="shared" si="198"/>
        <v>852.81504127622543</v>
      </c>
      <c r="EO198" s="57">
        <f ca="1">AVERAGE(OFFSET($EN$3,0,0,'Données projet'!$E$15+1,1))-AVERAGE(OFFSET($H$3,0,0,'Données projet'!$E$15+1,1))</f>
        <v>250.90550982248311</v>
      </c>
      <c r="EP198" s="57">
        <f t="shared" si="210"/>
        <v>254.68874167908001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4.5100303186408572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4.5100303186408572</v>
      </c>
      <c r="EZ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7" t="e">
        <f t="shared" si="199"/>
        <v>#N/A</v>
      </c>
      <c r="FJ198" s="57" t="e">
        <f ca="1">AVERAGE(OFFSET($FI$3,0,0,'Données projet'!$E$16+1,1))-AVERAGE(OFFSET($H$3,0,0,'Données projet'!$E$16+1,1))</f>
        <v>#N/A</v>
      </c>
      <c r="FK198" s="57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7" t="e">
        <f t="shared" si="200"/>
        <v>#N/A</v>
      </c>
      <c r="GE198" s="57" t="e">
        <f ca="1">AVERAGE(OFFSET($GD$3,0,0,'Données projet'!$E$17+1,1))-AVERAGE(OFFSET($H$3,0,0,'Données projet'!$E$17+1,1))</f>
        <v>#N/A</v>
      </c>
      <c r="GF198" s="57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7" t="e">
        <f t="shared" si="201"/>
        <v>#N/A</v>
      </c>
      <c r="GZ198" s="57" t="e">
        <f ca="1">AVERAGE(OFFSET($GY$3,0,0,'Données projet'!$E$18+1,1))-AVERAGE(OFFSET($H$3,0,0,'Données projet'!$E$18+1,1))</f>
        <v>#N/A</v>
      </c>
      <c r="HA198" s="57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0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4">
        <f t="shared" si="192"/>
        <v>667.07758742379417</v>
      </c>
      <c r="I199" s="6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258.61679999999996</v>
      </c>
      <c r="P199" s="13">
        <f t="shared" si="203"/>
        <v>62.427444141032439</v>
      </c>
      <c r="Q199" s="20">
        <f t="shared" si="162"/>
        <v>559.15205854563135</v>
      </c>
      <c r="R199" s="57">
        <f t="shared" si="191"/>
        <v>852.48539187896472</v>
      </c>
      <c r="S199" s="57">
        <f ca="1">AVERAGE(OFFSET($R$3,0,0,'Données projet'!$E$9+1,1))-AVERAGE(OFFSET($H$3,0,0,'Données projet'!$E$9+1,1))</f>
        <v>267.44861001389006</v>
      </c>
      <c r="T199" s="57">
        <f t="shared" si="204"/>
        <v>165.25921510802965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18.737806434021373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18.737806434021373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306.99999999999994</v>
      </c>
      <c r="AJ199" s="13">
        <f>AI199*VLOOKUP('Données projet'!$B$10,Paramètres!$A$1:$I$89,3,0)*VLOOKUP('Données projet'!$B$10,Paramètres!$A$1:$I$89,5,0)</f>
        <v>277.77359999999993</v>
      </c>
      <c r="AK199" s="13">
        <f t="shared" si="164"/>
        <v>66.496288176842356</v>
      </c>
      <c r="AL199" s="20">
        <f t="shared" si="165"/>
        <v>599.60338857466706</v>
      </c>
      <c r="AM199" s="57">
        <f t="shared" si="193"/>
        <v>892.93672190800044</v>
      </c>
      <c r="AN199" s="57">
        <f ca="1">AVERAGE(OFFSET($AM$3,0,0,'Données projet'!$E$10+1,1))-AVERAGE(OFFSET($H$3,0,0,'Données projet'!$E$10+1,1))</f>
        <v>294.92430430387071</v>
      </c>
      <c r="AO199" s="57">
        <f t="shared" si="205"/>
        <v>181.52228471516497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20.125792095800733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20.125792095800733</v>
      </c>
      <c r="AY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319</v>
      </c>
      <c r="BE199" s="13">
        <f>BD199*VLOOKUP('Données projet'!$B$11,Paramètres!$A$1:$I$89,3,0)*VLOOKUP('Données projet'!$B$11,Paramètres!$A$1:$I$89,5,0)</f>
        <v>258.77280000000002</v>
      </c>
      <c r="BF199" s="13">
        <f t="shared" si="167"/>
        <v>62.460716522234691</v>
      </c>
      <c r="BG199" s="20">
        <f t="shared" si="168"/>
        <v>559.48170794289206</v>
      </c>
      <c r="BH199" s="57">
        <f t="shared" si="194"/>
        <v>852.81504127622543</v>
      </c>
      <c r="BI199" s="57">
        <f ca="1">AVERAGE(OFFSET($BH$3,0,0,'Données projet'!$E$11+1,1))-AVERAGE(OFFSET($H$3,0,0,'Données projet'!$E$11+1,1))</f>
        <v>250.90550982248311</v>
      </c>
      <c r="BJ199" s="57">
        <f t="shared" si="206"/>
        <v>254.68874167908001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4.4215913749391804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4.4215913749391804</v>
      </c>
      <c r="BT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739.99999999999966</v>
      </c>
      <c r="BZ199" s="13">
        <f>BY199*VLOOKUP('Données projet'!$B$12,Paramètres!$A$1:$I$89,3,0)*VLOOKUP('Données projet'!$B$12,Paramètres!$A$1:$I$89,5,0)</f>
        <v>413.65999999999985</v>
      </c>
      <c r="CA199" s="13">
        <f t="shared" si="170"/>
        <v>94.540585122244352</v>
      </c>
      <c r="CB199" s="20">
        <f t="shared" si="171"/>
        <v>885.11601908790863</v>
      </c>
      <c r="CC199" s="57">
        <f t="shared" si="195"/>
        <v>1178.4493524212419</v>
      </c>
      <c r="CD199" s="57">
        <f ca="1">AVERAGE(OFFSET($CC$3,0,0,'Données projet'!$E$12+1,1))-AVERAGE(OFFSET($H$3,0,0,'Données projet'!$E$12+1,1))</f>
        <v>462.54745364638171</v>
      </c>
      <c r="CE199" s="57">
        <f t="shared" si="207"/>
        <v>571.50914830067313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8.3548111511234371</v>
      </c>
      <c r="CL199" s="21">
        <f>EXP(-LN(2)/25)*CL198+(1-EXP(-LN(2)/25))/(LN(2)/25)*Calculateur!CG199*Calculateur!CI199*VLOOKUP('Données projet'!$B$12,Paramètres!$A$1:$I$89,3,0)*0.475*44/12</f>
        <v>0.57936305563533519</v>
      </c>
      <c r="CM199" s="21">
        <f>EXP(-LN(2)/2)*CM198+(1-EXP(-LN(2)/2))/(LN(2)/2)*CG199*CJ199*VLOOKUP('Données projet'!$B$12,Paramètres!$A$1:$I$89,3,0)*0.475*44/12</f>
        <v>8.793791903315197E-26</v>
      </c>
      <c r="CN199" s="22">
        <f t="shared" si="172"/>
        <v>8.9341742067587724</v>
      </c>
      <c r="CO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245.99999999999994</v>
      </c>
      <c r="CU199" s="17">
        <f>CT199*VLOOKUP('Données projet'!$B$13,Paramètres!$A$1:$I$89,3,0)*VLOOKUP('Données projet'!$B$13,Paramètres!$A$1:$I$89,5,0)</f>
        <v>234.09359999999998</v>
      </c>
      <c r="CV199" s="13">
        <f t="shared" si="173"/>
        <v>57.166902703920208</v>
      </c>
      <c r="CW199" s="20">
        <f t="shared" si="174"/>
        <v>507.27870887599425</v>
      </c>
      <c r="CX199" s="57">
        <f t="shared" si="196"/>
        <v>800.61204220932757</v>
      </c>
      <c r="CY199" s="57">
        <f ca="1">AVERAGE(OFFSET($CX$3,0,0,'Données projet'!$E$13+1,1))-AVERAGE(OFFSET($H$3,0,0,'Données projet'!$E$13+1,1))</f>
        <v>314.67680626853303</v>
      </c>
      <c r="CZ199" s="57">
        <f t="shared" si="208"/>
        <v>372.57247561536263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15.678516170265219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15.678516170265219</v>
      </c>
      <c r="DJ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319</v>
      </c>
      <c r="DP199" s="17">
        <f>DO199*VLOOKUP('Données projet'!$B$14,Paramètres!$A$1:$I$89,3,0)*VLOOKUP('Données projet'!$B$14,Paramètres!$A$1:$I$89,5,0)</f>
        <v>209.00879999999998</v>
      </c>
      <c r="DQ199" s="13">
        <f t="shared" si="176"/>
        <v>51.718923953824202</v>
      </c>
      <c r="DR199" s="20">
        <f t="shared" si="177"/>
        <v>454.10078588624373</v>
      </c>
      <c r="DS199" s="57">
        <f t="shared" si="197"/>
        <v>747.43411921957704</v>
      </c>
      <c r="DT199" s="57">
        <f ca="1">AVERAGE(OFFSET($DS$3,0,0,'Données projet'!$E$14+1,1))-AVERAGE(OFFSET($H$3,0,0,'Données projet'!$E$14+1,1))</f>
        <v>188.80259324758066</v>
      </c>
      <c r="DU199" s="57">
        <f t="shared" si="209"/>
        <v>195.48048518255354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3.5712853412970338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3.5712853412970338</v>
      </c>
      <c r="EE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319</v>
      </c>
      <c r="EK199" s="17">
        <f>EJ199*VLOOKUP('Données projet'!$B$15,Paramètres!$A$1:$I$89,3,0)*VLOOKUP('Données projet'!$B$15,Paramètres!$A$1:$I$89,5,0)</f>
        <v>258.77280000000002</v>
      </c>
      <c r="EL199" s="13">
        <f t="shared" si="179"/>
        <v>62.460716522234691</v>
      </c>
      <c r="EM199" s="20">
        <f t="shared" si="180"/>
        <v>559.48170794289206</v>
      </c>
      <c r="EN199" s="57">
        <f t="shared" si="198"/>
        <v>852.81504127622543</v>
      </c>
      <c r="EO199" s="57">
        <f ca="1">AVERAGE(OFFSET($EN$3,0,0,'Données projet'!$E$15+1,1))-AVERAGE(OFFSET($H$3,0,0,'Données projet'!$E$15+1,1))</f>
        <v>250.90550982248311</v>
      </c>
      <c r="EP199" s="57">
        <f t="shared" si="210"/>
        <v>254.68874167908001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4.4215913749391804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4.4215913749391804</v>
      </c>
      <c r="EZ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7" t="e">
        <f t="shared" si="199"/>
        <v>#N/A</v>
      </c>
      <c r="FJ199" s="57" t="e">
        <f ca="1">AVERAGE(OFFSET($FI$3,0,0,'Données projet'!$E$16+1,1))-AVERAGE(OFFSET($H$3,0,0,'Données projet'!$E$16+1,1))</f>
        <v>#N/A</v>
      </c>
      <c r="FK199" s="57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7" t="e">
        <f t="shared" si="200"/>
        <v>#N/A</v>
      </c>
      <c r="GE199" s="57" t="e">
        <f ca="1">AVERAGE(OFFSET($GD$3,0,0,'Données projet'!$E$17+1,1))-AVERAGE(OFFSET($H$3,0,0,'Données projet'!$E$17+1,1))</f>
        <v>#N/A</v>
      </c>
      <c r="GF199" s="57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7" t="e">
        <f t="shared" si="201"/>
        <v>#N/A</v>
      </c>
      <c r="GZ199" s="57" t="e">
        <f ca="1">AVERAGE(OFFSET($GY$3,0,0,'Données projet'!$E$18+1,1))-AVERAGE(OFFSET($H$3,0,0,'Données projet'!$E$18+1,1))</f>
        <v>#N/A</v>
      </c>
      <c r="HA199" s="57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0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4">
        <f t="shared" si="192"/>
        <v>668.93949155693372</v>
      </c>
      <c r="I200" s="6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258.61679999999996</v>
      </c>
      <c r="P200" s="13">
        <f t="shared" si="203"/>
        <v>62.427444141032439</v>
      </c>
      <c r="Q200" s="20">
        <f t="shared" si="162"/>
        <v>559.15205854563135</v>
      </c>
      <c r="R200" s="57">
        <f t="shared" si="191"/>
        <v>852.48539187896472</v>
      </c>
      <c r="S200" s="57">
        <f ca="1">AVERAGE(OFFSET($R$3,0,0,'Données projet'!$E$9+1,1))-AVERAGE(OFFSET($H$3,0,0,'Données projet'!$E$9+1,1))</f>
        <v>267.44861001389006</v>
      </c>
      <c r="T200" s="57">
        <f t="shared" si="204"/>
        <v>165.25921510802965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18.370369478783626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18.370369478783626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306.99999999999994</v>
      </c>
      <c r="AJ200" s="13">
        <f>AI200*VLOOKUP('Données projet'!$B$10,Paramètres!$A$1:$I$89,3,0)*VLOOKUP('Données projet'!$B$10,Paramètres!$A$1:$I$89,5,0)</f>
        <v>277.77359999999993</v>
      </c>
      <c r="AK200" s="13">
        <f t="shared" si="164"/>
        <v>66.496288176842356</v>
      </c>
      <c r="AL200" s="20">
        <f t="shared" si="165"/>
        <v>599.60338857466706</v>
      </c>
      <c r="AM200" s="57">
        <f t="shared" si="193"/>
        <v>892.93672190800044</v>
      </c>
      <c r="AN200" s="57">
        <f ca="1">AVERAGE(OFFSET($AM$3,0,0,'Données projet'!$E$10+1,1))-AVERAGE(OFFSET($H$3,0,0,'Données projet'!$E$10+1,1))</f>
        <v>294.92430430387071</v>
      </c>
      <c r="AO200" s="57">
        <f t="shared" si="205"/>
        <v>181.52228471516497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19.731137588323151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19.731137588323151</v>
      </c>
      <c r="AY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319</v>
      </c>
      <c r="BE200" s="13">
        <f>BD200*VLOOKUP('Données projet'!$B$11,Paramètres!$A$1:$I$89,3,0)*VLOOKUP('Données projet'!$B$11,Paramètres!$A$1:$I$89,5,0)</f>
        <v>258.77280000000002</v>
      </c>
      <c r="BF200" s="13">
        <f t="shared" si="167"/>
        <v>62.460716522234691</v>
      </c>
      <c r="BG200" s="20">
        <f t="shared" si="168"/>
        <v>559.48170794289206</v>
      </c>
      <c r="BH200" s="57">
        <f t="shared" si="194"/>
        <v>852.81504127622543</v>
      </c>
      <c r="BI200" s="57">
        <f ca="1">AVERAGE(OFFSET($BH$3,0,0,'Données projet'!$E$11+1,1))-AVERAGE(OFFSET($H$3,0,0,'Données projet'!$E$11+1,1))</f>
        <v>250.90550982248311</v>
      </c>
      <c r="BJ200" s="57">
        <f t="shared" si="206"/>
        <v>254.68874167908001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4.3348866649810649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4.3348866649810649</v>
      </c>
      <c r="BT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739.99999999999966</v>
      </c>
      <c r="BZ200" s="13">
        <f>BY200*VLOOKUP('Données projet'!$B$12,Paramètres!$A$1:$I$89,3,0)*VLOOKUP('Données projet'!$B$12,Paramètres!$A$1:$I$89,5,0)</f>
        <v>413.65999999999985</v>
      </c>
      <c r="CA200" s="13">
        <f t="shared" si="170"/>
        <v>94.540585122244352</v>
      </c>
      <c r="CB200" s="20">
        <f t="shared" si="171"/>
        <v>885.11601908790863</v>
      </c>
      <c r="CC200" s="57">
        <f t="shared" si="195"/>
        <v>1178.4493524212419</v>
      </c>
      <c r="CD200" s="57">
        <f ca="1">AVERAGE(OFFSET($CC$3,0,0,'Données projet'!$E$12+1,1))-AVERAGE(OFFSET($H$3,0,0,'Données projet'!$E$12+1,1))</f>
        <v>462.54745364638171</v>
      </c>
      <c r="CE200" s="57">
        <f t="shared" si="207"/>
        <v>571.50914830067313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8.1909784003815265</v>
      </c>
      <c r="CL200" s="21">
        <f>EXP(-LN(2)/25)*CL199+(1-EXP(-LN(2)/25))/(LN(2)/25)*Calculateur!CG200*Calculateur!CI200*VLOOKUP('Données projet'!$B$12,Paramètres!$A$1:$I$89,3,0)*0.475*44/12</f>
        <v>0.56352034241160798</v>
      </c>
      <c r="CM200" s="21">
        <f>EXP(-LN(2)/2)*CM199+(1-EXP(-LN(2)/2))/(LN(2)/2)*CG200*CJ200*VLOOKUP('Données projet'!$B$12,Paramètres!$A$1:$I$89,3,0)*0.475*44/12</f>
        <v>6.2181498871775322E-26</v>
      </c>
      <c r="CN200" s="22">
        <f t="shared" si="172"/>
        <v>8.7544987427931353</v>
      </c>
      <c r="CO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245.99999999999994</v>
      </c>
      <c r="CU200" s="17">
        <f>CT200*VLOOKUP('Données projet'!$B$13,Paramètres!$A$1:$I$89,3,0)*VLOOKUP('Données projet'!$B$13,Paramètres!$A$1:$I$89,5,0)</f>
        <v>234.09359999999998</v>
      </c>
      <c r="CV200" s="13">
        <f t="shared" si="173"/>
        <v>57.166902703920208</v>
      </c>
      <c r="CW200" s="20">
        <f t="shared" si="174"/>
        <v>507.27870887599425</v>
      </c>
      <c r="CX200" s="57">
        <f t="shared" si="196"/>
        <v>800.61204220932757</v>
      </c>
      <c r="CY200" s="57">
        <f ca="1">AVERAGE(OFFSET($CX$3,0,0,'Données projet'!$E$13+1,1))-AVERAGE(OFFSET($H$3,0,0,'Données projet'!$E$13+1,1))</f>
        <v>314.67680626853303</v>
      </c>
      <c r="CZ200" s="57">
        <f t="shared" si="208"/>
        <v>372.57247561536263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15.371070031116918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15.371070031116918</v>
      </c>
      <c r="DJ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319</v>
      </c>
      <c r="DP200" s="17">
        <f>DO200*VLOOKUP('Données projet'!$B$14,Paramètres!$A$1:$I$89,3,0)*VLOOKUP('Données projet'!$B$14,Paramètres!$A$1:$I$89,5,0)</f>
        <v>209.00879999999998</v>
      </c>
      <c r="DQ200" s="13">
        <f t="shared" si="176"/>
        <v>51.718923953824202</v>
      </c>
      <c r="DR200" s="20">
        <f t="shared" si="177"/>
        <v>454.10078588624373</v>
      </c>
      <c r="DS200" s="57">
        <f t="shared" si="197"/>
        <v>747.43411921957704</v>
      </c>
      <c r="DT200" s="57">
        <f ca="1">AVERAGE(OFFSET($DS$3,0,0,'Données projet'!$E$14+1,1))-AVERAGE(OFFSET($H$3,0,0,'Données projet'!$E$14+1,1))</f>
        <v>188.80259324758066</v>
      </c>
      <c r="DU200" s="57">
        <f t="shared" si="209"/>
        <v>195.48048518255354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3.5012546140231708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3.5012546140231708</v>
      </c>
      <c r="EE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319</v>
      </c>
      <c r="EK200" s="17">
        <f>EJ200*VLOOKUP('Données projet'!$B$15,Paramètres!$A$1:$I$89,3,0)*VLOOKUP('Données projet'!$B$15,Paramètres!$A$1:$I$89,5,0)</f>
        <v>258.77280000000002</v>
      </c>
      <c r="EL200" s="13">
        <f t="shared" si="179"/>
        <v>62.460716522234691</v>
      </c>
      <c r="EM200" s="20">
        <f t="shared" si="180"/>
        <v>559.48170794289206</v>
      </c>
      <c r="EN200" s="57">
        <f t="shared" si="198"/>
        <v>852.81504127622543</v>
      </c>
      <c r="EO200" s="57">
        <f ca="1">AVERAGE(OFFSET($EN$3,0,0,'Données projet'!$E$15+1,1))-AVERAGE(OFFSET($H$3,0,0,'Données projet'!$E$15+1,1))</f>
        <v>250.90550982248311</v>
      </c>
      <c r="EP200" s="57">
        <f t="shared" si="210"/>
        <v>254.68874167908001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4.3348866649810649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4.3348866649810649</v>
      </c>
      <c r="EZ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7" t="e">
        <f t="shared" si="199"/>
        <v>#N/A</v>
      </c>
      <c r="FJ200" s="57" t="e">
        <f ca="1">AVERAGE(OFFSET($FI$3,0,0,'Données projet'!$E$16+1,1))-AVERAGE(OFFSET($H$3,0,0,'Données projet'!$E$16+1,1))</f>
        <v>#N/A</v>
      </c>
      <c r="FK200" s="57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7" t="e">
        <f t="shared" si="200"/>
        <v>#N/A</v>
      </c>
      <c r="GE200" s="57" t="e">
        <f ca="1">AVERAGE(OFFSET($GD$3,0,0,'Données projet'!$E$17+1,1))-AVERAGE(OFFSET($H$3,0,0,'Données projet'!$E$17+1,1))</f>
        <v>#N/A</v>
      </c>
      <c r="GF200" s="57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7" t="e">
        <f t="shared" si="201"/>
        <v>#N/A</v>
      </c>
      <c r="GZ200" s="57" t="e">
        <f ca="1">AVERAGE(OFFSET($GY$3,0,0,'Données projet'!$E$18+1,1))-AVERAGE(OFFSET($H$3,0,0,'Données projet'!$E$18+1,1))</f>
        <v>#N/A</v>
      </c>
      <c r="HA200" s="57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0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4">
        <f t="shared" si="192"/>
        <v>670.80119462819425</v>
      </c>
      <c r="I201" s="6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258.61679999999996</v>
      </c>
      <c r="P201" s="13">
        <f t="shared" si="203"/>
        <v>62.427444141032439</v>
      </c>
      <c r="Q201" s="20">
        <f t="shared" si="162"/>
        <v>559.15205854563135</v>
      </c>
      <c r="R201" s="57">
        <f t="shared" si="191"/>
        <v>852.48539187896472</v>
      </c>
      <c r="S201" s="57">
        <f ca="1">AVERAGE(OFFSET($R$3,0,0,'Données projet'!$E$9+1,1))-AVERAGE(OFFSET($H$3,0,0,'Données projet'!$E$9+1,1))</f>
        <v>267.44861001389006</v>
      </c>
      <c r="T201" s="57">
        <f t="shared" si="204"/>
        <v>165.25921510802965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18.010137738123678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18.010137738123678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306.99999999999994</v>
      </c>
      <c r="AJ201" s="13">
        <f>AI201*VLOOKUP('Données projet'!$B$10,Paramètres!$A$1:$I$89,3,0)*VLOOKUP('Données projet'!$B$10,Paramètres!$A$1:$I$89,5,0)</f>
        <v>277.77359999999993</v>
      </c>
      <c r="AK201" s="13">
        <f t="shared" si="164"/>
        <v>66.496288176842356</v>
      </c>
      <c r="AL201" s="20">
        <f t="shared" si="165"/>
        <v>599.60338857466706</v>
      </c>
      <c r="AM201" s="57">
        <f t="shared" si="193"/>
        <v>892.93672190800044</v>
      </c>
      <c r="AN201" s="57">
        <f ca="1">AVERAGE(OFFSET($AM$3,0,0,'Données projet'!$E$10+1,1))-AVERAGE(OFFSET($H$3,0,0,'Données projet'!$E$10+1,1))</f>
        <v>294.92430430387071</v>
      </c>
      <c r="AO201" s="57">
        <f t="shared" si="205"/>
        <v>181.52228471516497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19.344222015021725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19.344222015021725</v>
      </c>
      <c r="AY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319</v>
      </c>
      <c r="BE201" s="13">
        <f>BD201*VLOOKUP('Données projet'!$B$11,Paramètres!$A$1:$I$89,3,0)*VLOOKUP('Données projet'!$B$11,Paramètres!$A$1:$I$89,5,0)</f>
        <v>258.77280000000002</v>
      </c>
      <c r="BF201" s="13">
        <f t="shared" si="167"/>
        <v>62.460716522234691</v>
      </c>
      <c r="BG201" s="20">
        <f t="shared" si="168"/>
        <v>559.48170794289206</v>
      </c>
      <c r="BH201" s="57">
        <f t="shared" si="194"/>
        <v>852.81504127622543</v>
      </c>
      <c r="BI201" s="57">
        <f ca="1">AVERAGE(OFFSET($BH$3,0,0,'Données projet'!$E$11+1,1))-AVERAGE(OFFSET($H$3,0,0,'Données projet'!$E$11+1,1))</f>
        <v>250.90550982248311</v>
      </c>
      <c r="BJ201" s="57">
        <f t="shared" si="206"/>
        <v>254.68874167908001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4.2498821815005767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4.2498821815005767</v>
      </c>
      <c r="BT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739.99999999999966</v>
      </c>
      <c r="BZ201" s="13">
        <f>BY201*VLOOKUP('Données projet'!$B$12,Paramètres!$A$1:$I$89,3,0)*VLOOKUP('Données projet'!$B$12,Paramètres!$A$1:$I$89,5,0)</f>
        <v>413.65999999999985</v>
      </c>
      <c r="CA201" s="13">
        <f t="shared" si="170"/>
        <v>94.540585122244352</v>
      </c>
      <c r="CB201" s="20">
        <f t="shared" si="171"/>
        <v>885.11601908790863</v>
      </c>
      <c r="CC201" s="57">
        <f t="shared" si="195"/>
        <v>1178.4493524212419</v>
      </c>
      <c r="CD201" s="57">
        <f ca="1">AVERAGE(OFFSET($CC$3,0,0,'Données projet'!$E$12+1,1))-AVERAGE(OFFSET($H$3,0,0,'Données projet'!$E$12+1,1))</f>
        <v>462.54745364638171</v>
      </c>
      <c r="CE201" s="57">
        <f t="shared" si="207"/>
        <v>571.50914830067313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8.030358309953554</v>
      </c>
      <c r="CL201" s="21">
        <f>EXP(-LN(2)/25)*CL200+(1-EXP(-LN(2)/25))/(LN(2)/25)*Calculateur!CG201*Calculateur!CI201*VLOOKUP('Données projet'!$B$12,Paramètres!$A$1:$I$89,3,0)*0.475*44/12</f>
        <v>0.54811084901411566</v>
      </c>
      <c r="CM201" s="21">
        <f>EXP(-LN(2)/2)*CM200+(1-EXP(-LN(2)/2))/(LN(2)/2)*CG201*CJ201*VLOOKUP('Données projet'!$B$12,Paramètres!$A$1:$I$89,3,0)*0.475*44/12</f>
        <v>4.3968959516575985E-26</v>
      </c>
      <c r="CN201" s="22">
        <f t="shared" si="172"/>
        <v>8.5784691589676694</v>
      </c>
      <c r="CO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245.99999999999994</v>
      </c>
      <c r="CU201" s="17">
        <f>CT201*VLOOKUP('Données projet'!$B$13,Paramètres!$A$1:$I$89,3,0)*VLOOKUP('Données projet'!$B$13,Paramètres!$A$1:$I$89,5,0)</f>
        <v>234.09359999999998</v>
      </c>
      <c r="CV201" s="13">
        <f t="shared" si="173"/>
        <v>57.166902703920208</v>
      </c>
      <c r="CW201" s="20">
        <f t="shared" si="174"/>
        <v>507.27870887599425</v>
      </c>
      <c r="CX201" s="57">
        <f t="shared" si="196"/>
        <v>800.61204220932757</v>
      </c>
      <c r="CY201" s="57">
        <f ca="1">AVERAGE(OFFSET($CX$3,0,0,'Données projet'!$E$13+1,1))-AVERAGE(OFFSET($H$3,0,0,'Données projet'!$E$13+1,1))</f>
        <v>314.67680626853303</v>
      </c>
      <c r="CZ201" s="57">
        <f t="shared" si="208"/>
        <v>372.57247561536263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15.069652723233688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15.069652723233688</v>
      </c>
      <c r="DJ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319</v>
      </c>
      <c r="DP201" s="17">
        <f>DO201*VLOOKUP('Données projet'!$B$14,Paramètres!$A$1:$I$89,3,0)*VLOOKUP('Données projet'!$B$14,Paramètres!$A$1:$I$89,5,0)</f>
        <v>209.00879999999998</v>
      </c>
      <c r="DQ201" s="13">
        <f t="shared" si="176"/>
        <v>51.718923953824202</v>
      </c>
      <c r="DR201" s="20">
        <f t="shared" si="177"/>
        <v>454.10078588624373</v>
      </c>
      <c r="DS201" s="57">
        <f t="shared" si="197"/>
        <v>747.43411921957704</v>
      </c>
      <c r="DT201" s="57">
        <f ca="1">AVERAGE(OFFSET($DS$3,0,0,'Données projet'!$E$14+1,1))-AVERAGE(OFFSET($H$3,0,0,'Données projet'!$E$14+1,1))</f>
        <v>188.80259324758066</v>
      </c>
      <c r="DU201" s="57">
        <f t="shared" si="209"/>
        <v>195.48048518255354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3.4325971465966227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3.4325971465966227</v>
      </c>
      <c r="EE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319</v>
      </c>
      <c r="EK201" s="17">
        <f>EJ201*VLOOKUP('Données projet'!$B$15,Paramètres!$A$1:$I$89,3,0)*VLOOKUP('Données projet'!$B$15,Paramètres!$A$1:$I$89,5,0)</f>
        <v>258.77280000000002</v>
      </c>
      <c r="EL201" s="13">
        <f t="shared" si="179"/>
        <v>62.460716522234691</v>
      </c>
      <c r="EM201" s="20">
        <f t="shared" si="180"/>
        <v>559.48170794289206</v>
      </c>
      <c r="EN201" s="57">
        <f t="shared" si="198"/>
        <v>852.81504127622543</v>
      </c>
      <c r="EO201" s="57">
        <f ca="1">AVERAGE(OFFSET($EN$3,0,0,'Données projet'!$E$15+1,1))-AVERAGE(OFFSET($H$3,0,0,'Données projet'!$E$15+1,1))</f>
        <v>250.90550982248311</v>
      </c>
      <c r="EP201" s="57">
        <f t="shared" si="210"/>
        <v>254.68874167908001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4.2498821815005767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4.2498821815005767</v>
      </c>
      <c r="EZ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7" t="e">
        <f t="shared" si="199"/>
        <v>#N/A</v>
      </c>
      <c r="FJ201" s="57" t="e">
        <f ca="1">AVERAGE(OFFSET($FI$3,0,0,'Données projet'!$E$16+1,1))-AVERAGE(OFFSET($H$3,0,0,'Données projet'!$E$16+1,1))</f>
        <v>#N/A</v>
      </c>
      <c r="FK201" s="57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7" t="e">
        <f t="shared" si="200"/>
        <v>#N/A</v>
      </c>
      <c r="GE201" s="57" t="e">
        <f ca="1">AVERAGE(OFFSET($GD$3,0,0,'Données projet'!$E$17+1,1))-AVERAGE(OFFSET($H$3,0,0,'Données projet'!$E$17+1,1))</f>
        <v>#N/A</v>
      </c>
      <c r="GF201" s="57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7" t="e">
        <f t="shared" si="201"/>
        <v>#N/A</v>
      </c>
      <c r="GZ201" s="57" t="e">
        <f ca="1">AVERAGE(OFFSET($GY$3,0,0,'Données projet'!$E$18+1,1))-AVERAGE(OFFSET($H$3,0,0,'Données projet'!$E$18+1,1))</f>
        <v>#N/A</v>
      </c>
      <c r="HA201" s="57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0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4">
        <f t="shared" si="192"/>
        <v>672.66269777091657</v>
      </c>
      <c r="I202" s="6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258.61679999999996</v>
      </c>
      <c r="P202" s="13">
        <f t="shared" si="203"/>
        <v>62.427444141032439</v>
      </c>
      <c r="Q202" s="20">
        <f t="shared" si="162"/>
        <v>559.15205854563135</v>
      </c>
      <c r="R202" s="57">
        <f t="shared" si="191"/>
        <v>852.48539187896472</v>
      </c>
      <c r="S202" s="57">
        <f ca="1">AVERAGE(OFFSET($R$3,0,0,'Données projet'!$E$9+1,1))-AVERAGE(OFFSET($H$3,0,0,'Données projet'!$E$9+1,1))</f>
        <v>267.44861001389006</v>
      </c>
      <c r="T202" s="57">
        <f t="shared" si="204"/>
        <v>165.25921510802965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17.656969922178405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17.656969922178405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306.99999999999994</v>
      </c>
      <c r="AJ202" s="13">
        <f>AI202*VLOOKUP('Données projet'!$B$10,Paramètres!$A$1:$I$89,3,0)*VLOOKUP('Données projet'!$B$10,Paramètres!$A$1:$I$89,5,0)</f>
        <v>277.77359999999993</v>
      </c>
      <c r="AK202" s="13">
        <f t="shared" si="164"/>
        <v>66.496288176842356</v>
      </c>
      <c r="AL202" s="20">
        <f t="shared" si="165"/>
        <v>599.60338857466706</v>
      </c>
      <c r="AM202" s="57">
        <f t="shared" si="193"/>
        <v>892.93672190800044</v>
      </c>
      <c r="AN202" s="57">
        <f ca="1">AVERAGE(OFFSET($AM$3,0,0,'Données projet'!$E$10+1,1))-AVERAGE(OFFSET($H$3,0,0,'Données projet'!$E$10+1,1))</f>
        <v>294.92430430387071</v>
      </c>
      <c r="AO202" s="57">
        <f t="shared" si="205"/>
        <v>181.52228471516497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18.964893620117543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18.964893620117543</v>
      </c>
      <c r="AY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319</v>
      </c>
      <c r="BE202" s="13">
        <f>BD202*VLOOKUP('Données projet'!$B$11,Paramètres!$A$1:$I$89,3,0)*VLOOKUP('Données projet'!$B$11,Paramètres!$A$1:$I$89,5,0)</f>
        <v>258.77280000000002</v>
      </c>
      <c r="BF202" s="13">
        <f t="shared" si="167"/>
        <v>62.460716522234691</v>
      </c>
      <c r="BG202" s="20">
        <f t="shared" si="168"/>
        <v>559.48170794289206</v>
      </c>
      <c r="BH202" s="57">
        <f t="shared" si="194"/>
        <v>852.81504127622543</v>
      </c>
      <c r="BI202" s="57">
        <f ca="1">AVERAGE(OFFSET($BH$3,0,0,'Données projet'!$E$11+1,1))-AVERAGE(OFFSET($H$3,0,0,'Données projet'!$E$11+1,1))</f>
        <v>250.90550982248311</v>
      </c>
      <c r="BJ202" s="57">
        <f t="shared" si="206"/>
        <v>254.68874167908001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4.1665445840935256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4.1665445840935256</v>
      </c>
      <c r="BT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739.99999999999966</v>
      </c>
      <c r="BZ202" s="13">
        <f>BY202*VLOOKUP('Données projet'!$B$12,Paramètres!$A$1:$I$89,3,0)*VLOOKUP('Données projet'!$B$12,Paramètres!$A$1:$I$89,5,0)</f>
        <v>413.65999999999985</v>
      </c>
      <c r="CA202" s="13">
        <f t="shared" si="170"/>
        <v>94.540585122244352</v>
      </c>
      <c r="CB202" s="20">
        <f t="shared" si="171"/>
        <v>885.11601908790863</v>
      </c>
      <c r="CC202" s="57">
        <f t="shared" si="195"/>
        <v>1178.4493524212419</v>
      </c>
      <c r="CD202" s="57">
        <f ca="1">AVERAGE(OFFSET($CC$3,0,0,'Données projet'!$E$12+1,1))-AVERAGE(OFFSET($H$3,0,0,'Données projet'!$E$12+1,1))</f>
        <v>462.54745364638171</v>
      </c>
      <c r="CE202" s="57">
        <f t="shared" si="207"/>
        <v>571.50914830067313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7.8728878815302927</v>
      </c>
      <c r="CL202" s="21">
        <f>EXP(-LN(2)/25)*CL201+(1-EXP(-LN(2)/25))/(LN(2)/25)*Calculateur!CG202*Calculateur!CI202*VLOOKUP('Données projet'!$B$12,Paramètres!$A$1:$I$89,3,0)*0.475*44/12</f>
        <v>0.53312272902392788</v>
      </c>
      <c r="CM202" s="21">
        <f>EXP(-LN(2)/2)*CM201+(1-EXP(-LN(2)/2))/(LN(2)/2)*CG202*CJ202*VLOOKUP('Données projet'!$B$12,Paramètres!$A$1:$I$89,3,0)*0.475*44/12</f>
        <v>3.1090749435887661E-26</v>
      </c>
      <c r="CN202" s="22">
        <f t="shared" si="172"/>
        <v>8.4060106105542207</v>
      </c>
      <c r="CO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245.99999999999994</v>
      </c>
      <c r="CU202" s="17">
        <f>CT202*VLOOKUP('Données projet'!$B$13,Paramètres!$A$1:$I$89,3,0)*VLOOKUP('Données projet'!$B$13,Paramètres!$A$1:$I$89,5,0)</f>
        <v>234.09359999999998</v>
      </c>
      <c r="CV202" s="13">
        <f t="shared" si="173"/>
        <v>57.166902703920208</v>
      </c>
      <c r="CW202" s="20">
        <f t="shared" si="174"/>
        <v>507.27870887599425</v>
      </c>
      <c r="CX202" s="57">
        <f t="shared" si="196"/>
        <v>800.61204220932757</v>
      </c>
      <c r="CY202" s="57">
        <f ca="1">AVERAGE(OFFSET($CX$3,0,0,'Données projet'!$E$13+1,1))-AVERAGE(OFFSET($H$3,0,0,'Données projet'!$E$13+1,1))</f>
        <v>314.67680626853303</v>
      </c>
      <c r="CZ202" s="57">
        <f t="shared" si="208"/>
        <v>372.57247561536263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14.774146024911643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14.774146024911643</v>
      </c>
      <c r="DJ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319</v>
      </c>
      <c r="DP202" s="17">
        <f>DO202*VLOOKUP('Données projet'!$B$14,Paramètres!$A$1:$I$89,3,0)*VLOOKUP('Données projet'!$B$14,Paramètres!$A$1:$I$89,5,0)</f>
        <v>209.00879999999998</v>
      </c>
      <c r="DQ202" s="13">
        <f t="shared" si="176"/>
        <v>51.718923953824202</v>
      </c>
      <c r="DR202" s="20">
        <f t="shared" si="177"/>
        <v>454.10078588624373</v>
      </c>
      <c r="DS202" s="57">
        <f t="shared" si="197"/>
        <v>747.43411921957704</v>
      </c>
      <c r="DT202" s="57">
        <f ca="1">AVERAGE(OFFSET($DS$3,0,0,'Données projet'!$E$14+1,1))-AVERAGE(OFFSET($H$3,0,0,'Données projet'!$E$14+1,1))</f>
        <v>188.80259324758066</v>
      </c>
      <c r="DU202" s="57">
        <f t="shared" si="209"/>
        <v>195.48048518255354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3.3652860102293891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3.3652860102293891</v>
      </c>
      <c r="EE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319</v>
      </c>
      <c r="EK202" s="17">
        <f>EJ202*VLOOKUP('Données projet'!$B$15,Paramètres!$A$1:$I$89,3,0)*VLOOKUP('Données projet'!$B$15,Paramètres!$A$1:$I$89,5,0)</f>
        <v>258.77280000000002</v>
      </c>
      <c r="EL202" s="13">
        <f t="shared" si="179"/>
        <v>62.460716522234691</v>
      </c>
      <c r="EM202" s="20">
        <f t="shared" si="180"/>
        <v>559.48170794289206</v>
      </c>
      <c r="EN202" s="57">
        <f t="shared" si="198"/>
        <v>852.81504127622543</v>
      </c>
      <c r="EO202" s="57">
        <f ca="1">AVERAGE(OFFSET($EN$3,0,0,'Données projet'!$E$15+1,1))-AVERAGE(OFFSET($H$3,0,0,'Données projet'!$E$15+1,1))</f>
        <v>250.90550982248311</v>
      </c>
      <c r="EP202" s="57">
        <f t="shared" si="210"/>
        <v>254.68874167908001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4.1665445840935256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4.1665445840935256</v>
      </c>
      <c r="EZ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7" t="e">
        <f t="shared" si="199"/>
        <v>#N/A</v>
      </c>
      <c r="FJ202" s="57" t="e">
        <f ca="1">AVERAGE(OFFSET($FI$3,0,0,'Données projet'!$E$16+1,1))-AVERAGE(OFFSET($H$3,0,0,'Données projet'!$E$16+1,1))</f>
        <v>#N/A</v>
      </c>
      <c r="FK202" s="57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7" t="e">
        <f t="shared" si="200"/>
        <v>#N/A</v>
      </c>
      <c r="GE202" s="57" t="e">
        <f ca="1">AVERAGE(OFFSET($GD$3,0,0,'Données projet'!$E$17+1,1))-AVERAGE(OFFSET($H$3,0,0,'Données projet'!$E$17+1,1))</f>
        <v>#N/A</v>
      </c>
      <c r="GF202" s="57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7" t="e">
        <f t="shared" si="201"/>
        <v>#N/A</v>
      </c>
      <c r="GZ202" s="57" t="e">
        <f ca="1">AVERAGE(OFFSET($GY$3,0,0,'Données projet'!$E$18+1,1))-AVERAGE(OFFSET($H$3,0,0,'Données projet'!$E$18+1,1))</f>
        <v>#N/A</v>
      </c>
      <c r="HA202" s="57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0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4">
        <f t="shared" si="192"/>
        <v>674.52400210639098</v>
      </c>
      <c r="I203" s="6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258.61679999999996</v>
      </c>
      <c r="P203" s="13">
        <f t="shared" si="203"/>
        <v>62.427444141032439</v>
      </c>
      <c r="Q203" s="20">
        <f t="shared" si="162"/>
        <v>559.15205854563135</v>
      </c>
      <c r="R203" s="57">
        <f t="shared" si="191"/>
        <v>852.48539187896472</v>
      </c>
      <c r="S203" s="57">
        <f ca="1">AVERAGE(OFFSET($R$3,0,0,'Données projet'!$E$9+1,1))-AVERAGE(OFFSET($H$3,0,0,'Données projet'!$E$9+1,1))</f>
        <v>267.44861001389006</v>
      </c>
      <c r="T203" s="57">
        <f t="shared" si="204"/>
        <v>165.25921510802965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17.310727511692722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17.310727511692722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306.99999999999994</v>
      </c>
      <c r="AJ203" s="13">
        <f>AI203*VLOOKUP('Données projet'!$B$10,Paramètres!$A$1:$I$89,3,0)*VLOOKUP('Données projet'!$B$10,Paramètres!$A$1:$I$89,5,0)</f>
        <v>277.77359999999993</v>
      </c>
      <c r="AK203" s="13">
        <f t="shared" si="164"/>
        <v>66.496288176842356</v>
      </c>
      <c r="AL203" s="20">
        <f t="shared" si="165"/>
        <v>599.60338857466706</v>
      </c>
      <c r="AM203" s="57">
        <f t="shared" si="193"/>
        <v>892.93672190800044</v>
      </c>
      <c r="AN203" s="57">
        <f ca="1">AVERAGE(OFFSET($AM$3,0,0,'Données projet'!$E$10+1,1))-AVERAGE(OFFSET($H$3,0,0,'Données projet'!$E$10+1,1))</f>
        <v>294.92430430387071</v>
      </c>
      <c r="AO203" s="57">
        <f t="shared" si="205"/>
        <v>181.52228471516497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18.593003623669958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18.593003623669958</v>
      </c>
      <c r="AY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319</v>
      </c>
      <c r="BE203" s="13">
        <f>BD203*VLOOKUP('Données projet'!$B$11,Paramètres!$A$1:$I$89,3,0)*VLOOKUP('Données projet'!$B$11,Paramètres!$A$1:$I$89,5,0)</f>
        <v>258.77280000000002</v>
      </c>
      <c r="BF203" s="13">
        <f t="shared" si="167"/>
        <v>62.460716522234691</v>
      </c>
      <c r="BG203" s="20">
        <f t="shared" si="168"/>
        <v>559.48170794289206</v>
      </c>
      <c r="BH203" s="57">
        <f t="shared" si="194"/>
        <v>852.81504127622543</v>
      </c>
      <c r="BI203" s="57">
        <f ca="1">AVERAGE(OFFSET($BH$3,0,0,'Données projet'!$E$11+1,1))-AVERAGE(OFFSET($H$3,0,0,'Données projet'!$E$11+1,1))</f>
        <v>250.90550982248311</v>
      </c>
      <c r="BJ203" s="57">
        <f t="shared" si="206"/>
        <v>254.68874167908001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4.0848411861407108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4.0848411861407108</v>
      </c>
      <c r="BT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739.99999999999966</v>
      </c>
      <c r="BZ203" s="13">
        <f>BY203*VLOOKUP('Données projet'!$B$12,Paramètres!$A$1:$I$89,3,0)*VLOOKUP('Données projet'!$B$12,Paramètres!$A$1:$I$89,5,0)</f>
        <v>413.65999999999985</v>
      </c>
      <c r="CA203" s="13">
        <f t="shared" si="170"/>
        <v>94.540585122244352</v>
      </c>
      <c r="CB203" s="20">
        <f t="shared" si="171"/>
        <v>885.11601908790863</v>
      </c>
      <c r="CC203" s="57">
        <f t="shared" si="195"/>
        <v>1178.4493524212419</v>
      </c>
      <c r="CD203" s="57">
        <f ca="1">AVERAGE(OFFSET($CC$3,0,0,'Données projet'!$E$12+1,1))-AVERAGE(OFFSET($H$3,0,0,'Données projet'!$E$12+1,1))</f>
        <v>462.54745364638171</v>
      </c>
      <c r="CE203" s="57">
        <f t="shared" si="207"/>
        <v>571.50914830067313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7.7185053521609346</v>
      </c>
      <c r="CL203" s="21">
        <f>EXP(-LN(2)/25)*CL202+(1-EXP(-LN(2)/25))/(LN(2)/25)*Calculateur!CG203*Calculateur!CI203*VLOOKUP('Données projet'!$B$12,Paramètres!$A$1:$I$89,3,0)*0.475*44/12</f>
        <v>0.51854445996306275</v>
      </c>
      <c r="CM203" s="21">
        <f>EXP(-LN(2)/2)*CM202+(1-EXP(-LN(2)/2))/(LN(2)/2)*CG203*CJ203*VLOOKUP('Données projet'!$B$12,Paramètres!$A$1:$I$89,3,0)*0.475*44/12</f>
        <v>2.1984479758287993E-26</v>
      </c>
      <c r="CN203" s="22">
        <f t="shared" si="172"/>
        <v>8.2370498121239972</v>
      </c>
      <c r="CO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245.99999999999994</v>
      </c>
      <c r="CU203" s="17">
        <f>CT203*VLOOKUP('Données projet'!$B$13,Paramètres!$A$1:$I$89,3,0)*VLOOKUP('Données projet'!$B$13,Paramètres!$A$1:$I$89,5,0)</f>
        <v>234.09359999999998</v>
      </c>
      <c r="CV203" s="13">
        <f t="shared" si="173"/>
        <v>57.166902703920208</v>
      </c>
      <c r="CW203" s="20">
        <f t="shared" si="174"/>
        <v>507.27870887599425</v>
      </c>
      <c r="CX203" s="57">
        <f t="shared" si="196"/>
        <v>800.61204220932757</v>
      </c>
      <c r="CY203" s="57">
        <f ca="1">AVERAGE(OFFSET($CX$3,0,0,'Données projet'!$E$13+1,1))-AVERAGE(OFFSET($H$3,0,0,'Données projet'!$E$13+1,1))</f>
        <v>314.67680626853303</v>
      </c>
      <c r="CZ203" s="57">
        <f t="shared" si="208"/>
        <v>372.57247561536263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14.484434032702405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14.484434032702405</v>
      </c>
      <c r="DJ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319</v>
      </c>
      <c r="DP203" s="17">
        <f>DO203*VLOOKUP('Données projet'!$B$14,Paramètres!$A$1:$I$89,3,0)*VLOOKUP('Données projet'!$B$14,Paramètres!$A$1:$I$89,5,0)</f>
        <v>209.00879999999998</v>
      </c>
      <c r="DQ203" s="13">
        <f t="shared" si="176"/>
        <v>51.718923953824202</v>
      </c>
      <c r="DR203" s="20">
        <f t="shared" si="177"/>
        <v>454.10078588624373</v>
      </c>
      <c r="DS203" s="57">
        <f t="shared" si="197"/>
        <v>747.43411921957704</v>
      </c>
      <c r="DT203" s="57">
        <f ca="1">AVERAGE(OFFSET($DS$3,0,0,'Données projet'!$E$14+1,1))-AVERAGE(OFFSET($H$3,0,0,'Données projet'!$E$14+1,1))</f>
        <v>188.80259324758066</v>
      </c>
      <c r="DU203" s="57">
        <f t="shared" si="209"/>
        <v>195.48048518255354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3.2992948041905774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3.2992948041905774</v>
      </c>
      <c r="EE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319</v>
      </c>
      <c r="EK203" s="17">
        <f>EJ203*VLOOKUP('Données projet'!$B$15,Paramètres!$A$1:$I$89,3,0)*VLOOKUP('Données projet'!$B$15,Paramètres!$A$1:$I$89,5,0)</f>
        <v>258.77280000000002</v>
      </c>
      <c r="EL203" s="13">
        <f t="shared" si="179"/>
        <v>62.460716522234691</v>
      </c>
      <c r="EM203" s="20">
        <f t="shared" si="180"/>
        <v>559.48170794289206</v>
      </c>
      <c r="EN203" s="57">
        <f t="shared" si="198"/>
        <v>852.81504127622543</v>
      </c>
      <c r="EO203" s="57">
        <f ca="1">AVERAGE(OFFSET($EN$3,0,0,'Données projet'!$E$15+1,1))-AVERAGE(OFFSET($H$3,0,0,'Données projet'!$E$15+1,1))</f>
        <v>250.90550982248311</v>
      </c>
      <c r="EP203" s="57">
        <f t="shared" si="210"/>
        <v>254.68874167908001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4.0848411861407108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4.0848411861407108</v>
      </c>
      <c r="EZ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7" t="e">
        <f t="shared" si="199"/>
        <v>#N/A</v>
      </c>
      <c r="FJ203" s="57" t="e">
        <f ca="1">AVERAGE(OFFSET($FI$3,0,0,'Données projet'!$E$16+1,1))-AVERAGE(OFFSET($H$3,0,0,'Données projet'!$E$16+1,1))</f>
        <v>#N/A</v>
      </c>
      <c r="FK203" s="57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7" t="e">
        <f t="shared" si="200"/>
        <v>#N/A</v>
      </c>
      <c r="GE203" s="57" t="e">
        <f ca="1">AVERAGE(OFFSET($GD$3,0,0,'Données projet'!$E$17+1,1))-AVERAGE(OFFSET($H$3,0,0,'Données projet'!$E$17+1,1))</f>
        <v>#N/A</v>
      </c>
      <c r="GF203" s="57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7" t="e">
        <f t="shared" si="201"/>
        <v>#N/A</v>
      </c>
      <c r="GZ203" s="57" t="e">
        <f ca="1">AVERAGE(OFFSET($GY$3,0,0,'Données projet'!$E$18+1,1))-AVERAGE(OFFSET($H$3,0,0,'Données projet'!$E$18+1,1))</f>
        <v>#N/A</v>
      </c>
      <c r="HA203" s="57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3"/>
      <c r="D204" s="74"/>
      <c r="E204" s="74"/>
      <c r="F204" s="74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3"/>
      <c r="I204" s="73"/>
      <c r="J204" s="73"/>
      <c r="K204" s="81" t="s">
        <v>293</v>
      </c>
      <c r="L204" s="75"/>
      <c r="M204" s="75"/>
      <c r="N204" s="75"/>
      <c r="O204" s="73"/>
      <c r="P204" s="73"/>
      <c r="Q204" s="74"/>
      <c r="R204" s="76"/>
      <c r="S204" s="76"/>
      <c r="T204" s="76"/>
      <c r="U204" s="75"/>
      <c r="V204" s="75"/>
      <c r="W204" s="77"/>
      <c r="X204" s="77"/>
      <c r="Y204" s="77"/>
      <c r="Z204" s="73"/>
      <c r="AA204" s="73"/>
      <c r="AB204" s="73"/>
      <c r="AC204" s="73"/>
      <c r="AD204" s="73"/>
      <c r="AE204" s="73"/>
      <c r="AF204" s="78" t="s">
        <v>293</v>
      </c>
      <c r="BA204" s="78" t="s">
        <v>293</v>
      </c>
      <c r="BV204" s="78" t="s">
        <v>293</v>
      </c>
      <c r="CQ204" s="78" t="s">
        <v>293</v>
      </c>
      <c r="DL204" s="78" t="s">
        <v>293</v>
      </c>
      <c r="EG204" s="78" t="s">
        <v>293</v>
      </c>
      <c r="FB204" s="78" t="s">
        <v>293</v>
      </c>
      <c r="FW204" s="78" t="s">
        <v>293</v>
      </c>
      <c r="GR204" s="78" t="s">
        <v>293</v>
      </c>
    </row>
    <row r="205" spans="1:218" ht="15" thickBot="1" x14ac:dyDescent="0.35">
      <c r="B205" s="10"/>
      <c r="C205" s="73"/>
      <c r="D205" s="74"/>
      <c r="E205" s="74"/>
      <c r="F205" s="74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3"/>
      <c r="I205" s="73"/>
      <c r="J205" s="73"/>
      <c r="K205" s="79">
        <f>EXP(LN('Données projet'!B36)/'Données projet'!A36)</f>
        <v>1.2392705892426346</v>
      </c>
      <c r="L205" s="75"/>
      <c r="M205" s="75"/>
      <c r="N205" s="75"/>
      <c r="O205" s="73"/>
      <c r="P205" s="73"/>
      <c r="Q205" s="74"/>
      <c r="R205" s="76"/>
      <c r="S205" s="76"/>
      <c r="T205" s="76"/>
      <c r="U205" s="75"/>
      <c r="V205" s="75"/>
      <c r="W205" s="77"/>
      <c r="X205" s="77"/>
      <c r="Y205" s="77"/>
      <c r="Z205" s="73"/>
      <c r="AA205" s="73"/>
      <c r="AB205" s="73"/>
      <c r="AC205" s="73"/>
      <c r="AD205" s="73"/>
      <c r="AE205" s="73"/>
      <c r="AF205" s="80">
        <f>EXP(LN('Données projet'!B62)/'Données projet'!A62)</f>
        <v>1.2392705892426346</v>
      </c>
      <c r="BA205" s="79">
        <f>EXP(LN('Données projet'!B88)/'Données projet'!A88)</f>
        <v>1.2709816152101407</v>
      </c>
      <c r="BV205" s="79">
        <f>EXP(LN('Données projet'!B114)/'Données projet'!A114)</f>
        <v>1.4037863041747067</v>
      </c>
      <c r="CQ205" s="79">
        <f>EXP(LN('Données projet'!B140)/'Données projet'!A140)</f>
        <v>1.522675921848786</v>
      </c>
      <c r="DL205" s="79">
        <f>EXP(LN('Données projet'!B166)/'Données projet'!A166)</f>
        <v>1.2709816152101407</v>
      </c>
      <c r="EG205" s="79">
        <f>EXP(LN('Données projet'!B192)/'Données projet'!A192)</f>
        <v>1.2709816152101407</v>
      </c>
      <c r="FB205" s="79" t="e">
        <f>EXP(LN('Données projet'!B218)/'Données projet'!A218)</f>
        <v>#NUM!</v>
      </c>
      <c r="FW205" s="79" t="e">
        <f>EXP(LN('Données projet'!B244)/'Données projet'!A244)</f>
        <v>#NUM!</v>
      </c>
      <c r="GR205" s="79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6" t="s">
        <v>0</v>
      </c>
      <c r="B1" s="107" t="s">
        <v>106</v>
      </c>
      <c r="C1" s="108" t="s">
        <v>144</v>
      </c>
      <c r="D1" s="107" t="s">
        <v>100</v>
      </c>
      <c r="E1" s="108" t="s">
        <v>145</v>
      </c>
      <c r="F1" s="108" t="s">
        <v>100</v>
      </c>
      <c r="G1" s="108" t="s">
        <v>146</v>
      </c>
      <c r="H1" s="108" t="s">
        <v>100</v>
      </c>
      <c r="I1" s="109" t="s">
        <v>147</v>
      </c>
      <c r="J1" s="75"/>
      <c r="K1" s="75"/>
      <c r="L1" s="75"/>
      <c r="M1" s="75"/>
      <c r="N1" s="75"/>
    </row>
    <row r="2" spans="1:16" x14ac:dyDescent="0.3">
      <c r="A2" s="110" t="s">
        <v>1</v>
      </c>
      <c r="B2" s="111" t="s">
        <v>53</v>
      </c>
      <c r="C2" s="112">
        <v>0.62</v>
      </c>
      <c r="D2" s="112" t="s">
        <v>161</v>
      </c>
      <c r="E2" s="112">
        <v>1.56</v>
      </c>
      <c r="F2" s="112" t="s">
        <v>274</v>
      </c>
      <c r="G2" s="113">
        <v>0.43</v>
      </c>
      <c r="H2" s="114" t="s">
        <v>278</v>
      </c>
      <c r="I2" s="115">
        <v>0.25</v>
      </c>
      <c r="J2" s="75"/>
      <c r="K2" s="75"/>
      <c r="L2" s="75"/>
      <c r="M2" s="75"/>
      <c r="N2" s="75"/>
      <c r="O2" s="286" t="s">
        <v>238</v>
      </c>
      <c r="P2" s="116">
        <v>0</v>
      </c>
    </row>
    <row r="3" spans="1:16" ht="15" thickBot="1" x14ac:dyDescent="0.35">
      <c r="A3" s="117" t="s">
        <v>2</v>
      </c>
      <c r="B3" s="118" t="s">
        <v>54</v>
      </c>
      <c r="C3" s="119">
        <v>0.64</v>
      </c>
      <c r="D3" s="119" t="s">
        <v>161</v>
      </c>
      <c r="E3" s="119">
        <v>1.56</v>
      </c>
      <c r="F3" s="120" t="s">
        <v>274</v>
      </c>
      <c r="G3" s="121">
        <v>0.43</v>
      </c>
      <c r="H3" s="119" t="s">
        <v>278</v>
      </c>
      <c r="I3" s="122">
        <v>0.25</v>
      </c>
      <c r="J3" s="75"/>
      <c r="K3" s="75"/>
      <c r="L3" s="75"/>
      <c r="M3" s="75"/>
      <c r="N3" s="75"/>
      <c r="O3" s="287"/>
      <c r="P3" s="123">
        <v>0.2</v>
      </c>
    </row>
    <row r="4" spans="1:16" ht="15" thickBot="1" x14ac:dyDescent="0.35">
      <c r="A4" s="117" t="s">
        <v>98</v>
      </c>
      <c r="B4" s="118" t="s">
        <v>99</v>
      </c>
      <c r="C4" s="119">
        <v>0.42</v>
      </c>
      <c r="D4" s="119" t="s">
        <v>161</v>
      </c>
      <c r="E4" s="119">
        <v>1.56</v>
      </c>
      <c r="F4" s="120" t="s">
        <v>274</v>
      </c>
      <c r="G4" s="121">
        <v>0.43</v>
      </c>
      <c r="H4" s="119" t="s">
        <v>278</v>
      </c>
      <c r="I4" s="122">
        <v>0.25</v>
      </c>
      <c r="J4" s="75"/>
      <c r="K4" s="75"/>
      <c r="L4" s="75"/>
      <c r="M4" s="75"/>
      <c r="N4" s="75"/>
    </row>
    <row r="5" spans="1:16" x14ac:dyDescent="0.3">
      <c r="A5" s="117" t="s">
        <v>4</v>
      </c>
      <c r="B5" s="118" t="s">
        <v>55</v>
      </c>
      <c r="C5" s="119">
        <v>0.42</v>
      </c>
      <c r="D5" s="119" t="s">
        <v>161</v>
      </c>
      <c r="E5" s="119">
        <v>1.56</v>
      </c>
      <c r="F5" s="120" t="s">
        <v>274</v>
      </c>
      <c r="G5" s="121">
        <v>0.43</v>
      </c>
      <c r="H5" s="119" t="s">
        <v>278</v>
      </c>
      <c r="I5" s="122">
        <v>0.25</v>
      </c>
      <c r="J5" s="75"/>
      <c r="K5" s="75"/>
      <c r="L5" s="75"/>
      <c r="M5" s="75"/>
      <c r="N5" s="75"/>
      <c r="O5" s="286" t="s">
        <v>237</v>
      </c>
      <c r="P5" s="116">
        <v>0</v>
      </c>
    </row>
    <row r="6" spans="1:16" x14ac:dyDescent="0.3">
      <c r="A6" s="117" t="s">
        <v>3</v>
      </c>
      <c r="B6" s="118" t="s">
        <v>97</v>
      </c>
      <c r="C6" s="119">
        <v>0.42</v>
      </c>
      <c r="D6" s="119" t="s">
        <v>161</v>
      </c>
      <c r="E6" s="119">
        <v>1.56</v>
      </c>
      <c r="F6" s="120" t="s">
        <v>274</v>
      </c>
      <c r="G6" s="121">
        <v>0.43</v>
      </c>
      <c r="H6" s="119" t="s">
        <v>278</v>
      </c>
      <c r="I6" s="122">
        <v>0.25</v>
      </c>
      <c r="J6" s="75"/>
      <c r="K6" s="75"/>
      <c r="L6" s="75"/>
      <c r="M6" s="75"/>
      <c r="N6" s="75"/>
      <c r="O6" s="288"/>
      <c r="P6" s="124">
        <v>0.05</v>
      </c>
    </row>
    <row r="7" spans="1:16" x14ac:dyDescent="0.3">
      <c r="A7" s="117" t="s">
        <v>5</v>
      </c>
      <c r="B7" s="118" t="s">
        <v>56</v>
      </c>
      <c r="C7" s="119">
        <v>0.52</v>
      </c>
      <c r="D7" s="119" t="s">
        <v>161</v>
      </c>
      <c r="E7" s="119">
        <v>1.56</v>
      </c>
      <c r="F7" s="120" t="s">
        <v>274</v>
      </c>
      <c r="G7" s="121">
        <v>0.43</v>
      </c>
      <c r="H7" s="119" t="s">
        <v>278</v>
      </c>
      <c r="I7" s="122">
        <v>0.25</v>
      </c>
      <c r="J7" s="75"/>
      <c r="K7" s="75"/>
      <c r="L7" s="75"/>
      <c r="M7" s="75"/>
      <c r="N7" s="75"/>
      <c r="O7" s="288"/>
      <c r="P7" s="124">
        <v>0.1</v>
      </c>
    </row>
    <row r="8" spans="1:16" ht="15" thickBot="1" x14ac:dyDescent="0.35">
      <c r="A8" s="117" t="s">
        <v>164</v>
      </c>
      <c r="B8" s="118" t="s">
        <v>57</v>
      </c>
      <c r="C8" s="119">
        <v>0.36</v>
      </c>
      <c r="D8" s="119" t="s">
        <v>161</v>
      </c>
      <c r="E8" s="119">
        <v>1.3</v>
      </c>
      <c r="F8" s="120" t="s">
        <v>274</v>
      </c>
      <c r="G8" s="121">
        <v>0.55000000000000004</v>
      </c>
      <c r="H8" s="119" t="s">
        <v>153</v>
      </c>
      <c r="I8" s="122">
        <v>0.43</v>
      </c>
      <c r="J8" s="75"/>
      <c r="K8" s="75"/>
      <c r="L8" s="75"/>
      <c r="M8" s="75"/>
      <c r="N8" s="75"/>
      <c r="O8" s="287"/>
      <c r="P8" s="123">
        <v>0.15</v>
      </c>
    </row>
    <row r="9" spans="1:16" ht="15" thickBot="1" x14ac:dyDescent="0.35">
      <c r="A9" s="117" t="s">
        <v>6</v>
      </c>
      <c r="B9" s="118" t="s">
        <v>58</v>
      </c>
      <c r="C9" s="119">
        <v>0.61</v>
      </c>
      <c r="D9" s="119" t="s">
        <v>161</v>
      </c>
      <c r="E9" s="119">
        <v>1.56</v>
      </c>
      <c r="F9" s="120" t="s">
        <v>274</v>
      </c>
      <c r="G9" s="121">
        <v>0.43</v>
      </c>
      <c r="H9" s="119" t="s">
        <v>278</v>
      </c>
      <c r="I9" s="122">
        <v>0.25</v>
      </c>
      <c r="J9" s="75"/>
      <c r="K9" s="75"/>
      <c r="L9" s="75"/>
      <c r="M9" s="75"/>
      <c r="N9" s="75"/>
    </row>
    <row r="10" spans="1:16" x14ac:dyDescent="0.3">
      <c r="A10" s="117" t="s">
        <v>7</v>
      </c>
      <c r="B10" s="118" t="s">
        <v>59</v>
      </c>
      <c r="C10" s="119">
        <v>0.66</v>
      </c>
      <c r="D10" s="119" t="s">
        <v>161</v>
      </c>
      <c r="E10" s="119">
        <v>1.56</v>
      </c>
      <c r="F10" s="120" t="s">
        <v>274</v>
      </c>
      <c r="G10" s="121">
        <v>0.43</v>
      </c>
      <c r="H10" s="119" t="s">
        <v>278</v>
      </c>
      <c r="I10" s="122">
        <v>0.25</v>
      </c>
      <c r="J10" s="75"/>
      <c r="K10" s="75"/>
      <c r="L10" s="75"/>
      <c r="M10" s="75"/>
      <c r="N10" s="75"/>
      <c r="O10" s="286" t="s">
        <v>236</v>
      </c>
      <c r="P10" s="116">
        <v>0</v>
      </c>
    </row>
    <row r="11" spans="1:16" ht="15" thickBot="1" x14ac:dyDescent="0.35">
      <c r="A11" s="117" t="s">
        <v>8</v>
      </c>
      <c r="B11" s="118" t="s">
        <v>60</v>
      </c>
      <c r="C11" s="119">
        <v>0.47</v>
      </c>
      <c r="D11" s="119" t="s">
        <v>161</v>
      </c>
      <c r="E11" s="119">
        <v>1.56</v>
      </c>
      <c r="F11" s="120" t="s">
        <v>274</v>
      </c>
      <c r="G11" s="121">
        <v>0.43</v>
      </c>
      <c r="H11" s="119" t="s">
        <v>278</v>
      </c>
      <c r="I11" s="122">
        <v>0.25</v>
      </c>
      <c r="J11" s="75"/>
      <c r="K11" s="75"/>
      <c r="L11" s="75"/>
      <c r="M11" s="75"/>
      <c r="N11" s="75"/>
      <c r="O11" s="287"/>
      <c r="P11" s="123">
        <v>0.1</v>
      </c>
    </row>
    <row r="12" spans="1:16" x14ac:dyDescent="0.3">
      <c r="A12" s="117" t="s">
        <v>9</v>
      </c>
      <c r="B12" s="118" t="s">
        <v>61</v>
      </c>
      <c r="C12" s="119">
        <v>0.67</v>
      </c>
      <c r="D12" s="119" t="s">
        <v>161</v>
      </c>
      <c r="E12" s="119">
        <v>1.56</v>
      </c>
      <c r="F12" s="120" t="s">
        <v>274</v>
      </c>
      <c r="G12" s="121">
        <v>0.43</v>
      </c>
      <c r="H12" s="119" t="s">
        <v>152</v>
      </c>
      <c r="I12" s="122">
        <v>0.25</v>
      </c>
      <c r="J12" s="75"/>
      <c r="K12" s="75"/>
      <c r="L12" s="75"/>
      <c r="M12" s="75"/>
      <c r="N12" s="75"/>
    </row>
    <row r="13" spans="1:16" x14ac:dyDescent="0.3">
      <c r="A13" s="117" t="s">
        <v>10</v>
      </c>
      <c r="B13" s="118" t="s">
        <v>62</v>
      </c>
      <c r="C13" s="119">
        <v>0.7</v>
      </c>
      <c r="D13" s="119" t="s">
        <v>161</v>
      </c>
      <c r="E13" s="119">
        <v>1.56</v>
      </c>
      <c r="F13" s="120" t="s">
        <v>274</v>
      </c>
      <c r="G13" s="121">
        <v>0.43</v>
      </c>
      <c r="H13" s="119" t="s">
        <v>152</v>
      </c>
      <c r="I13" s="122">
        <v>0.25</v>
      </c>
      <c r="J13" s="75"/>
      <c r="K13" s="75"/>
      <c r="L13" s="75"/>
      <c r="M13" s="75"/>
      <c r="N13" s="75"/>
    </row>
    <row r="14" spans="1:16" x14ac:dyDescent="0.3">
      <c r="A14" s="117" t="s">
        <v>11</v>
      </c>
      <c r="B14" s="118" t="s">
        <v>63</v>
      </c>
      <c r="C14" s="119">
        <v>0.54</v>
      </c>
      <c r="D14" s="119" t="s">
        <v>161</v>
      </c>
      <c r="E14" s="119">
        <v>1.56</v>
      </c>
      <c r="F14" s="120" t="s">
        <v>274</v>
      </c>
      <c r="G14" s="121">
        <v>0.43</v>
      </c>
      <c r="H14" s="119" t="s">
        <v>152</v>
      </c>
      <c r="I14" s="122">
        <v>0.25</v>
      </c>
      <c r="J14" s="75"/>
      <c r="K14" s="75"/>
      <c r="L14" s="75"/>
      <c r="M14" s="75"/>
      <c r="N14" s="75"/>
    </row>
    <row r="15" spans="1:16" x14ac:dyDescent="0.3">
      <c r="A15" s="117" t="s">
        <v>12</v>
      </c>
      <c r="B15" s="118" t="s">
        <v>64</v>
      </c>
      <c r="C15" s="119">
        <v>0.65</v>
      </c>
      <c r="D15" s="119" t="s">
        <v>161</v>
      </c>
      <c r="E15" s="119">
        <v>1.56</v>
      </c>
      <c r="F15" s="120" t="s">
        <v>274</v>
      </c>
      <c r="G15" s="121">
        <v>0.43</v>
      </c>
      <c r="H15" s="119" t="s">
        <v>152</v>
      </c>
      <c r="I15" s="122">
        <v>0.25</v>
      </c>
      <c r="J15" s="75"/>
      <c r="K15" s="75"/>
      <c r="L15" s="75"/>
      <c r="M15" s="75"/>
      <c r="N15" s="75"/>
    </row>
    <row r="16" spans="1:16" x14ac:dyDescent="0.3">
      <c r="A16" s="117" t="s">
        <v>13</v>
      </c>
      <c r="B16" s="118" t="s">
        <v>65</v>
      </c>
      <c r="C16" s="119">
        <v>0.56000000000000005</v>
      </c>
      <c r="D16" s="119" t="s">
        <v>161</v>
      </c>
      <c r="E16" s="119">
        <v>1.56</v>
      </c>
      <c r="F16" s="120" t="s">
        <v>274</v>
      </c>
      <c r="G16" s="121">
        <v>0.43</v>
      </c>
      <c r="H16" s="119" t="s">
        <v>152</v>
      </c>
      <c r="I16" s="122">
        <v>0.25</v>
      </c>
      <c r="J16" s="75"/>
      <c r="K16" s="75"/>
      <c r="L16" s="75"/>
      <c r="M16" s="75"/>
      <c r="N16" s="75"/>
    </row>
    <row r="17" spans="1:14" x14ac:dyDescent="0.3">
      <c r="A17" s="117" t="s">
        <v>14</v>
      </c>
      <c r="B17" s="118" t="s">
        <v>66</v>
      </c>
      <c r="C17" s="119">
        <v>0.57999999999999996</v>
      </c>
      <c r="D17" s="119" t="s">
        <v>161</v>
      </c>
      <c r="E17" s="119">
        <v>1.56</v>
      </c>
      <c r="F17" s="120" t="s">
        <v>274</v>
      </c>
      <c r="G17" s="121">
        <v>0.43</v>
      </c>
      <c r="H17" s="119" t="s">
        <v>152</v>
      </c>
      <c r="I17" s="122">
        <v>0.25</v>
      </c>
      <c r="J17" s="75"/>
      <c r="K17" s="75"/>
      <c r="L17" s="75"/>
      <c r="M17" s="75"/>
      <c r="N17" s="75"/>
    </row>
    <row r="18" spans="1:14" x14ac:dyDescent="0.3">
      <c r="A18" s="117" t="s">
        <v>15</v>
      </c>
      <c r="B18" s="118" t="s">
        <v>67</v>
      </c>
      <c r="C18" s="119">
        <v>0.64</v>
      </c>
      <c r="D18" s="119" t="s">
        <v>161</v>
      </c>
      <c r="E18" s="119">
        <v>1.56</v>
      </c>
      <c r="F18" s="120" t="s">
        <v>274</v>
      </c>
      <c r="G18" s="121">
        <v>0.43</v>
      </c>
      <c r="H18" s="119" t="s">
        <v>152</v>
      </c>
      <c r="I18" s="122">
        <v>0.25</v>
      </c>
      <c r="J18" s="75"/>
      <c r="K18" s="75"/>
      <c r="L18" s="75"/>
      <c r="M18" s="75"/>
      <c r="N18" s="75"/>
    </row>
    <row r="19" spans="1:14" x14ac:dyDescent="0.3">
      <c r="A19" s="117" t="s">
        <v>16</v>
      </c>
      <c r="B19" s="118" t="s">
        <v>68</v>
      </c>
      <c r="C19" s="119">
        <v>0.73</v>
      </c>
      <c r="D19" s="119" t="s">
        <v>161</v>
      </c>
      <c r="E19" s="119">
        <v>1.56</v>
      </c>
      <c r="F19" s="120" t="s">
        <v>274</v>
      </c>
      <c r="G19" s="121">
        <v>0.43</v>
      </c>
      <c r="H19" s="119" t="s">
        <v>152</v>
      </c>
      <c r="I19" s="122">
        <v>0.25</v>
      </c>
      <c r="J19" s="75"/>
      <c r="K19" s="75"/>
      <c r="L19" s="75"/>
      <c r="M19" s="75"/>
      <c r="N19" s="75"/>
    </row>
    <row r="20" spans="1:14" x14ac:dyDescent="0.3">
      <c r="A20" s="117" t="s">
        <v>52</v>
      </c>
      <c r="B20" s="118" t="s">
        <v>69</v>
      </c>
      <c r="C20" s="119">
        <v>0.69</v>
      </c>
      <c r="D20" s="119" t="s">
        <v>131</v>
      </c>
      <c r="E20" s="119">
        <v>1.56</v>
      </c>
      <c r="F20" s="120" t="s">
        <v>274</v>
      </c>
      <c r="G20" s="121">
        <v>0.43</v>
      </c>
      <c r="H20" s="119" t="s">
        <v>282</v>
      </c>
      <c r="I20" s="122">
        <v>0.25</v>
      </c>
      <c r="J20" s="75"/>
      <c r="K20" s="75"/>
      <c r="L20" s="75"/>
      <c r="M20" s="75"/>
      <c r="N20" s="75"/>
    </row>
    <row r="21" spans="1:14" x14ac:dyDescent="0.3">
      <c r="A21" s="117" t="s">
        <v>154</v>
      </c>
      <c r="B21" s="118" t="s">
        <v>155</v>
      </c>
      <c r="C21" s="119">
        <v>0.36</v>
      </c>
      <c r="D21" s="119" t="s">
        <v>161</v>
      </c>
      <c r="E21" s="119">
        <v>1.3</v>
      </c>
      <c r="F21" s="120" t="s">
        <v>274</v>
      </c>
      <c r="G21" s="121">
        <v>0.55000000000000004</v>
      </c>
      <c r="H21" s="119" t="s">
        <v>153</v>
      </c>
      <c r="I21" s="122">
        <v>0.43</v>
      </c>
      <c r="J21" s="75"/>
      <c r="K21" s="75"/>
      <c r="L21" s="75"/>
      <c r="M21" s="75"/>
      <c r="N21" s="75"/>
    </row>
    <row r="22" spans="1:14" x14ac:dyDescent="0.3">
      <c r="A22" s="117" t="s">
        <v>17</v>
      </c>
      <c r="B22" s="118" t="s">
        <v>70</v>
      </c>
      <c r="C22" s="119">
        <v>0.4</v>
      </c>
      <c r="D22" s="119" t="s">
        <v>161</v>
      </c>
      <c r="E22" s="119">
        <v>1.3</v>
      </c>
      <c r="F22" s="120" t="s">
        <v>274</v>
      </c>
      <c r="G22" s="121">
        <v>0.55000000000000004</v>
      </c>
      <c r="H22" s="119" t="s">
        <v>153</v>
      </c>
      <c r="I22" s="122">
        <v>0.43</v>
      </c>
      <c r="J22" s="75"/>
      <c r="K22" s="75"/>
      <c r="L22" s="75"/>
      <c r="M22" s="75"/>
      <c r="N22" s="75"/>
    </row>
    <row r="23" spans="1:14" x14ac:dyDescent="0.3">
      <c r="A23" s="117" t="s">
        <v>18</v>
      </c>
      <c r="B23" s="118" t="s">
        <v>71</v>
      </c>
      <c r="C23" s="119">
        <v>0.43</v>
      </c>
      <c r="D23" s="119" t="s">
        <v>161</v>
      </c>
      <c r="E23" s="119">
        <v>1.3</v>
      </c>
      <c r="F23" s="120" t="s">
        <v>274</v>
      </c>
      <c r="G23" s="121">
        <v>0.55000000000000004</v>
      </c>
      <c r="H23" s="119" t="s">
        <v>153</v>
      </c>
      <c r="I23" s="122">
        <v>0.43</v>
      </c>
      <c r="J23" s="75"/>
      <c r="K23" s="75"/>
      <c r="L23" s="75"/>
      <c r="M23" s="75"/>
      <c r="N23" s="75"/>
    </row>
    <row r="24" spans="1:14" x14ac:dyDescent="0.3">
      <c r="A24" s="117" t="s">
        <v>19</v>
      </c>
      <c r="B24" s="118" t="s">
        <v>72</v>
      </c>
      <c r="C24" s="119">
        <v>0.37</v>
      </c>
      <c r="D24" s="119" t="s">
        <v>161</v>
      </c>
      <c r="E24" s="119">
        <v>1.3</v>
      </c>
      <c r="F24" s="120" t="s">
        <v>274</v>
      </c>
      <c r="G24" s="121">
        <v>0.55000000000000004</v>
      </c>
      <c r="H24" s="119" t="s">
        <v>152</v>
      </c>
      <c r="I24" s="122">
        <v>0.43</v>
      </c>
      <c r="J24" s="75"/>
      <c r="K24" s="75"/>
      <c r="L24" s="75"/>
      <c r="M24" s="75"/>
      <c r="N24" s="75"/>
    </row>
    <row r="25" spans="1:14" x14ac:dyDescent="0.3">
      <c r="A25" s="117" t="s">
        <v>20</v>
      </c>
      <c r="B25" s="118" t="s">
        <v>73</v>
      </c>
      <c r="C25" s="119">
        <v>0.36</v>
      </c>
      <c r="D25" s="119" t="s">
        <v>161</v>
      </c>
      <c r="E25" s="119">
        <v>1.3</v>
      </c>
      <c r="F25" s="120" t="s">
        <v>274</v>
      </c>
      <c r="G25" s="121">
        <v>0.55000000000000004</v>
      </c>
      <c r="H25" s="119" t="s">
        <v>152</v>
      </c>
      <c r="I25" s="122">
        <v>0.43</v>
      </c>
      <c r="J25" s="75"/>
      <c r="K25" s="75"/>
      <c r="L25" s="75"/>
      <c r="M25" s="75"/>
      <c r="N25" s="75"/>
    </row>
    <row r="26" spans="1:14" x14ac:dyDescent="0.3">
      <c r="A26" s="117" t="s">
        <v>21</v>
      </c>
      <c r="B26" s="118" t="s">
        <v>74</v>
      </c>
      <c r="C26" s="119">
        <v>0.56000000000000005</v>
      </c>
      <c r="D26" s="119" t="s">
        <v>161</v>
      </c>
      <c r="E26" s="119">
        <v>1.56</v>
      </c>
      <c r="F26" s="120" t="s">
        <v>274</v>
      </c>
      <c r="G26" s="121">
        <v>0.53</v>
      </c>
      <c r="H26" s="119" t="s">
        <v>275</v>
      </c>
      <c r="I26" s="122">
        <v>0.25</v>
      </c>
      <c r="J26" s="75"/>
      <c r="K26" s="75"/>
      <c r="L26" s="75"/>
      <c r="M26" s="75"/>
      <c r="N26" s="75"/>
    </row>
    <row r="27" spans="1:14" x14ac:dyDescent="0.3">
      <c r="A27" s="117" t="s">
        <v>22</v>
      </c>
      <c r="B27" s="118" t="s">
        <v>75</v>
      </c>
      <c r="C27" s="119">
        <v>0.51</v>
      </c>
      <c r="D27" s="119" t="s">
        <v>161</v>
      </c>
      <c r="E27" s="119">
        <v>1.56</v>
      </c>
      <c r="F27" s="120" t="s">
        <v>274</v>
      </c>
      <c r="G27" s="121">
        <v>0.53</v>
      </c>
      <c r="H27" s="119" t="s">
        <v>275</v>
      </c>
      <c r="I27" s="122">
        <v>0.25</v>
      </c>
      <c r="J27" s="75"/>
      <c r="K27" s="75"/>
      <c r="L27" s="75"/>
      <c r="M27" s="75"/>
      <c r="N27" s="75"/>
    </row>
    <row r="28" spans="1:14" x14ac:dyDescent="0.3">
      <c r="A28" s="117" t="s">
        <v>23</v>
      </c>
      <c r="B28" s="118" t="s">
        <v>76</v>
      </c>
      <c r="C28" s="119">
        <v>0.51</v>
      </c>
      <c r="D28" s="119" t="s">
        <v>161</v>
      </c>
      <c r="E28" s="119">
        <v>1.56</v>
      </c>
      <c r="F28" s="120" t="s">
        <v>274</v>
      </c>
      <c r="G28" s="121">
        <v>0.53</v>
      </c>
      <c r="H28" s="119" t="s">
        <v>275</v>
      </c>
      <c r="I28" s="122">
        <v>0.25</v>
      </c>
      <c r="J28" s="75"/>
      <c r="K28" s="75"/>
      <c r="L28" s="75"/>
      <c r="M28" s="75"/>
      <c r="N28" s="75"/>
    </row>
    <row r="29" spans="1:14" x14ac:dyDescent="0.3">
      <c r="A29" s="117" t="s">
        <v>24</v>
      </c>
      <c r="B29" s="118" t="s">
        <v>24</v>
      </c>
      <c r="C29" s="119">
        <v>0.56000000000000005</v>
      </c>
      <c r="D29" s="119" t="s">
        <v>161</v>
      </c>
      <c r="E29" s="119">
        <v>1.56</v>
      </c>
      <c r="F29" s="120" t="s">
        <v>274</v>
      </c>
      <c r="G29" s="121">
        <v>0.53</v>
      </c>
      <c r="H29" s="119" t="s">
        <v>275</v>
      </c>
      <c r="I29" s="122">
        <v>0.25</v>
      </c>
      <c r="J29" s="75"/>
      <c r="K29" s="75"/>
      <c r="L29" s="75"/>
      <c r="M29" s="75"/>
      <c r="N29" s="75"/>
    </row>
    <row r="30" spans="1:14" x14ac:dyDescent="0.3">
      <c r="A30" s="117" t="s">
        <v>25</v>
      </c>
      <c r="B30" s="118" t="s">
        <v>77</v>
      </c>
      <c r="C30" s="119">
        <v>0.55000000000000004</v>
      </c>
      <c r="D30" s="119" t="s">
        <v>161</v>
      </c>
      <c r="E30" s="119">
        <v>1.56</v>
      </c>
      <c r="F30" s="120" t="s">
        <v>274</v>
      </c>
      <c r="G30" s="121">
        <v>0.53</v>
      </c>
      <c r="H30" s="119" t="s">
        <v>152</v>
      </c>
      <c r="I30" s="122">
        <v>0.25</v>
      </c>
      <c r="J30" s="75"/>
      <c r="K30" s="75"/>
      <c r="L30" s="75"/>
      <c r="M30" s="75"/>
      <c r="N30" s="75"/>
    </row>
    <row r="31" spans="1:14" x14ac:dyDescent="0.3">
      <c r="A31" s="117" t="s">
        <v>26</v>
      </c>
      <c r="B31" s="118" t="s">
        <v>78</v>
      </c>
      <c r="C31" s="119">
        <v>0.56000000000000005</v>
      </c>
      <c r="D31" s="119" t="s">
        <v>161</v>
      </c>
      <c r="E31" s="119">
        <v>1.56</v>
      </c>
      <c r="F31" s="120" t="s">
        <v>274</v>
      </c>
      <c r="G31" s="121">
        <v>0.43</v>
      </c>
      <c r="H31" s="119" t="s">
        <v>278</v>
      </c>
      <c r="I31" s="122">
        <v>0.25</v>
      </c>
      <c r="J31" s="75"/>
      <c r="K31" s="75"/>
      <c r="L31" s="75"/>
      <c r="M31" s="75"/>
      <c r="N31" s="75"/>
    </row>
    <row r="32" spans="1:14" x14ac:dyDescent="0.3">
      <c r="A32" s="117" t="s">
        <v>27</v>
      </c>
      <c r="B32" s="118" t="s">
        <v>79</v>
      </c>
      <c r="C32" s="119">
        <v>0.48</v>
      </c>
      <c r="D32" s="119" t="s">
        <v>161</v>
      </c>
      <c r="E32" s="119">
        <v>1.3</v>
      </c>
      <c r="F32" s="120" t="s">
        <v>274</v>
      </c>
      <c r="G32" s="121">
        <v>0.6</v>
      </c>
      <c r="H32" s="119" t="s">
        <v>281</v>
      </c>
      <c r="I32" s="122">
        <v>0.43</v>
      </c>
      <c r="J32" s="75"/>
      <c r="K32" s="75"/>
      <c r="L32" s="75"/>
      <c r="M32" s="75"/>
      <c r="N32" s="75"/>
    </row>
    <row r="33" spans="1:14" x14ac:dyDescent="0.3">
      <c r="A33" s="117" t="s">
        <v>28</v>
      </c>
      <c r="B33" s="118" t="s">
        <v>80</v>
      </c>
      <c r="C33" s="119">
        <v>0.42</v>
      </c>
      <c r="D33" s="119" t="s">
        <v>161</v>
      </c>
      <c r="E33" s="119">
        <v>1.3</v>
      </c>
      <c r="F33" s="120" t="s">
        <v>274</v>
      </c>
      <c r="G33" s="121">
        <v>0.6</v>
      </c>
      <c r="H33" s="119" t="s">
        <v>281</v>
      </c>
      <c r="I33" s="122">
        <v>0.43</v>
      </c>
      <c r="J33" s="75"/>
      <c r="K33" s="75"/>
      <c r="L33" s="75"/>
      <c r="M33" s="75"/>
      <c r="N33" s="75"/>
    </row>
    <row r="34" spans="1:14" x14ac:dyDescent="0.3">
      <c r="A34" s="117" t="s">
        <v>81</v>
      </c>
      <c r="B34" s="118" t="s">
        <v>163</v>
      </c>
      <c r="C34" s="119">
        <v>0.42</v>
      </c>
      <c r="D34" s="119" t="s">
        <v>103</v>
      </c>
      <c r="E34" s="119">
        <v>1.3</v>
      </c>
      <c r="F34" s="120" t="s">
        <v>274</v>
      </c>
      <c r="G34" s="121">
        <v>0.6</v>
      </c>
      <c r="H34" s="118" t="s">
        <v>280</v>
      </c>
      <c r="I34" s="122">
        <v>0.43</v>
      </c>
      <c r="J34" s="75"/>
      <c r="K34" s="75"/>
      <c r="L34" s="75"/>
      <c r="M34" s="75"/>
      <c r="N34" s="75"/>
    </row>
    <row r="35" spans="1:14" x14ac:dyDescent="0.3">
      <c r="A35" s="117" t="s">
        <v>29</v>
      </c>
      <c r="B35" s="118" t="s">
        <v>82</v>
      </c>
      <c r="C35" s="119">
        <v>0.5</v>
      </c>
      <c r="D35" s="119" t="s">
        <v>161</v>
      </c>
      <c r="E35" s="119">
        <v>1.56</v>
      </c>
      <c r="F35" s="120" t="s">
        <v>274</v>
      </c>
      <c r="G35" s="121">
        <v>0.43</v>
      </c>
      <c r="H35" s="119" t="s">
        <v>278</v>
      </c>
      <c r="I35" s="122">
        <v>0.25</v>
      </c>
      <c r="J35" s="75"/>
      <c r="K35" s="75"/>
      <c r="L35" s="75"/>
      <c r="M35" s="75"/>
      <c r="N35" s="75"/>
    </row>
    <row r="36" spans="1:14" x14ac:dyDescent="0.3">
      <c r="A36" s="117" t="s">
        <v>102</v>
      </c>
      <c r="B36" s="118" t="s">
        <v>101</v>
      </c>
      <c r="C36" s="119">
        <v>0.55000000000000004</v>
      </c>
      <c r="D36" s="119" t="s">
        <v>161</v>
      </c>
      <c r="E36" s="119">
        <v>1.56</v>
      </c>
      <c r="F36" s="120" t="s">
        <v>274</v>
      </c>
      <c r="G36" s="121">
        <v>0.53</v>
      </c>
      <c r="H36" s="119" t="s">
        <v>275</v>
      </c>
      <c r="I36" s="122">
        <v>0.25</v>
      </c>
      <c r="J36" s="75"/>
      <c r="K36" s="75"/>
      <c r="L36" s="75"/>
      <c r="M36" s="75"/>
      <c r="N36" s="75"/>
    </row>
    <row r="37" spans="1:14" x14ac:dyDescent="0.3">
      <c r="A37" s="117" t="s">
        <v>30</v>
      </c>
      <c r="B37" s="118" t="s">
        <v>104</v>
      </c>
      <c r="C37" s="119">
        <v>0.52</v>
      </c>
      <c r="D37" s="119" t="s">
        <v>161</v>
      </c>
      <c r="E37" s="119">
        <v>1.56</v>
      </c>
      <c r="F37" s="120" t="s">
        <v>274</v>
      </c>
      <c r="G37" s="121">
        <v>0.53</v>
      </c>
      <c r="H37" s="119" t="s">
        <v>275</v>
      </c>
      <c r="I37" s="122">
        <v>0.25</v>
      </c>
      <c r="J37" s="75"/>
      <c r="K37" s="75"/>
      <c r="L37" s="75"/>
      <c r="M37" s="75"/>
      <c r="N37" s="75"/>
    </row>
    <row r="38" spans="1:14" x14ac:dyDescent="0.3">
      <c r="A38" s="117" t="s">
        <v>31</v>
      </c>
      <c r="B38" s="118" t="s">
        <v>105</v>
      </c>
      <c r="C38" s="119">
        <v>0.52</v>
      </c>
      <c r="D38" s="119" t="s">
        <v>161</v>
      </c>
      <c r="E38" s="119">
        <v>1.56</v>
      </c>
      <c r="F38" s="120" t="s">
        <v>274</v>
      </c>
      <c r="G38" s="121">
        <v>0.43</v>
      </c>
      <c r="H38" s="119" t="s">
        <v>278</v>
      </c>
      <c r="I38" s="122">
        <v>0.25</v>
      </c>
      <c r="J38" s="75"/>
      <c r="K38" s="75"/>
      <c r="L38" s="75"/>
      <c r="M38" s="75"/>
      <c r="N38" s="75"/>
    </row>
    <row r="39" spans="1:14" x14ac:dyDescent="0.3">
      <c r="A39" s="117" t="s">
        <v>107</v>
      </c>
      <c r="B39" s="118" t="s">
        <v>132</v>
      </c>
      <c r="C39" s="119">
        <v>0.313</v>
      </c>
      <c r="D39" s="119" t="s">
        <v>130</v>
      </c>
      <c r="E39" s="119">
        <v>1.56</v>
      </c>
      <c r="F39" s="120" t="s">
        <v>274</v>
      </c>
      <c r="G39" s="121">
        <v>0.6</v>
      </c>
      <c r="H39" s="119" t="s">
        <v>283</v>
      </c>
      <c r="I39" s="122">
        <v>1.03</v>
      </c>
      <c r="J39" s="75"/>
      <c r="K39" s="75"/>
      <c r="L39" s="75"/>
      <c r="M39" s="75"/>
      <c r="N39" s="75"/>
    </row>
    <row r="40" spans="1:14" x14ac:dyDescent="0.3">
      <c r="A40" s="117" t="s">
        <v>108</v>
      </c>
      <c r="B40" s="118" t="s">
        <v>132</v>
      </c>
      <c r="C40" s="119">
        <v>0.35199999999999998</v>
      </c>
      <c r="D40" s="119" t="s">
        <v>130</v>
      </c>
      <c r="E40" s="119">
        <v>1.56</v>
      </c>
      <c r="F40" s="120" t="s">
        <v>274</v>
      </c>
      <c r="G40" s="121">
        <v>0.6</v>
      </c>
      <c r="H40" s="119" t="s">
        <v>283</v>
      </c>
      <c r="I40" s="122">
        <v>1.03</v>
      </c>
      <c r="J40" s="75"/>
      <c r="K40" s="75"/>
      <c r="L40" s="75"/>
      <c r="M40" s="75"/>
      <c r="N40" s="75"/>
    </row>
    <row r="41" spans="1:14" x14ac:dyDescent="0.3">
      <c r="A41" s="117" t="s">
        <v>121</v>
      </c>
      <c r="B41" s="118" t="s">
        <v>132</v>
      </c>
      <c r="C41" s="119">
        <v>0.32200000000000001</v>
      </c>
      <c r="D41" s="119" t="s">
        <v>130</v>
      </c>
      <c r="E41" s="119">
        <v>1.56</v>
      </c>
      <c r="F41" s="120" t="s">
        <v>274</v>
      </c>
      <c r="G41" s="121">
        <v>0.6</v>
      </c>
      <c r="H41" s="119" t="s">
        <v>283</v>
      </c>
      <c r="I41" s="122">
        <v>1.03</v>
      </c>
      <c r="J41" s="75"/>
      <c r="K41" s="75"/>
      <c r="L41" s="75"/>
      <c r="M41" s="75"/>
      <c r="N41" s="75"/>
    </row>
    <row r="42" spans="1:14" x14ac:dyDescent="0.3">
      <c r="A42" s="117" t="s">
        <v>122</v>
      </c>
      <c r="B42" s="118" t="s">
        <v>132</v>
      </c>
      <c r="C42" s="119">
        <v>0.311</v>
      </c>
      <c r="D42" s="119" t="s">
        <v>130</v>
      </c>
      <c r="E42" s="119">
        <v>1.56</v>
      </c>
      <c r="F42" s="120" t="s">
        <v>274</v>
      </c>
      <c r="G42" s="121">
        <v>0.6</v>
      </c>
      <c r="H42" s="119" t="s">
        <v>283</v>
      </c>
      <c r="I42" s="122">
        <v>1.03</v>
      </c>
      <c r="J42" s="75"/>
      <c r="K42" s="75"/>
      <c r="L42" s="75"/>
      <c r="M42" s="75"/>
      <c r="N42" s="75"/>
    </row>
    <row r="43" spans="1:14" x14ac:dyDescent="0.3">
      <c r="A43" s="117" t="s">
        <v>109</v>
      </c>
      <c r="B43" s="118" t="s">
        <v>132</v>
      </c>
      <c r="C43" s="119">
        <v>0.33900000000000002</v>
      </c>
      <c r="D43" s="119" t="s">
        <v>130</v>
      </c>
      <c r="E43" s="119">
        <v>1.56</v>
      </c>
      <c r="F43" s="120" t="s">
        <v>274</v>
      </c>
      <c r="G43" s="121">
        <v>0.6</v>
      </c>
      <c r="H43" s="119" t="s">
        <v>283</v>
      </c>
      <c r="I43" s="122">
        <v>1.03</v>
      </c>
      <c r="J43" s="75"/>
      <c r="K43" s="75"/>
      <c r="L43" s="75"/>
      <c r="M43" s="75"/>
      <c r="N43" s="75"/>
    </row>
    <row r="44" spans="1:14" x14ac:dyDescent="0.3">
      <c r="A44" s="117" t="s">
        <v>123</v>
      </c>
      <c r="B44" s="118" t="s">
        <v>132</v>
      </c>
      <c r="C44" s="119">
        <v>0.33600000000000002</v>
      </c>
      <c r="D44" s="119" t="s">
        <v>130</v>
      </c>
      <c r="E44" s="119">
        <v>1.56</v>
      </c>
      <c r="F44" s="120" t="s">
        <v>274</v>
      </c>
      <c r="G44" s="121">
        <v>0.6</v>
      </c>
      <c r="H44" s="119" t="s">
        <v>283</v>
      </c>
      <c r="I44" s="122">
        <v>1.03</v>
      </c>
      <c r="J44" s="75"/>
      <c r="K44" s="75"/>
      <c r="L44" s="75"/>
      <c r="M44" s="75"/>
      <c r="N44" s="75"/>
    </row>
    <row r="45" spans="1:14" x14ac:dyDescent="0.3">
      <c r="A45" s="117" t="s">
        <v>110</v>
      </c>
      <c r="B45" s="118" t="s">
        <v>132</v>
      </c>
      <c r="C45" s="119">
        <v>0.32900000000000001</v>
      </c>
      <c r="D45" s="119" t="s">
        <v>130</v>
      </c>
      <c r="E45" s="119">
        <v>1.56</v>
      </c>
      <c r="F45" s="120" t="s">
        <v>274</v>
      </c>
      <c r="G45" s="121">
        <v>0.6</v>
      </c>
      <c r="H45" s="119" t="s">
        <v>283</v>
      </c>
      <c r="I45" s="122">
        <v>1.03</v>
      </c>
      <c r="J45" s="75"/>
      <c r="K45" s="75"/>
      <c r="L45" s="75"/>
      <c r="M45" s="75"/>
      <c r="N45" s="75"/>
    </row>
    <row r="46" spans="1:14" x14ac:dyDescent="0.3">
      <c r="A46" s="117" t="s">
        <v>124</v>
      </c>
      <c r="B46" s="118" t="s">
        <v>132</v>
      </c>
      <c r="C46" s="119">
        <v>0.34300000000000003</v>
      </c>
      <c r="D46" s="119" t="s">
        <v>130</v>
      </c>
      <c r="E46" s="119">
        <v>1.56</v>
      </c>
      <c r="F46" s="120" t="s">
        <v>274</v>
      </c>
      <c r="G46" s="121">
        <v>0.6</v>
      </c>
      <c r="H46" s="119" t="s">
        <v>283</v>
      </c>
      <c r="I46" s="122">
        <v>1.03</v>
      </c>
      <c r="J46" s="75"/>
      <c r="K46" s="75"/>
      <c r="L46" s="75"/>
      <c r="M46" s="75"/>
      <c r="N46" s="75"/>
    </row>
    <row r="47" spans="1:14" x14ac:dyDescent="0.3">
      <c r="A47" s="117" t="s">
        <v>125</v>
      </c>
      <c r="B47" s="118" t="s">
        <v>132</v>
      </c>
      <c r="C47" s="119">
        <v>0.32500000000000001</v>
      </c>
      <c r="D47" s="119" t="s">
        <v>130</v>
      </c>
      <c r="E47" s="119">
        <v>1.56</v>
      </c>
      <c r="F47" s="120" t="s">
        <v>274</v>
      </c>
      <c r="G47" s="121">
        <v>0.6</v>
      </c>
      <c r="H47" s="119" t="s">
        <v>283</v>
      </c>
      <c r="I47" s="122">
        <v>1.03</v>
      </c>
      <c r="J47" s="75"/>
      <c r="K47" s="75"/>
      <c r="L47" s="75"/>
      <c r="M47" s="75"/>
      <c r="N47" s="75"/>
    </row>
    <row r="48" spans="1:14" x14ac:dyDescent="0.3">
      <c r="A48" s="117" t="s">
        <v>126</v>
      </c>
      <c r="B48" s="118" t="s">
        <v>132</v>
      </c>
      <c r="C48" s="119">
        <v>0.32</v>
      </c>
      <c r="D48" s="119" t="s">
        <v>130</v>
      </c>
      <c r="E48" s="119">
        <v>1.56</v>
      </c>
      <c r="F48" s="120" t="s">
        <v>274</v>
      </c>
      <c r="G48" s="121">
        <v>0.6</v>
      </c>
      <c r="H48" s="119" t="s">
        <v>283</v>
      </c>
      <c r="I48" s="122">
        <v>1.03</v>
      </c>
      <c r="J48" s="75"/>
      <c r="K48" s="75"/>
      <c r="L48" s="75"/>
      <c r="M48" s="75"/>
      <c r="N48" s="75"/>
    </row>
    <row r="49" spans="1:14" x14ac:dyDescent="0.3">
      <c r="A49" s="117" t="s">
        <v>111</v>
      </c>
      <c r="B49" s="118" t="s">
        <v>132</v>
      </c>
      <c r="C49" s="119">
        <v>0.28199999999999997</v>
      </c>
      <c r="D49" s="119" t="s">
        <v>130</v>
      </c>
      <c r="E49" s="119">
        <v>1.56</v>
      </c>
      <c r="F49" s="120" t="s">
        <v>274</v>
      </c>
      <c r="G49" s="121">
        <v>0.6</v>
      </c>
      <c r="H49" s="119" t="s">
        <v>283</v>
      </c>
      <c r="I49" s="122">
        <v>1.03</v>
      </c>
      <c r="J49" s="75"/>
      <c r="K49" s="75"/>
      <c r="L49" s="75"/>
      <c r="M49" s="75"/>
      <c r="N49" s="75"/>
    </row>
    <row r="50" spans="1:14" x14ac:dyDescent="0.3">
      <c r="A50" s="117" t="s">
        <v>127</v>
      </c>
      <c r="B50" s="118" t="s">
        <v>132</v>
      </c>
      <c r="C50" s="119">
        <v>0.32800000000000001</v>
      </c>
      <c r="D50" s="119" t="s">
        <v>130</v>
      </c>
      <c r="E50" s="119">
        <v>1.56</v>
      </c>
      <c r="F50" s="120" t="s">
        <v>274</v>
      </c>
      <c r="G50" s="121">
        <v>0.6</v>
      </c>
      <c r="H50" s="119" t="s">
        <v>283</v>
      </c>
      <c r="I50" s="122">
        <v>1.03</v>
      </c>
      <c r="J50" s="75"/>
      <c r="K50" s="75"/>
      <c r="L50" s="75"/>
      <c r="M50" s="75"/>
      <c r="N50" s="75"/>
    </row>
    <row r="51" spans="1:14" x14ac:dyDescent="0.3">
      <c r="A51" s="117" t="s">
        <v>112</v>
      </c>
      <c r="B51" s="118" t="s">
        <v>132</v>
      </c>
      <c r="C51" s="119">
        <v>0.32600000000000001</v>
      </c>
      <c r="D51" s="119" t="s">
        <v>130</v>
      </c>
      <c r="E51" s="119">
        <v>1.56</v>
      </c>
      <c r="F51" s="120" t="s">
        <v>274</v>
      </c>
      <c r="G51" s="121">
        <v>0.6</v>
      </c>
      <c r="H51" s="119" t="s">
        <v>283</v>
      </c>
      <c r="I51" s="122">
        <v>1.03</v>
      </c>
      <c r="J51" s="75"/>
      <c r="K51" s="75"/>
      <c r="L51" s="75"/>
      <c r="M51" s="75"/>
      <c r="N51" s="75"/>
    </row>
    <row r="52" spans="1:14" x14ac:dyDescent="0.3">
      <c r="A52" s="117" t="s">
        <v>113</v>
      </c>
      <c r="B52" s="118" t="s">
        <v>132</v>
      </c>
      <c r="C52" s="119">
        <v>0.35899999999999999</v>
      </c>
      <c r="D52" s="119" t="s">
        <v>130</v>
      </c>
      <c r="E52" s="119">
        <v>1.56</v>
      </c>
      <c r="F52" s="120" t="s">
        <v>274</v>
      </c>
      <c r="G52" s="121">
        <v>0.6</v>
      </c>
      <c r="H52" s="119" t="s">
        <v>283</v>
      </c>
      <c r="I52" s="122">
        <v>1.03</v>
      </c>
      <c r="J52" s="75"/>
      <c r="K52" s="75"/>
      <c r="L52" s="75"/>
      <c r="M52" s="75"/>
      <c r="N52" s="75"/>
    </row>
    <row r="53" spans="1:14" x14ac:dyDescent="0.3">
      <c r="A53" s="117" t="s">
        <v>114</v>
      </c>
      <c r="B53" s="118" t="s">
        <v>132</v>
      </c>
      <c r="C53" s="119">
        <v>0.34599999999999997</v>
      </c>
      <c r="D53" s="119" t="s">
        <v>130</v>
      </c>
      <c r="E53" s="119">
        <v>1.56</v>
      </c>
      <c r="F53" s="120" t="s">
        <v>274</v>
      </c>
      <c r="G53" s="121">
        <v>0.6</v>
      </c>
      <c r="H53" s="119" t="s">
        <v>283</v>
      </c>
      <c r="I53" s="122">
        <v>1.03</v>
      </c>
      <c r="J53" s="75"/>
      <c r="K53" s="75"/>
      <c r="L53" s="75"/>
      <c r="M53" s="75"/>
      <c r="N53" s="75"/>
    </row>
    <row r="54" spans="1:14" x14ac:dyDescent="0.3">
      <c r="A54" s="117" t="s">
        <v>115</v>
      </c>
      <c r="B54" s="118" t="s">
        <v>132</v>
      </c>
      <c r="C54" s="119">
        <v>0.32600000000000001</v>
      </c>
      <c r="D54" s="119" t="s">
        <v>130</v>
      </c>
      <c r="E54" s="119">
        <v>1.56</v>
      </c>
      <c r="F54" s="120" t="s">
        <v>274</v>
      </c>
      <c r="G54" s="121">
        <v>0.6</v>
      </c>
      <c r="H54" s="119" t="s">
        <v>283</v>
      </c>
      <c r="I54" s="122">
        <v>1.03</v>
      </c>
      <c r="J54" s="75"/>
      <c r="K54" s="75"/>
      <c r="L54" s="75"/>
      <c r="M54" s="75"/>
      <c r="N54" s="75"/>
    </row>
    <row r="55" spans="1:14" x14ac:dyDescent="0.3">
      <c r="A55" s="117" t="s">
        <v>116</v>
      </c>
      <c r="B55" s="118" t="s">
        <v>132</v>
      </c>
      <c r="C55" s="119">
        <v>0.30499999999999999</v>
      </c>
      <c r="D55" s="119" t="s">
        <v>130</v>
      </c>
      <c r="E55" s="119">
        <v>1.56</v>
      </c>
      <c r="F55" s="120" t="s">
        <v>274</v>
      </c>
      <c r="G55" s="121">
        <v>0.6</v>
      </c>
      <c r="H55" s="119" t="s">
        <v>283</v>
      </c>
      <c r="I55" s="122">
        <v>1.03</v>
      </c>
      <c r="J55" s="75"/>
      <c r="K55" s="75"/>
      <c r="L55" s="75"/>
      <c r="M55" s="75"/>
      <c r="N55" s="75"/>
    </row>
    <row r="56" spans="1:14" x14ac:dyDescent="0.3">
      <c r="A56" s="117" t="s">
        <v>128</v>
      </c>
      <c r="B56" s="118" t="s">
        <v>132</v>
      </c>
      <c r="C56" s="119">
        <v>0.32300000000000001</v>
      </c>
      <c r="D56" s="119" t="s">
        <v>130</v>
      </c>
      <c r="E56" s="119">
        <v>1.56</v>
      </c>
      <c r="F56" s="120" t="s">
        <v>274</v>
      </c>
      <c r="G56" s="121">
        <v>0.6</v>
      </c>
      <c r="H56" s="119" t="s">
        <v>283</v>
      </c>
      <c r="I56" s="122">
        <v>1.03</v>
      </c>
      <c r="J56" s="75"/>
      <c r="K56" s="75"/>
      <c r="L56" s="75"/>
      <c r="M56" s="75"/>
      <c r="N56" s="75"/>
    </row>
    <row r="57" spans="1:14" x14ac:dyDescent="0.3">
      <c r="A57" s="117" t="s">
        <v>129</v>
      </c>
      <c r="B57" s="118" t="s">
        <v>132</v>
      </c>
      <c r="C57" s="119">
        <v>0.36699999999999999</v>
      </c>
      <c r="D57" s="119" t="s">
        <v>130</v>
      </c>
      <c r="E57" s="119">
        <v>1.56</v>
      </c>
      <c r="F57" s="120" t="s">
        <v>274</v>
      </c>
      <c r="G57" s="121">
        <v>0.6</v>
      </c>
      <c r="H57" s="119" t="s">
        <v>283</v>
      </c>
      <c r="I57" s="122">
        <v>1.03</v>
      </c>
      <c r="J57" s="75"/>
      <c r="K57" s="75"/>
      <c r="L57" s="75"/>
      <c r="M57" s="75"/>
      <c r="N57" s="75"/>
    </row>
    <row r="58" spans="1:14" x14ac:dyDescent="0.3">
      <c r="A58" s="117" t="s">
        <v>117</v>
      </c>
      <c r="B58" s="118" t="s">
        <v>132</v>
      </c>
      <c r="C58" s="119">
        <v>0.36</v>
      </c>
      <c r="D58" s="119" t="s">
        <v>130</v>
      </c>
      <c r="E58" s="119">
        <v>1.56</v>
      </c>
      <c r="F58" s="120" t="s">
        <v>274</v>
      </c>
      <c r="G58" s="121">
        <v>0.6</v>
      </c>
      <c r="H58" s="119" t="s">
        <v>283</v>
      </c>
      <c r="I58" s="122">
        <v>1.03</v>
      </c>
      <c r="J58" s="75"/>
      <c r="K58" s="75"/>
      <c r="L58" s="75"/>
      <c r="M58" s="75"/>
      <c r="N58" s="75"/>
    </row>
    <row r="59" spans="1:14" x14ac:dyDescent="0.3">
      <c r="A59" s="117" t="s">
        <v>118</v>
      </c>
      <c r="B59" s="118" t="s">
        <v>132</v>
      </c>
      <c r="C59" s="119">
        <v>0.36799999999999999</v>
      </c>
      <c r="D59" s="119" t="s">
        <v>130</v>
      </c>
      <c r="E59" s="119">
        <v>1.56</v>
      </c>
      <c r="F59" s="120" t="s">
        <v>274</v>
      </c>
      <c r="G59" s="121">
        <v>0.6</v>
      </c>
      <c r="H59" s="119" t="s">
        <v>283</v>
      </c>
      <c r="I59" s="122">
        <v>1.03</v>
      </c>
      <c r="J59" s="75"/>
      <c r="K59" s="75"/>
      <c r="L59" s="75"/>
      <c r="M59" s="75"/>
      <c r="N59" s="75"/>
    </row>
    <row r="60" spans="1:14" x14ac:dyDescent="0.3">
      <c r="A60" s="117" t="s">
        <v>119</v>
      </c>
      <c r="B60" s="118" t="s">
        <v>132</v>
      </c>
      <c r="C60" s="119">
        <v>0.30599999999999999</v>
      </c>
      <c r="D60" s="119" t="s">
        <v>130</v>
      </c>
      <c r="E60" s="119">
        <v>1.56</v>
      </c>
      <c r="F60" s="120" t="s">
        <v>274</v>
      </c>
      <c r="G60" s="121">
        <v>0.6</v>
      </c>
      <c r="H60" s="119" t="s">
        <v>283</v>
      </c>
      <c r="I60" s="122">
        <v>1.03</v>
      </c>
      <c r="J60" s="75"/>
      <c r="K60" s="75"/>
      <c r="L60" s="75"/>
      <c r="M60" s="75"/>
      <c r="N60" s="75"/>
    </row>
    <row r="61" spans="1:14" x14ac:dyDescent="0.3">
      <c r="A61" s="117" t="s">
        <v>120</v>
      </c>
      <c r="B61" s="118" t="s">
        <v>132</v>
      </c>
      <c r="C61" s="119">
        <v>0.313</v>
      </c>
      <c r="D61" s="119" t="s">
        <v>130</v>
      </c>
      <c r="E61" s="119">
        <v>1.56</v>
      </c>
      <c r="F61" s="120" t="s">
        <v>274</v>
      </c>
      <c r="G61" s="121">
        <v>0.6</v>
      </c>
      <c r="H61" s="119" t="s">
        <v>283</v>
      </c>
      <c r="I61" s="122">
        <v>1.03</v>
      </c>
      <c r="J61" s="75"/>
      <c r="K61" s="75"/>
      <c r="L61" s="75"/>
      <c r="M61" s="75"/>
      <c r="N61" s="75"/>
    </row>
    <row r="62" spans="1:14" x14ac:dyDescent="0.3">
      <c r="A62" s="117" t="s">
        <v>32</v>
      </c>
      <c r="B62" s="118" t="s">
        <v>133</v>
      </c>
      <c r="C62" s="119">
        <v>0.37</v>
      </c>
      <c r="D62" s="119" t="s">
        <v>161</v>
      </c>
      <c r="E62" s="119">
        <v>1.56</v>
      </c>
      <c r="F62" s="120" t="s">
        <v>274</v>
      </c>
      <c r="G62" s="121">
        <v>0.6</v>
      </c>
      <c r="H62" s="119" t="s">
        <v>283</v>
      </c>
      <c r="I62" s="122">
        <v>1.03</v>
      </c>
      <c r="J62" s="75"/>
      <c r="K62" s="75"/>
      <c r="L62" s="75"/>
      <c r="M62" s="75"/>
      <c r="N62" s="75"/>
    </row>
    <row r="63" spans="1:14" x14ac:dyDescent="0.3">
      <c r="A63" s="117" t="s">
        <v>90</v>
      </c>
      <c r="B63" s="118" t="s">
        <v>83</v>
      </c>
      <c r="C63" s="119">
        <v>0.45</v>
      </c>
      <c r="D63" s="119" t="s">
        <v>161</v>
      </c>
      <c r="E63" s="119">
        <v>1.3</v>
      </c>
      <c r="F63" s="120" t="s">
        <v>274</v>
      </c>
      <c r="G63" s="121">
        <v>0.45</v>
      </c>
      <c r="H63" s="119" t="s">
        <v>276</v>
      </c>
      <c r="I63" s="122">
        <v>0.43</v>
      </c>
      <c r="J63" s="75"/>
      <c r="K63" s="75"/>
      <c r="L63" s="75"/>
      <c r="M63" s="75"/>
      <c r="N63" s="75"/>
    </row>
    <row r="64" spans="1:14" x14ac:dyDescent="0.3">
      <c r="A64" s="117" t="s">
        <v>33</v>
      </c>
      <c r="B64" s="118" t="s">
        <v>134</v>
      </c>
      <c r="C64" s="119">
        <v>0.39</v>
      </c>
      <c r="D64" s="119" t="s">
        <v>161</v>
      </c>
      <c r="E64" s="119">
        <v>1.3</v>
      </c>
      <c r="F64" s="120" t="s">
        <v>274</v>
      </c>
      <c r="G64" s="121">
        <v>0.45</v>
      </c>
      <c r="H64" s="119" t="s">
        <v>276</v>
      </c>
      <c r="I64" s="122">
        <v>0.43</v>
      </c>
      <c r="J64" s="75"/>
      <c r="K64" s="75"/>
      <c r="L64" s="75"/>
      <c r="M64" s="75"/>
      <c r="N64" s="75"/>
    </row>
    <row r="65" spans="1:14" x14ac:dyDescent="0.3">
      <c r="A65" s="117" t="s">
        <v>34</v>
      </c>
      <c r="B65" s="118" t="s">
        <v>135</v>
      </c>
      <c r="C65" s="119">
        <v>0.44</v>
      </c>
      <c r="D65" s="119" t="s">
        <v>161</v>
      </c>
      <c r="E65" s="119">
        <v>1.3</v>
      </c>
      <c r="F65" s="120" t="s">
        <v>274</v>
      </c>
      <c r="G65" s="121">
        <v>0.45</v>
      </c>
      <c r="H65" s="119" t="s">
        <v>276</v>
      </c>
      <c r="I65" s="122">
        <v>0.43</v>
      </c>
      <c r="J65" s="75"/>
      <c r="K65" s="75"/>
      <c r="L65" s="75"/>
      <c r="M65" s="75"/>
      <c r="N65" s="75"/>
    </row>
    <row r="66" spans="1:14" x14ac:dyDescent="0.3">
      <c r="A66" s="117" t="s">
        <v>35</v>
      </c>
      <c r="B66" s="118" t="s">
        <v>84</v>
      </c>
      <c r="C66" s="119">
        <v>0.46</v>
      </c>
      <c r="D66" s="119" t="s">
        <v>161</v>
      </c>
      <c r="E66" s="119">
        <v>1.3</v>
      </c>
      <c r="F66" s="120" t="s">
        <v>274</v>
      </c>
      <c r="G66" s="121">
        <v>0.45</v>
      </c>
      <c r="H66" s="119" t="s">
        <v>276</v>
      </c>
      <c r="I66" s="122">
        <v>0.43</v>
      </c>
      <c r="J66" s="75"/>
      <c r="K66" s="75"/>
      <c r="L66" s="75"/>
      <c r="M66" s="75"/>
      <c r="N66" s="75"/>
    </row>
    <row r="67" spans="1:14" x14ac:dyDescent="0.3">
      <c r="A67" s="117" t="s">
        <v>36</v>
      </c>
      <c r="B67" s="118" t="s">
        <v>85</v>
      </c>
      <c r="C67" s="119">
        <v>0.46</v>
      </c>
      <c r="D67" s="119" t="s">
        <v>161</v>
      </c>
      <c r="E67" s="119">
        <v>1.3</v>
      </c>
      <c r="F67" s="120" t="s">
        <v>274</v>
      </c>
      <c r="G67" s="121">
        <v>0.45</v>
      </c>
      <c r="H67" s="119" t="s">
        <v>152</v>
      </c>
      <c r="I67" s="122">
        <v>0.59</v>
      </c>
      <c r="J67" s="75"/>
      <c r="K67" s="75"/>
      <c r="L67" s="75"/>
      <c r="M67" s="75"/>
      <c r="N67" s="75"/>
    </row>
    <row r="68" spans="1:14" x14ac:dyDescent="0.3">
      <c r="A68" s="117" t="s">
        <v>37</v>
      </c>
      <c r="B68" s="118" t="s">
        <v>136</v>
      </c>
      <c r="C68" s="119">
        <v>0.44</v>
      </c>
      <c r="D68" s="119" t="s">
        <v>161</v>
      </c>
      <c r="E68" s="119">
        <v>1.3</v>
      </c>
      <c r="F68" s="120" t="s">
        <v>274</v>
      </c>
      <c r="G68" s="121">
        <v>0.45</v>
      </c>
      <c r="H68" s="119" t="s">
        <v>276</v>
      </c>
      <c r="I68" s="122">
        <v>0.43</v>
      </c>
      <c r="J68" s="75"/>
      <c r="K68" s="75"/>
      <c r="L68" s="75"/>
      <c r="M68" s="75"/>
      <c r="N68" s="75"/>
    </row>
    <row r="69" spans="1:14" x14ac:dyDescent="0.3">
      <c r="A69" s="117" t="s">
        <v>38</v>
      </c>
      <c r="B69" s="118" t="s">
        <v>86</v>
      </c>
      <c r="C69" s="119">
        <v>0.46</v>
      </c>
      <c r="D69" s="119" t="s">
        <v>161</v>
      </c>
      <c r="E69" s="119">
        <v>1.3</v>
      </c>
      <c r="F69" s="120" t="s">
        <v>274</v>
      </c>
      <c r="G69" s="121">
        <v>0.45</v>
      </c>
      <c r="H69" s="119" t="s">
        <v>276</v>
      </c>
      <c r="I69" s="122">
        <v>0.43</v>
      </c>
      <c r="J69" s="75"/>
      <c r="K69" s="75"/>
      <c r="L69" s="75"/>
      <c r="M69" s="75"/>
      <c r="N69" s="75"/>
    </row>
    <row r="70" spans="1:14" x14ac:dyDescent="0.3">
      <c r="A70" s="117" t="s">
        <v>39</v>
      </c>
      <c r="B70" s="118" t="s">
        <v>137</v>
      </c>
      <c r="C70" s="119">
        <v>0.48</v>
      </c>
      <c r="D70" s="119" t="s">
        <v>161</v>
      </c>
      <c r="E70" s="119">
        <v>2.4</v>
      </c>
      <c r="F70" s="119" t="s">
        <v>284</v>
      </c>
      <c r="G70" s="121">
        <v>0.45</v>
      </c>
      <c r="H70" s="119" t="s">
        <v>276</v>
      </c>
      <c r="I70" s="122">
        <v>0.43</v>
      </c>
      <c r="J70" s="75"/>
      <c r="K70" s="75"/>
      <c r="L70" s="75"/>
      <c r="M70" s="75"/>
      <c r="N70" s="75"/>
    </row>
    <row r="71" spans="1:14" x14ac:dyDescent="0.3">
      <c r="A71" s="117" t="s">
        <v>40</v>
      </c>
      <c r="B71" s="118" t="s">
        <v>87</v>
      </c>
      <c r="C71" s="119">
        <v>0.46</v>
      </c>
      <c r="D71" s="119" t="s">
        <v>150</v>
      </c>
      <c r="E71" s="119">
        <v>1.3</v>
      </c>
      <c r="F71" s="120" t="s">
        <v>274</v>
      </c>
      <c r="G71" s="121">
        <v>0.45</v>
      </c>
      <c r="H71" s="119" t="s">
        <v>276</v>
      </c>
      <c r="I71" s="122">
        <v>0.43</v>
      </c>
      <c r="J71" s="75"/>
      <c r="K71" s="75"/>
      <c r="L71" s="75"/>
      <c r="M71" s="75"/>
      <c r="N71" s="75"/>
    </row>
    <row r="72" spans="1:14" x14ac:dyDescent="0.3">
      <c r="A72" s="117" t="s">
        <v>41</v>
      </c>
      <c r="B72" s="118" t="s">
        <v>88</v>
      </c>
      <c r="C72" s="119">
        <v>0.44</v>
      </c>
      <c r="D72" s="119" t="s">
        <v>161</v>
      </c>
      <c r="E72" s="119">
        <v>1.3</v>
      </c>
      <c r="F72" s="120" t="s">
        <v>274</v>
      </c>
      <c r="G72" s="121">
        <v>0.45</v>
      </c>
      <c r="H72" s="119" t="s">
        <v>276</v>
      </c>
      <c r="I72" s="122">
        <v>0.43</v>
      </c>
      <c r="J72" s="75"/>
      <c r="K72" s="75"/>
      <c r="L72" s="75"/>
      <c r="M72" s="75"/>
      <c r="N72" s="75"/>
    </row>
    <row r="73" spans="1:14" x14ac:dyDescent="0.3">
      <c r="A73" s="117" t="s">
        <v>138</v>
      </c>
      <c r="B73" s="118" t="s">
        <v>140</v>
      </c>
      <c r="C73" s="119">
        <v>0.46</v>
      </c>
      <c r="D73" s="119" t="s">
        <v>151</v>
      </c>
      <c r="E73" s="119">
        <v>1.3</v>
      </c>
      <c r="F73" s="120" t="s">
        <v>274</v>
      </c>
      <c r="G73" s="121">
        <v>0.45</v>
      </c>
      <c r="H73" s="119" t="s">
        <v>276</v>
      </c>
      <c r="I73" s="122">
        <v>0.43</v>
      </c>
      <c r="J73" s="75"/>
      <c r="K73" s="75"/>
      <c r="L73" s="75"/>
      <c r="M73" s="75"/>
      <c r="N73" s="75"/>
    </row>
    <row r="74" spans="1:14" x14ac:dyDescent="0.3">
      <c r="A74" s="117" t="s">
        <v>42</v>
      </c>
      <c r="B74" s="118" t="s">
        <v>139</v>
      </c>
      <c r="C74" s="119">
        <v>0.34</v>
      </c>
      <c r="D74" s="119" t="s">
        <v>161</v>
      </c>
      <c r="E74" s="119">
        <v>1.3</v>
      </c>
      <c r="F74" s="120" t="s">
        <v>274</v>
      </c>
      <c r="G74" s="121">
        <v>0.45</v>
      </c>
      <c r="H74" s="119" t="s">
        <v>276</v>
      </c>
      <c r="I74" s="122">
        <v>0.43</v>
      </c>
      <c r="J74" s="75"/>
      <c r="K74" s="75"/>
      <c r="L74" s="75"/>
      <c r="M74" s="75"/>
      <c r="N74" s="75"/>
    </row>
    <row r="75" spans="1:14" x14ac:dyDescent="0.3">
      <c r="A75" s="117" t="s">
        <v>43</v>
      </c>
      <c r="B75" s="118" t="s">
        <v>162</v>
      </c>
      <c r="C75" s="119">
        <v>0.5</v>
      </c>
      <c r="D75" s="119" t="s">
        <v>161</v>
      </c>
      <c r="E75" s="119">
        <v>1.56</v>
      </c>
      <c r="F75" s="120" t="s">
        <v>274</v>
      </c>
      <c r="G75" s="121">
        <v>0.53</v>
      </c>
      <c r="H75" s="119" t="s">
        <v>275</v>
      </c>
      <c r="I75" s="122">
        <v>0.25</v>
      </c>
      <c r="J75" s="75"/>
      <c r="K75" s="75"/>
      <c r="L75" s="75"/>
      <c r="M75" s="75"/>
      <c r="N75" s="75"/>
    </row>
    <row r="76" spans="1:14" x14ac:dyDescent="0.3">
      <c r="A76" s="117" t="s">
        <v>44</v>
      </c>
      <c r="B76" s="118" t="s">
        <v>89</v>
      </c>
      <c r="C76" s="119">
        <v>0.57999999999999996</v>
      </c>
      <c r="D76" s="119" t="s">
        <v>161</v>
      </c>
      <c r="E76" s="119">
        <v>1.56</v>
      </c>
      <c r="F76" s="120" t="s">
        <v>274</v>
      </c>
      <c r="G76" s="121">
        <v>0.3</v>
      </c>
      <c r="H76" s="119" t="s">
        <v>277</v>
      </c>
      <c r="I76" s="122">
        <v>0.25</v>
      </c>
      <c r="J76" s="75"/>
      <c r="K76" s="75"/>
      <c r="L76" s="75"/>
      <c r="M76" s="75"/>
      <c r="N76" s="75"/>
    </row>
    <row r="77" spans="1:14" x14ac:dyDescent="0.3">
      <c r="A77" s="117" t="s">
        <v>47</v>
      </c>
      <c r="B77" s="118" t="s">
        <v>141</v>
      </c>
      <c r="C77" s="119">
        <v>0.37</v>
      </c>
      <c r="D77" s="119" t="s">
        <v>161</v>
      </c>
      <c r="E77" s="119">
        <v>1.3</v>
      </c>
      <c r="F77" s="120" t="s">
        <v>274</v>
      </c>
      <c r="G77" s="121">
        <v>0.55000000000000004</v>
      </c>
      <c r="H77" s="119" t="s">
        <v>152</v>
      </c>
      <c r="I77" s="122">
        <v>0.43</v>
      </c>
      <c r="J77" s="75"/>
      <c r="K77" s="75"/>
      <c r="L77" s="75"/>
      <c r="M77" s="75"/>
      <c r="N77" s="75"/>
    </row>
    <row r="78" spans="1:14" x14ac:dyDescent="0.3">
      <c r="A78" s="117" t="s">
        <v>45</v>
      </c>
      <c r="B78" s="118" t="s">
        <v>96</v>
      </c>
      <c r="C78" s="119">
        <v>0.37</v>
      </c>
      <c r="D78" s="119" t="s">
        <v>161</v>
      </c>
      <c r="E78" s="119">
        <v>1.3</v>
      </c>
      <c r="F78" s="120" t="s">
        <v>274</v>
      </c>
      <c r="G78" s="121">
        <v>0.55000000000000004</v>
      </c>
      <c r="H78" s="119" t="s">
        <v>152</v>
      </c>
      <c r="I78" s="122">
        <v>0.43</v>
      </c>
      <c r="J78" s="75"/>
      <c r="K78" s="75"/>
      <c r="L78" s="75"/>
      <c r="M78" s="75"/>
      <c r="N78" s="75"/>
    </row>
    <row r="79" spans="1:14" x14ac:dyDescent="0.3">
      <c r="A79" s="117" t="s">
        <v>46</v>
      </c>
      <c r="B79" s="118" t="s">
        <v>95</v>
      </c>
      <c r="C79" s="119">
        <v>0.38</v>
      </c>
      <c r="D79" s="119" t="s">
        <v>161</v>
      </c>
      <c r="E79" s="119">
        <v>1.3</v>
      </c>
      <c r="F79" s="120" t="s">
        <v>274</v>
      </c>
      <c r="G79" s="121">
        <v>0.55000000000000004</v>
      </c>
      <c r="H79" s="119" t="s">
        <v>153</v>
      </c>
      <c r="I79" s="122">
        <v>0.43</v>
      </c>
      <c r="J79" s="75"/>
      <c r="K79" s="75"/>
      <c r="L79" s="75"/>
      <c r="M79" s="75"/>
      <c r="N79" s="75"/>
    </row>
    <row r="80" spans="1:14" x14ac:dyDescent="0.3">
      <c r="A80" s="117" t="s">
        <v>48</v>
      </c>
      <c r="B80" s="118" t="s">
        <v>94</v>
      </c>
      <c r="C80" s="119">
        <v>0.36</v>
      </c>
      <c r="D80" s="119" t="s">
        <v>161</v>
      </c>
      <c r="E80" s="119">
        <v>1.3</v>
      </c>
      <c r="F80" s="120" t="s">
        <v>274</v>
      </c>
      <c r="G80" s="121">
        <v>0.55000000000000004</v>
      </c>
      <c r="H80" s="119" t="s">
        <v>153</v>
      </c>
      <c r="I80" s="122">
        <v>0.43</v>
      </c>
      <c r="J80" s="75"/>
      <c r="K80" s="75"/>
      <c r="L80" s="75"/>
      <c r="M80" s="75"/>
      <c r="N80" s="75"/>
    </row>
    <row r="81" spans="1:14" x14ac:dyDescent="0.3">
      <c r="A81" s="117" t="s">
        <v>49</v>
      </c>
      <c r="B81" s="118" t="s">
        <v>142</v>
      </c>
      <c r="C81" s="119">
        <v>0.37</v>
      </c>
      <c r="D81" s="119" t="s">
        <v>161</v>
      </c>
      <c r="E81" s="119">
        <v>1.56</v>
      </c>
      <c r="F81" s="120" t="s">
        <v>274</v>
      </c>
      <c r="G81" s="121">
        <v>0.43</v>
      </c>
      <c r="H81" s="119" t="s">
        <v>278</v>
      </c>
      <c r="I81" s="122">
        <v>0.25</v>
      </c>
      <c r="J81" s="75"/>
      <c r="K81" s="75"/>
      <c r="L81" s="75"/>
      <c r="M81" s="75"/>
      <c r="N81" s="75"/>
    </row>
    <row r="82" spans="1:14" x14ac:dyDescent="0.3">
      <c r="A82" s="117" t="s">
        <v>158</v>
      </c>
      <c r="B82" s="118" t="s">
        <v>159</v>
      </c>
      <c r="C82" s="119">
        <v>0.35</v>
      </c>
      <c r="D82" s="119" t="s">
        <v>160</v>
      </c>
      <c r="E82" s="119">
        <v>1.3</v>
      </c>
      <c r="F82" s="120" t="s">
        <v>274</v>
      </c>
      <c r="G82" s="121">
        <v>0.55000000000000004</v>
      </c>
      <c r="H82" s="119" t="s">
        <v>153</v>
      </c>
      <c r="I82" s="122">
        <v>0.43</v>
      </c>
      <c r="J82" s="75"/>
      <c r="K82" s="75"/>
      <c r="L82" s="75"/>
      <c r="M82" s="75"/>
      <c r="N82" s="75"/>
    </row>
    <row r="83" spans="1:14" x14ac:dyDescent="0.3">
      <c r="A83" s="117" t="s">
        <v>156</v>
      </c>
      <c r="B83" s="118" t="s">
        <v>157</v>
      </c>
      <c r="C83" s="119">
        <v>0.34</v>
      </c>
      <c r="D83" s="119" t="s">
        <v>161</v>
      </c>
      <c r="E83" s="119">
        <v>1.3</v>
      </c>
      <c r="F83" s="120" t="s">
        <v>274</v>
      </c>
      <c r="G83" s="121">
        <v>0.55000000000000004</v>
      </c>
      <c r="H83" s="119" t="s">
        <v>153</v>
      </c>
      <c r="I83" s="122">
        <v>0.43</v>
      </c>
      <c r="J83" s="75"/>
      <c r="K83" s="75"/>
      <c r="L83" s="75"/>
      <c r="M83" s="75"/>
      <c r="N83" s="75"/>
    </row>
    <row r="84" spans="1:14" x14ac:dyDescent="0.3">
      <c r="A84" s="117" t="s">
        <v>92</v>
      </c>
      <c r="B84" s="118" t="s">
        <v>93</v>
      </c>
      <c r="C84" s="119">
        <v>0.31</v>
      </c>
      <c r="D84" s="119" t="s">
        <v>161</v>
      </c>
      <c r="E84" s="119">
        <v>1.3</v>
      </c>
      <c r="F84" s="120" t="s">
        <v>274</v>
      </c>
      <c r="G84" s="121">
        <v>0.55000000000000004</v>
      </c>
      <c r="H84" s="119" t="s">
        <v>153</v>
      </c>
      <c r="I84" s="122">
        <v>0.43</v>
      </c>
      <c r="J84" s="75"/>
      <c r="K84" s="75"/>
      <c r="L84" s="75"/>
      <c r="M84" s="75"/>
      <c r="N84" s="75"/>
    </row>
    <row r="85" spans="1:14" x14ac:dyDescent="0.3">
      <c r="A85" s="117" t="s">
        <v>50</v>
      </c>
      <c r="B85" s="118" t="s">
        <v>143</v>
      </c>
      <c r="C85" s="119">
        <v>0.43</v>
      </c>
      <c r="D85" s="119" t="s">
        <v>161</v>
      </c>
      <c r="E85" s="119">
        <v>1.56</v>
      </c>
      <c r="F85" s="120" t="s">
        <v>274</v>
      </c>
      <c r="G85" s="121">
        <v>0.53</v>
      </c>
      <c r="H85" s="119" t="s">
        <v>275</v>
      </c>
      <c r="I85" s="122">
        <v>0.25</v>
      </c>
      <c r="J85" s="75"/>
      <c r="K85" s="75"/>
      <c r="L85" s="75"/>
      <c r="M85" s="75"/>
      <c r="N85" s="75"/>
    </row>
    <row r="86" spans="1:14" x14ac:dyDescent="0.3">
      <c r="A86" s="117" t="s">
        <v>51</v>
      </c>
      <c r="B86" s="118" t="s">
        <v>91</v>
      </c>
      <c r="C86" s="119">
        <v>0.38</v>
      </c>
      <c r="D86" s="119" t="s">
        <v>161</v>
      </c>
      <c r="E86" s="119">
        <v>1.56</v>
      </c>
      <c r="F86" s="120" t="s">
        <v>274</v>
      </c>
      <c r="G86" s="121">
        <v>0.6</v>
      </c>
      <c r="H86" s="119" t="s">
        <v>279</v>
      </c>
      <c r="I86" s="122">
        <v>0.25</v>
      </c>
      <c r="J86" s="75"/>
      <c r="K86" s="75"/>
      <c r="L86" s="75"/>
      <c r="M86" s="75"/>
      <c r="N86" s="75"/>
    </row>
    <row r="87" spans="1:14" x14ac:dyDescent="0.3">
      <c r="A87" s="246" t="s">
        <v>321</v>
      </c>
      <c r="B87" s="247" t="s">
        <v>322</v>
      </c>
      <c r="C87" s="248">
        <v>0.41</v>
      </c>
      <c r="D87" s="248" t="s">
        <v>323</v>
      </c>
      <c r="E87" s="248">
        <v>1.56</v>
      </c>
      <c r="F87" s="249" t="s">
        <v>274</v>
      </c>
      <c r="G87" s="250">
        <v>0.43</v>
      </c>
      <c r="H87" s="248" t="s">
        <v>278</v>
      </c>
      <c r="I87" s="251">
        <v>0.25</v>
      </c>
      <c r="J87" s="75"/>
      <c r="K87" s="75"/>
      <c r="L87" s="75"/>
      <c r="M87" s="75"/>
      <c r="N87" s="75"/>
    </row>
    <row r="88" spans="1:14" x14ac:dyDescent="0.3">
      <c r="A88" s="117" t="s">
        <v>148</v>
      </c>
      <c r="B88" s="125"/>
      <c r="C88" s="119">
        <v>0.42</v>
      </c>
      <c r="D88" s="119" t="s">
        <v>161</v>
      </c>
      <c r="E88" s="119">
        <v>1.3</v>
      </c>
      <c r="F88" s="120" t="s">
        <v>274</v>
      </c>
      <c r="G88" s="126"/>
      <c r="H88" s="125"/>
      <c r="I88" s="127"/>
    </row>
    <row r="89" spans="1:14" ht="15" thickBot="1" x14ac:dyDescent="0.35">
      <c r="A89" s="128" t="s">
        <v>149</v>
      </c>
      <c r="B89" s="129"/>
      <c r="C89" s="130">
        <v>0.56999999999999995</v>
      </c>
      <c r="D89" s="131" t="s">
        <v>161</v>
      </c>
      <c r="E89" s="130">
        <v>1.56</v>
      </c>
      <c r="F89" s="130" t="s">
        <v>274</v>
      </c>
      <c r="G89" s="129"/>
      <c r="H89" s="129"/>
      <c r="I89" s="132"/>
    </row>
    <row r="93" spans="1:14" x14ac:dyDescent="0.3">
      <c r="A93" s="117" t="s">
        <v>208</v>
      </c>
    </row>
    <row r="94" spans="1:14" x14ac:dyDescent="0.3">
      <c r="A94" s="117" t="s">
        <v>209</v>
      </c>
    </row>
    <row r="95" spans="1:14" x14ac:dyDescent="0.3">
      <c r="A95" s="117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E20" sqref="E20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0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7" t="s">
        <v>271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3" t="s">
        <v>207</v>
      </c>
      <c r="B5" s="134" t="s">
        <v>250</v>
      </c>
      <c r="C5" s="135" t="str">
        <f>Calculateur!S2</f>
        <v>ΔStock moyen de long terme (tCO₂/ha)</v>
      </c>
      <c r="D5" s="135" t="str">
        <f>Calculateur!T2</f>
        <v>Δstock CO₂ 30 ans (tCO₂/ha)</v>
      </c>
      <c r="E5" s="135" t="s">
        <v>228</v>
      </c>
      <c r="F5" s="135" t="s">
        <v>239</v>
      </c>
      <c r="G5" s="135" t="s">
        <v>240</v>
      </c>
      <c r="H5" s="136" t="s">
        <v>241</v>
      </c>
      <c r="I5" s="137" t="s">
        <v>242</v>
      </c>
      <c r="J5" s="138" t="s">
        <v>243</v>
      </c>
      <c r="K5" s="139" t="s">
        <v>244</v>
      </c>
      <c r="L5" s="81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0" t="str">
        <f>IF('Données projet'!$B$9="","",'Données projet'!$B$9)</f>
        <v>Chêne pédonculé</v>
      </c>
      <c r="B6" s="141">
        <f>'Données projet'!D9</f>
        <v>4.1818181818181817</v>
      </c>
      <c r="C6" s="142">
        <f ca="1">IF(OR('Données projet'!B9="",'Données projet'!C9="",'Données projet'!C9=0%),0,Calculateur!S3)</f>
        <v>267.44861001389006</v>
      </c>
      <c r="D6" s="142">
        <f>IF(OR('Données projet'!B9="",'Données projet'!C9="",'Données projet'!C9=0%),0,Calculateur!T3)</f>
        <v>165.25921510802965</v>
      </c>
      <c r="E6" s="142">
        <f ca="1">MIN(C6,D6)</f>
        <v>165.25921510802965</v>
      </c>
      <c r="F6" s="142">
        <f ca="1">E6*B6</f>
        <v>691.08399045176031</v>
      </c>
      <c r="G6" s="142">
        <f ca="1">F6*(100%-'Données projet'!$C$24)*(100%-'Données projet'!$C$25)*(100%-'Données projet'!$C$26)*(100%-'Données projet'!$C$27)</f>
        <v>621.97559140658427</v>
      </c>
      <c r="H6" s="143">
        <f>IF(OR('Données projet'!B9="",'Données projet'!C9="",'Données projet'!C9=0%),0,AVERAGE(Calculateur!$AC$3:$AC$33)*B6)</f>
        <v>0</v>
      </c>
      <c r="I6" s="144">
        <f>H6*(100%-'Données projet'!$C$24)*(100%-'Données projet'!$C$25)*(100%-'Données projet'!$C$26)*(100%-'Données projet'!$C$27)</f>
        <v>0</v>
      </c>
      <c r="J6" s="145">
        <f>IF(OR('Données projet'!B9="",'Données projet'!C9="",'Données projet'!C9=0%),0,SUM(Calculateur!$V$3:$V$33)*VLOOKUP('Données projet'!$B$9,Paramètres!$A$1:$I$89,9,0)*B6)</f>
        <v>64.818181818181813</v>
      </c>
      <c r="K6" s="146">
        <f>J6*(100%-'Données projet'!$C$24)*(100%-'Données projet'!$C$25)*(100%-'Données projet'!$C$26)*(100%-'Données projet'!$C$27)</f>
        <v>58.336363636363636</v>
      </c>
      <c r="L6" s="147">
        <f ca="1">G6+I6+K6</f>
        <v>680.31195504294794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48" t="str">
        <f>IF('Données projet'!$B$10="","",'Données projet'!$B$10)</f>
        <v>Chêne sessile</v>
      </c>
      <c r="B7" s="149">
        <f>'Données projet'!D10</f>
        <v>1.4090909090909092</v>
      </c>
      <c r="C7" s="142">
        <f ca="1">IF(OR('Données projet'!B10="",'Données projet'!C10="",'Données projet'!C10=0%),0,Calculateur!AN3)</f>
        <v>294.92430430387071</v>
      </c>
      <c r="D7" s="142">
        <f>IF(OR('Données projet'!B10="",'Données projet'!C10="",'Données projet'!C10=0%),0,Calculateur!AO3)</f>
        <v>181.52228471516497</v>
      </c>
      <c r="E7" s="142">
        <f t="shared" ref="E7:E15" ca="1" si="0">MIN(C7,D7)</f>
        <v>181.52228471516497</v>
      </c>
      <c r="F7" s="142">
        <f t="shared" ref="F7:F15" ca="1" si="1">E7*B7</f>
        <v>255.78140118955065</v>
      </c>
      <c r="G7" s="142">
        <f ca="1">F7*(100%-'Données projet'!$C$24)*(100%-'Données projet'!$C$25)*(100%-'Données projet'!$C$26)*(100%-'Données projet'!$C$27)</f>
        <v>230.2032610705956</v>
      </c>
      <c r="H7" s="150">
        <f>IF(OR('Données projet'!B10="",'Données projet'!C10="",'Données projet'!C10=0%),0,AVERAGE(Calculateur!$AX$3:$AX$33)*B7)</f>
        <v>0</v>
      </c>
      <c r="I7" s="144">
        <f>H7*(100%-'Données projet'!$C$24)*(100%-'Données projet'!$C$25)*(100%-'Données projet'!$C$26)*(100%-'Données projet'!$C$27)</f>
        <v>0</v>
      </c>
      <c r="J7" s="145">
        <f>IF(OR('Données projet'!B10="",'Données projet'!C10="",'Données projet'!C10=0%),0,SUM(Calculateur!$AQ$3:$AQ$33)*VLOOKUP('Données projet'!$B$10,Paramètres!$A$1:$I$89,9,0)*B7)</f>
        <v>21.840909090909093</v>
      </c>
      <c r="K7" s="146">
        <f>J7*(100%-'Données projet'!$C$24)*(100%-'Données projet'!$C$25)*(100%-'Données projet'!$C$26)*(100%-'Données projet'!$C$27)</f>
        <v>19.656818181818185</v>
      </c>
      <c r="L7" s="147">
        <f t="shared" ref="L7:L15" ca="1" si="2">G7+I7+K7</f>
        <v>249.86007925241378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48" t="str">
        <f>IF('Données projet'!$B$11="","",'Données projet'!$B$11)</f>
        <v>Bouleau verruqueux</v>
      </c>
      <c r="B8" s="149">
        <f>'Données projet'!D11</f>
        <v>0.69727272727272727</v>
      </c>
      <c r="C8" s="142">
        <f ca="1">IF(OR('Données projet'!B11="",'Données projet'!C11="",'Données projet'!C11=0%),0,Calculateur!BI3)</f>
        <v>250.90550982248311</v>
      </c>
      <c r="D8" s="142">
        <f>IF(OR('Données projet'!B11="",'Données projet'!C11="",'Données projet'!C11=0%),0,Calculateur!BJ3)</f>
        <v>254.68874167908001</v>
      </c>
      <c r="E8" s="142">
        <f t="shared" ca="1" si="0"/>
        <v>250.90550982248311</v>
      </c>
      <c r="F8" s="142">
        <f t="shared" ca="1" si="1"/>
        <v>174.94956912167686</v>
      </c>
      <c r="G8" s="142">
        <f ca="1">F8*(100%-'Données projet'!$C$24)*(100%-'Données projet'!$C$25)*(100%-'Données projet'!$C$26)*(100%-'Données projet'!$C$27)</f>
        <v>157.45461220950918</v>
      </c>
      <c r="H8" s="150">
        <f>IF(OR('Données projet'!B11="",'Données projet'!C11="",'Données projet'!C11=0%),0,AVERAGE(Calculateur!$BS$3:$BS$33)*B8)</f>
        <v>0</v>
      </c>
      <c r="I8" s="144">
        <f>H8*(100%-'Données projet'!$C$24)*(100%-'Données projet'!$C$25)*(100%-'Données projet'!$C$26)*(100%-'Données projet'!$C$27)</f>
        <v>0</v>
      </c>
      <c r="J8" s="145">
        <f>IF(OR('Données projet'!B11="",'Données projet'!C11="",'Données projet'!C11=0%),0,SUM(Calculateur!$BL$3:$BL$33)*VLOOKUP('Données projet'!$B$11,Paramètres!$A$1:$I$89,9,0)*B8)</f>
        <v>23.88159090909091</v>
      </c>
      <c r="K8" s="146">
        <f>J8*(100%-'Données projet'!$C$24)*(100%-'Données projet'!$C$25)*(100%-'Données projet'!$C$26)*(100%-'Données projet'!$C$27)</f>
        <v>21.493431818181818</v>
      </c>
      <c r="L8" s="147">
        <f t="shared" ca="1" si="2"/>
        <v>178.948044027691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48" t="str">
        <f>IF('Données projet'!$B$12="","",'Données projet'!$B$12)</f>
        <v>Douglas</v>
      </c>
      <c r="B9" s="149">
        <f>'Données projet'!D12</f>
        <v>0.52272727272727271</v>
      </c>
      <c r="C9" s="142">
        <f ca="1">IF(OR('Données projet'!B12="",'Données projet'!C12="",'Données projet'!C12=0%),0,Calculateur!CD3)</f>
        <v>462.54745364638171</v>
      </c>
      <c r="D9" s="142">
        <f>IF(OR('Données projet'!B12="",'Données projet'!C12="",'Données projet'!C12=0%),0,Calculateur!CE3)</f>
        <v>571.50914830067313</v>
      </c>
      <c r="E9" s="142">
        <f t="shared" ca="1" si="0"/>
        <v>462.54745364638171</v>
      </c>
      <c r="F9" s="142">
        <f t="shared" ca="1" si="1"/>
        <v>241.78616895151771</v>
      </c>
      <c r="G9" s="142">
        <f ca="1">F9*(100%-'Données projet'!$C$24)*(100%-'Données projet'!$C$25)*(100%-'Données projet'!$C$26)*(100%-'Données projet'!$C$27)</f>
        <v>217.60755205636593</v>
      </c>
      <c r="H9" s="150">
        <f>IF(OR('Données projet'!B12="",'Données projet'!C12="",'Données projet'!C12=0%),0,AVERAGE(Calculateur!$CN$3:$CN$33)*B9)</f>
        <v>4.452223713089035</v>
      </c>
      <c r="I9" s="144">
        <f>H9*(100%-'Données projet'!$C$24)*(100%-'Données projet'!$C$25)*(100%-'Données projet'!$C$26)*(100%-'Données projet'!$C$27)</f>
        <v>4.007001341780132</v>
      </c>
      <c r="J9" s="145">
        <f>IF(OR('Données projet'!B12="",'Données projet'!C12="",'Données projet'!C12=0%),0,SUM(Calculateur!$CG$3:$CG$33)*VLOOKUP('Données projet'!$B$12,Paramètres!$A$1:$I$89,9,0)*B9)</f>
        <v>43.381136363636358</v>
      </c>
      <c r="K9" s="146">
        <f>J9*(100%-'Données projet'!$C$24)*(100%-'Données projet'!$C$25)*(100%-'Données projet'!$C$26)*(100%-'Données projet'!$C$27)</f>
        <v>39.043022727272721</v>
      </c>
      <c r="L9" s="147">
        <f t="shared" ca="1" si="2"/>
        <v>260.65757612541876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48" t="str">
        <f>IF('Données projet'!$B$13="","",'Données projet'!$B$13)</f>
        <v>Charme</v>
      </c>
      <c r="B10" s="149">
        <f>'Données projet'!D13</f>
        <v>0.52272727272727271</v>
      </c>
      <c r="C10" s="142">
        <f ca="1">IF(OR('Données projet'!B13="",'Données projet'!C13="",'Données projet'!C13=0%),0,Calculateur!CY3)</f>
        <v>314.67680626853303</v>
      </c>
      <c r="D10" s="142">
        <f>IF(OR('Données projet'!B13="",'Données projet'!C13="",'Données projet'!C13=0%),0,Calculateur!CZ3)</f>
        <v>372.57247561536263</v>
      </c>
      <c r="E10" s="142">
        <f t="shared" ca="1" si="0"/>
        <v>314.67680626853303</v>
      </c>
      <c r="F10" s="142">
        <f t="shared" ca="1" si="1"/>
        <v>164.49014873127862</v>
      </c>
      <c r="G10" s="142">
        <f ca="1">F10*(100%-'Données projet'!$C$24)*(100%-'Données projet'!$C$25)*(100%-'Données projet'!$C$26)*(100%-'Données projet'!$C$27)</f>
        <v>148.04113385815077</v>
      </c>
      <c r="H10" s="150">
        <f>IF(OR('Données projet'!B13="",'Données projet'!C13="",'Données projet'!C13=0%),0,AVERAGE(Calculateur!$DI$3:$DI$33)*B10)</f>
        <v>0</v>
      </c>
      <c r="I10" s="144">
        <f>H10*(100%-'Données projet'!$C$24)*(100%-'Données projet'!$C$25)*(100%-'Données projet'!$C$26)*(100%-'Données projet'!$C$27)</f>
        <v>0</v>
      </c>
      <c r="J10" s="145">
        <f>IF(OR('Données projet'!B13="",'Données projet'!C13="",'Données projet'!C13=0%),0,SUM(Calculateur!$DB$3:$DB$33)*VLOOKUP('Données projet'!$B$13,Paramètres!$A$1:$I$89,9,0)*B10)</f>
        <v>13.460227272727272</v>
      </c>
      <c r="K10" s="146">
        <f>J10*(100%-'Données projet'!$C$24)*(100%-'Données projet'!$C$25)*(100%-'Données projet'!$C$26)*(100%-'Données projet'!$C$27)</f>
        <v>12.114204545454545</v>
      </c>
      <c r="L10" s="147">
        <f t="shared" ca="1" si="2"/>
        <v>160.15533840360533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48" t="str">
        <f>IF('Données projet'!$B$14="","",'Données projet'!$B$14)</f>
        <v>Aulne glutineux</v>
      </c>
      <c r="B11" s="149">
        <f>'Données projet'!D14</f>
        <v>0.17272727272727273</v>
      </c>
      <c r="C11" s="142">
        <f ca="1">IF(OR('Données projet'!B14="",'Données projet'!C14="",'Données projet'!C14=0%),0,Calculateur!DT3)</f>
        <v>188.80259324758066</v>
      </c>
      <c r="D11" s="142">
        <f>IF(OR('Données projet'!B14="",'Données projet'!C14="",'Données projet'!C14=0%),0,Calculateur!DU3)</f>
        <v>195.48048518255354</v>
      </c>
      <c r="E11" s="142">
        <f t="shared" ca="1" si="0"/>
        <v>188.80259324758066</v>
      </c>
      <c r="F11" s="142">
        <f t="shared" ca="1" si="1"/>
        <v>32.611357015491208</v>
      </c>
      <c r="G11" s="142">
        <f ca="1">F11*(100%-'Données projet'!$C$24)*(100%-'Données projet'!$C$25)*(100%-'Données projet'!$C$26)*(100%-'Données projet'!$C$27)</f>
        <v>29.35022131394209</v>
      </c>
      <c r="H11" s="150">
        <f>IF(OR('Données projet'!B14="",'Données projet'!C14="",'Données projet'!C14=0%),0,AVERAGE(Calculateur!$ED$3:$ED$33)*B11)</f>
        <v>0</v>
      </c>
      <c r="I11" s="144">
        <f>H11*(100%-'Données projet'!$C$24)*(100%-'Données projet'!$C$25)*(100%-'Données projet'!$C$26)*(100%-'Données projet'!$C$27)</f>
        <v>0</v>
      </c>
      <c r="J11" s="145">
        <f>IF(OR('Données projet'!B14="",'Données projet'!C14="",'Données projet'!C14=0%),0,SUM(Calculateur!$DW$3:$DW$33)*VLOOKUP('Données projet'!$B$14,Paramètres!$A$1:$I$89,9,0)*B11)</f>
        <v>5.915909090909091</v>
      </c>
      <c r="K11" s="146">
        <f>J11*(100%-'Données projet'!$C$24)*(100%-'Données projet'!$C$25)*(100%-'Données projet'!$C$26)*(100%-'Données projet'!$C$27)</f>
        <v>5.3243181818181817</v>
      </c>
      <c r="L11" s="147">
        <f t="shared" ca="1" si="2"/>
        <v>34.674539495760271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48" t="str">
        <f>IF('Données projet'!$B$15="","",'Données projet'!$B$15)</f>
        <v>Bouleau verruqueux</v>
      </c>
      <c r="B12" s="149">
        <f>'Données projet'!D15</f>
        <v>0.16363636363636364</v>
      </c>
      <c r="C12" s="142">
        <f ca="1">IF(OR('Données projet'!B15="",'Données projet'!C15="",'Données projet'!C15=0%),0,Calculateur!EO3)</f>
        <v>250.90550982248311</v>
      </c>
      <c r="D12" s="142">
        <f>IF(OR('Données projet'!B15="",'Données projet'!C15="",'Données projet'!C15=0%),0,Calculateur!EP3)</f>
        <v>254.68874167908001</v>
      </c>
      <c r="E12" s="142">
        <f t="shared" ca="1" si="0"/>
        <v>250.90550982248311</v>
      </c>
      <c r="F12" s="142">
        <f t="shared" ca="1" si="1"/>
        <v>41.057265243679055</v>
      </c>
      <c r="G12" s="142">
        <f ca="1">F12*(100%-'Données projet'!$C$24)*(100%-'Données projet'!$C$25)*(100%-'Données projet'!$C$26)*(100%-'Données projet'!$C$27)</f>
        <v>36.951538719311152</v>
      </c>
      <c r="H12" s="150">
        <f>IF(OR('Données projet'!B15="",'Données projet'!C15="",'Données projet'!C15=0%),0,AVERAGE(Calculateur!$EY$3:$EY$33)*B12)</f>
        <v>0</v>
      </c>
      <c r="I12" s="144">
        <f>H12*(100%-'Données projet'!$C$24)*(100%-'Données projet'!$C$25)*(100%-'Données projet'!$C$26)*(100%-'Données projet'!$C$27)</f>
        <v>0</v>
      </c>
      <c r="J12" s="145">
        <f>IF(OR('Données projet'!B15="",'Données projet'!C15="",'Données projet'!C15=0%),0,SUM(Calculateur!$ER$3:$ER$33)*VLOOKUP('Données projet'!$B$15,Paramètres!$A$1:$I$89,9,0)*B12)</f>
        <v>5.6045454545454545</v>
      </c>
      <c r="K12" s="146">
        <f>J12*(100%-'Données projet'!$C$24)*(100%-'Données projet'!$C$25)*(100%-'Données projet'!$C$26)*(100%-'Données projet'!$C$27)</f>
        <v>5.044090909090909</v>
      </c>
      <c r="L12" s="147">
        <f t="shared" ca="1" si="2"/>
        <v>41.995629628402064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48" t="str">
        <f>IF('Données projet'!$B$16="","",'Données projet'!$B$16)</f>
        <v/>
      </c>
      <c r="B13" s="149">
        <f>'Données projet'!D16</f>
        <v>0</v>
      </c>
      <c r="C13" s="142">
        <f>IF(OR('Données projet'!B16="",'Données projet'!C16="",'Données projet'!C16=0%),0,Calculateur!FJ3)</f>
        <v>0</v>
      </c>
      <c r="D13" s="142">
        <f>IF(OR('Données projet'!B16="",'Données projet'!C16="",'Données projet'!C16=0%),0,Calculateur!FK3)</f>
        <v>0</v>
      </c>
      <c r="E13" s="142">
        <f t="shared" si="0"/>
        <v>0</v>
      </c>
      <c r="F13" s="142">
        <f t="shared" si="1"/>
        <v>0</v>
      </c>
      <c r="G13" s="142">
        <f>F13*(100%-'Données projet'!$C$24)*(100%-'Données projet'!$C$25)*(100%-'Données projet'!$C$26)*(100%-'Données projet'!$C$27)</f>
        <v>0</v>
      </c>
      <c r="H13" s="150">
        <f>IF(OR('Données projet'!B16="",'Données projet'!C16="",'Données projet'!C16=0%),0,AVERAGE(Calculateur!$FT$3:$FT$33)*B13)</f>
        <v>0</v>
      </c>
      <c r="I13" s="144">
        <f>H13*(100%-'Données projet'!$C$24)*(100%-'Données projet'!$C$25)*(100%-'Données projet'!$C$26)*(100%-'Données projet'!$C$27)</f>
        <v>0</v>
      </c>
      <c r="J13" s="145">
        <f>IF(OR('Données projet'!C16="",'Données projet'!C16=0%),0,SUM(Calculateur!$FM$3:$FM$33)*VLOOKUP('Données projet'!$B$16,Paramètres!$A$1:$I$89,9,0)*B13)</f>
        <v>0</v>
      </c>
      <c r="K13" s="146">
        <f>J13*(100%-'Données projet'!$C$24)*(100%-'Données projet'!$C$25)*(100%-'Données projet'!$C$26)*(100%-'Données projet'!$C$27)</f>
        <v>0</v>
      </c>
      <c r="L13" s="147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48" t="str">
        <f>IF('Données projet'!$B$17="","",'Données projet'!$B$17)</f>
        <v/>
      </c>
      <c r="B14" s="149">
        <f>'Données projet'!D17</f>
        <v>0</v>
      </c>
      <c r="C14" s="142">
        <f>IF(OR('Données projet'!B17="",'Données projet'!C17="",'Données projet'!C17=0%),0,Calculateur!GE3)</f>
        <v>0</v>
      </c>
      <c r="D14" s="142">
        <f>IF(OR('Données projet'!B17="",'Données projet'!C17="",'Données projet'!C17=0%),0,Calculateur!GF3)</f>
        <v>0</v>
      </c>
      <c r="E14" s="142">
        <f t="shared" si="0"/>
        <v>0</v>
      </c>
      <c r="F14" s="142">
        <f t="shared" si="1"/>
        <v>0</v>
      </c>
      <c r="G14" s="142">
        <f>F14*(100%-'Données projet'!$C$24)*(100%-'Données projet'!$C$25)*(100%-'Données projet'!$C$26)*(100%-'Données projet'!$C$27)</f>
        <v>0</v>
      </c>
      <c r="H14" s="150">
        <f>IF(OR('Données projet'!B17="",'Données projet'!C17="",'Données projet'!C17=0%),0,AVERAGE(Calculateur!$GO$3:$GO$33)*B14)</f>
        <v>0</v>
      </c>
      <c r="I14" s="144">
        <f>H14*(100%-'Données projet'!$C$24)*(100%-'Données projet'!$C$25)*(100%-'Données projet'!$C$26)*(100%-'Données projet'!$C$27)</f>
        <v>0</v>
      </c>
      <c r="J14" s="145">
        <f>IF(OR('Données projet'!B17="",'Données projet'!C17="",'Données projet'!C17=0%),0,SUM(Calculateur!$GH$3:$GH$33)*VLOOKUP('Données projet'!$B$17,Paramètres!$A$1:$I$89,9,0)*B14)</f>
        <v>0</v>
      </c>
      <c r="K14" s="146">
        <f>J14*(100%-'Données projet'!$C$24)*(100%-'Données projet'!$C$25)*(100%-'Données projet'!$C$26)*(100%-'Données projet'!$C$27)</f>
        <v>0</v>
      </c>
      <c r="L14" s="147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1" t="str">
        <f>IF('Données projet'!B18="","",'Données projet'!B18)</f>
        <v/>
      </c>
      <c r="B15" s="152">
        <f>'Données projet'!D18</f>
        <v>0</v>
      </c>
      <c r="C15" s="153">
        <f>IF(OR('Données projet'!B18="",'Données projet'!C18="",'Données projet'!C18=0%),0,Calculateur!GZ3)</f>
        <v>0</v>
      </c>
      <c r="D15" s="153">
        <f>IF(OR('Données projet'!B18="",'Données projet'!C18="",'Données projet'!C18=0%),0,Calculateur!HA3)</f>
        <v>0</v>
      </c>
      <c r="E15" s="153">
        <f t="shared" si="0"/>
        <v>0</v>
      </c>
      <c r="F15" s="154">
        <f t="shared" si="1"/>
        <v>0</v>
      </c>
      <c r="G15" s="154">
        <f>F15*(100%-'Données projet'!$C$24)*(100%-'Données projet'!$C$25)*(100%-'Données projet'!$C$26)*(100%-'Données projet'!$C$27)</f>
        <v>0</v>
      </c>
      <c r="H15" s="155">
        <f>IF(OR('Données projet'!B18="",'Données projet'!C18="",'Données projet'!C18=0%),0,AVERAGE(Calculateur!$HJ$3:$HJ$33)*B15)</f>
        <v>0</v>
      </c>
      <c r="I15" s="156">
        <f>H15*(100%-'Données projet'!$C$24)*(100%-'Données projet'!$C$25)*(100%-'Données projet'!$C$26)*(100%-'Données projet'!$C$27)</f>
        <v>0</v>
      </c>
      <c r="J15" s="157">
        <f>IF(OR('Données projet'!B18="",'Données projet'!C18="",'Données projet'!C18=0%),0,SUM(Calculateur!$HC$3:$HC$33)*VLOOKUP('Données projet'!$B$18,Paramètres!$A$1:$I$89,9,0)*B15)</f>
        <v>0</v>
      </c>
      <c r="K15" s="158">
        <f>J15*(100%-'Données projet'!$C$24)*(100%-'Données projet'!$C$25)*(100%-'Données projet'!$C$26)*(100%-'Données projet'!$C$27)</f>
        <v>0</v>
      </c>
      <c r="L15" s="159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4"/>
      <c r="B16" s="208"/>
      <c r="C16" s="209"/>
      <c r="D16" s="23"/>
      <c r="E16" s="23"/>
      <c r="F16" s="160">
        <f t="shared" ref="F16:L16" ca="1" si="3">SUM(F6:F15)</f>
        <v>1601.7599007049544</v>
      </c>
      <c r="G16" s="161">
        <f t="shared" ca="1" si="3"/>
        <v>1441.5839106344588</v>
      </c>
      <c r="H16" s="162">
        <f t="shared" si="3"/>
        <v>4.452223713089035</v>
      </c>
      <c r="I16" s="162">
        <f t="shared" si="3"/>
        <v>4.007001341780132</v>
      </c>
      <c r="J16" s="163">
        <f t="shared" si="3"/>
        <v>178.90249999999997</v>
      </c>
      <c r="K16" s="163">
        <f t="shared" si="3"/>
        <v>161.01224999999999</v>
      </c>
      <c r="L16" s="164">
        <f t="shared" ca="1" si="3"/>
        <v>1606.6031619762389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4"/>
      <c r="B17" s="208"/>
      <c r="C17" s="209"/>
      <c r="D17" s="23"/>
      <c r="E17" s="23"/>
      <c r="F17" s="289" t="s">
        <v>246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4"/>
      <c r="B18" s="208"/>
      <c r="C18" s="209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5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5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5" t="str">
        <f>A8</f>
        <v>Bouleau verruqueux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5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5" t="str">
        <f>A10</f>
        <v>Charme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5" t="str">
        <f>A11</f>
        <v>Aulne glutineux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5" t="str">
        <f>A12</f>
        <v>Bouleau verruqueux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5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5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5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N17" sqref="N1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7" t="s">
        <v>272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6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305" t="s">
        <v>253</v>
      </c>
      <c r="L4" s="306"/>
      <c r="M4" s="232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67"/>
      <c r="I6" s="167"/>
      <c r="J6" s="16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37"/>
      <c r="B7" s="238"/>
      <c r="C7" s="238"/>
      <c r="D7" s="238"/>
      <c r="E7" s="239"/>
      <c r="F7" s="239" t="s">
        <v>192</v>
      </c>
      <c r="G7" s="240"/>
      <c r="H7" s="238"/>
      <c r="I7" s="238"/>
      <c r="J7" s="241"/>
      <c r="K7" s="235"/>
      <c r="L7" s="236"/>
      <c r="M7" s="236"/>
      <c r="N7" s="242" t="s">
        <v>191</v>
      </c>
      <c r="O7" s="242"/>
      <c r="P7" s="243"/>
      <c r="Q7" s="244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5"/>
      <c r="K8" s="203"/>
      <c r="L8" s="23"/>
      <c r="M8" s="23"/>
      <c r="N8" s="23"/>
      <c r="O8" s="23"/>
      <c r="P8" s="23"/>
      <c r="Q8" s="229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88" t="s">
        <v>311</v>
      </c>
      <c r="C9" s="23"/>
      <c r="D9" s="23"/>
      <c r="E9" s="23"/>
      <c r="F9" s="225"/>
      <c r="G9" s="88" t="s">
        <v>314</v>
      </c>
      <c r="J9" s="195"/>
      <c r="K9" s="203"/>
      <c r="O9" s="23"/>
      <c r="P9" s="23"/>
      <c r="Q9" s="229"/>
      <c r="R9" s="23"/>
      <c r="S9" s="4"/>
      <c r="T9" s="36" t="s">
        <v>262</v>
      </c>
      <c r="U9" s="171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88" t="s">
        <v>317</v>
      </c>
      <c r="C10" s="23"/>
      <c r="D10" s="23"/>
      <c r="E10" s="23"/>
      <c r="F10" s="225"/>
      <c r="G10" s="88" t="s">
        <v>316</v>
      </c>
      <c r="J10" s="195"/>
      <c r="K10" s="203"/>
      <c r="O10" s="23"/>
      <c r="P10" s="23"/>
      <c r="Q10" s="229"/>
      <c r="R10" s="23"/>
      <c r="S10" s="36" t="str">
        <f>B14</f>
        <v>Chêne pédonculé</v>
      </c>
      <c r="T10" s="17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-1986.4480571646839</v>
      </c>
      <c r="U10" s="173">
        <f>'Données projet'!D9</f>
        <v>4.1818181818181817</v>
      </c>
      <c r="V10" s="172">
        <f>U10*T10</f>
        <v>-8306.9646026886785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88" t="s">
        <v>312</v>
      </c>
      <c r="B11" s="23"/>
      <c r="C11" s="23"/>
      <c r="D11" s="23"/>
      <c r="E11" s="23"/>
      <c r="F11" s="225"/>
      <c r="G11" s="88" t="s">
        <v>313</v>
      </c>
      <c r="J11" s="195"/>
      <c r="K11" s="203"/>
      <c r="M11" s="4"/>
      <c r="N11" s="4"/>
      <c r="O11" s="23"/>
      <c r="P11" s="23"/>
      <c r="Q11" s="229"/>
      <c r="R11" s="23"/>
      <c r="S11" s="36" t="str">
        <f>B45</f>
        <v>Chêne sessile</v>
      </c>
      <c r="T11" s="23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-1786.8119943554509</v>
      </c>
      <c r="U11" s="173">
        <f>'Données projet'!D10</f>
        <v>1.4090909090909092</v>
      </c>
      <c r="V11" s="172">
        <f t="shared" ref="V11" si="0">U11*T11</f>
        <v>-2517.7805375008629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5"/>
      <c r="J12" s="195"/>
      <c r="K12" s="203"/>
      <c r="L12" s="197"/>
      <c r="M12" s="23"/>
      <c r="N12" s="23"/>
      <c r="O12" s="23"/>
      <c r="P12" s="23"/>
      <c r="Q12" s="229"/>
      <c r="R12" s="23"/>
      <c r="S12" s="36" t="str">
        <f>B76</f>
        <v>Bouleau verruqueux</v>
      </c>
      <c r="T12" s="23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-1058.7943662960097</v>
      </c>
      <c r="U12" s="173">
        <f>'Données projet'!D11</f>
        <v>0.69727272727272727</v>
      </c>
      <c r="V12" s="172">
        <f t="shared" ref="V12:V19" si="1">U12*T12</f>
        <v>-738.26843540821767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5"/>
      <c r="J13" s="23"/>
      <c r="K13" s="203"/>
      <c r="L13" s="88" t="s">
        <v>257</v>
      </c>
      <c r="M13" s="23"/>
      <c r="N13" s="23"/>
      <c r="O13" s="23"/>
      <c r="P13" s="23"/>
      <c r="Q13" s="229"/>
      <c r="R13" s="23"/>
      <c r="S13" s="36" t="str">
        <f>B107</f>
        <v>Douglas</v>
      </c>
      <c r="T13" s="23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-1333.6752123288697</v>
      </c>
      <c r="U13" s="173">
        <f>'Données projet'!D12</f>
        <v>0.52272727272727271</v>
      </c>
      <c r="V13" s="172">
        <f t="shared" si="1"/>
        <v>-697.14840644463641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69" t="str">
        <f>IF('Données projet'!$B$9="","",'Données projet'!$B$9)</f>
        <v>Chêne pédonculé</v>
      </c>
      <c r="C14" s="4"/>
      <c r="D14" s="4"/>
      <c r="E14" s="4"/>
      <c r="F14" s="225"/>
      <c r="G14" s="23"/>
      <c r="H14" s="36" t="s">
        <v>178</v>
      </c>
      <c r="I14" s="36" t="s">
        <v>290</v>
      </c>
      <c r="J14" s="196"/>
      <c r="K14" s="168"/>
      <c r="L14" s="197"/>
      <c r="M14" s="23"/>
      <c r="N14" s="23"/>
      <c r="O14" s="4"/>
      <c r="P14" s="4"/>
      <c r="Q14" s="230"/>
      <c r="R14" s="4"/>
      <c r="S14" s="36" t="str">
        <f>B138</f>
        <v>Charme</v>
      </c>
      <c r="T14" s="23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-1199.485378392829</v>
      </c>
      <c r="U14" s="173">
        <f>'Données projet'!D13</f>
        <v>0.52272727272727271</v>
      </c>
      <c r="V14" s="172">
        <f t="shared" si="1"/>
        <v>-627.00372052352429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5"/>
      <c r="G15" s="308" t="s">
        <v>318</v>
      </c>
      <c r="H15" s="185"/>
      <c r="I15" s="186"/>
      <c r="J15" s="197"/>
      <c r="K15" s="203"/>
      <c r="L15" s="197"/>
      <c r="M15" s="23"/>
      <c r="N15" s="23"/>
      <c r="O15" s="23"/>
      <c r="P15" s="23"/>
      <c r="Q15" s="229"/>
      <c r="R15" s="23"/>
      <c r="S15" s="36" t="str">
        <f>B169</f>
        <v>Aulne glutineux</v>
      </c>
      <c r="T15" s="23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-995.07436629600943</v>
      </c>
      <c r="U15" s="173">
        <f>'Données projet'!D14</f>
        <v>0.17272727272727273</v>
      </c>
      <c r="V15" s="172">
        <f t="shared" si="1"/>
        <v>-171.87648145112891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5"/>
      <c r="G16" s="308"/>
      <c r="H16" s="185"/>
      <c r="I16" s="186"/>
      <c r="J16" s="197"/>
      <c r="K16" s="203"/>
      <c r="L16" s="305" t="s">
        <v>254</v>
      </c>
      <c r="M16" s="306"/>
      <c r="N16" s="2">
        <v>20</v>
      </c>
      <c r="O16" s="23"/>
      <c r="P16" s="23"/>
      <c r="Q16" s="229"/>
      <c r="R16" s="23"/>
      <c r="S16" s="36" t="str">
        <f>B200</f>
        <v>Bouleau verruqueux</v>
      </c>
      <c r="T16" s="23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-1003.7743662960097</v>
      </c>
      <c r="U16" s="173">
        <f>'Données projet'!D15</f>
        <v>0.16363636363636364</v>
      </c>
      <c r="V16" s="172">
        <f t="shared" si="1"/>
        <v>-164.25398721207432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4" t="s">
        <v>132</v>
      </c>
      <c r="C17" s="193" t="s">
        <v>132</v>
      </c>
      <c r="D17" s="192" t="s">
        <v>132</v>
      </c>
      <c r="E17" s="261">
        <v>2204.75</v>
      </c>
      <c r="F17" s="225"/>
      <c r="G17" s="308"/>
      <c r="J17" s="197"/>
      <c r="K17" s="203"/>
      <c r="L17" s="265" t="s">
        <v>289</v>
      </c>
      <c r="M17" s="267"/>
      <c r="N17" s="170">
        <f>VLOOKUP(N16,Calculateur!$A$2:$H$153,3,0)/VLOOKUP('Scénario référence'!$G$15,Paramètres!A1:I89,3,0)/VLOOKUP('Scénario référence'!$G$15,Paramètres!A1:I89,5,0)</f>
        <v>19.999999999999993</v>
      </c>
      <c r="O17" s="23"/>
      <c r="P17" s="23"/>
      <c r="Q17" s="229"/>
      <c r="R17" s="23"/>
      <c r="S17" s="36" t="str">
        <f>B231</f>
        <v/>
      </c>
      <c r="T17" s="23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3">
        <f>'Données projet'!D16</f>
        <v>0</v>
      </c>
      <c r="V17" s="172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4" t="s">
        <v>132</v>
      </c>
      <c r="C18" s="193" t="s">
        <v>132</v>
      </c>
      <c r="D18" s="192" t="s">
        <v>132</v>
      </c>
      <c r="E18" s="188"/>
      <c r="F18" s="225"/>
      <c r="G18" s="308"/>
      <c r="J18" s="197"/>
      <c r="K18" s="203"/>
      <c r="L18" s="265" t="s">
        <v>255</v>
      </c>
      <c r="M18" s="267"/>
      <c r="N18" s="187">
        <v>10</v>
      </c>
      <c r="O18" s="23"/>
      <c r="P18" s="23"/>
      <c r="Q18" s="229"/>
      <c r="R18" s="23"/>
      <c r="S18" s="36" t="str">
        <f>B262</f>
        <v/>
      </c>
      <c r="T18" s="23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3">
        <f>'Données projet'!D17</f>
        <v>0</v>
      </c>
      <c r="V18" s="172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4" t="s">
        <v>132</v>
      </c>
      <c r="C19" s="193" t="s">
        <v>132</v>
      </c>
      <c r="D19" s="192" t="s">
        <v>132</v>
      </c>
      <c r="E19" s="188"/>
      <c r="F19" s="225"/>
      <c r="G19" s="308"/>
      <c r="H19" s="207" t="s">
        <v>178</v>
      </c>
      <c r="I19" s="207" t="s">
        <v>287</v>
      </c>
      <c r="J19" s="88"/>
      <c r="K19" s="168"/>
      <c r="L19" s="305" t="s">
        <v>288</v>
      </c>
      <c r="M19" s="306"/>
      <c r="N19" s="174">
        <f>N17*N18</f>
        <v>199.99999999999994</v>
      </c>
      <c r="O19" s="23"/>
      <c r="P19" s="4"/>
      <c r="Q19" s="230"/>
      <c r="R19" s="4"/>
      <c r="S19" s="36" t="str">
        <f>B293</f>
        <v/>
      </c>
      <c r="T19" s="23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3">
        <f>'Données projet'!D18</f>
        <v>0</v>
      </c>
      <c r="V19" s="172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4" t="s">
        <v>132</v>
      </c>
      <c r="C20" s="193" t="s">
        <v>132</v>
      </c>
      <c r="D20" s="192" t="s">
        <v>132</v>
      </c>
      <c r="E20" s="188"/>
      <c r="F20" s="225"/>
      <c r="G20" s="308"/>
      <c r="H20" s="185">
        <v>0</v>
      </c>
      <c r="I20" s="186">
        <v>7739.68</v>
      </c>
      <c r="J20" s="4"/>
      <c r="K20" s="168"/>
      <c r="O20" s="23"/>
      <c r="P20" s="4"/>
      <c r="Q20" s="230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4" t="s">
        <v>132</v>
      </c>
      <c r="C21" s="193" t="s">
        <v>132</v>
      </c>
      <c r="D21" s="192" t="s">
        <v>132</v>
      </c>
      <c r="E21" s="188"/>
      <c r="F21" s="225"/>
      <c r="H21" s="185">
        <v>1</v>
      </c>
      <c r="I21" s="186"/>
      <c r="K21" s="168"/>
      <c r="O21" s="23"/>
      <c r="P21" s="4"/>
      <c r="Q21" s="230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4" t="s">
        <v>132</v>
      </c>
      <c r="C22" s="193" t="s">
        <v>132</v>
      </c>
      <c r="D22" s="192" t="s">
        <v>132</v>
      </c>
      <c r="E22" s="188"/>
      <c r="F22" s="225"/>
      <c r="H22" s="185">
        <v>2</v>
      </c>
      <c r="I22" s="186"/>
      <c r="K22" s="168"/>
      <c r="O22" s="23"/>
      <c r="P22" s="4"/>
      <c r="Q22" s="230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5">
        <f>'Données projet'!A36</f>
        <v>20</v>
      </c>
      <c r="B23" s="176">
        <f>'Données projet'!D36</f>
        <v>6</v>
      </c>
      <c r="C23" s="188"/>
      <c r="D23" s="177">
        <f>B23*C23</f>
        <v>0</v>
      </c>
      <c r="E23" s="188"/>
      <c r="F23" s="225"/>
      <c r="H23" s="185">
        <v>3</v>
      </c>
      <c r="I23" s="186"/>
      <c r="K23" s="203"/>
      <c r="L23" s="307" t="s">
        <v>260</v>
      </c>
      <c r="M23" s="307"/>
      <c r="N23" s="307"/>
      <c r="O23" s="23"/>
      <c r="P23" s="23"/>
      <c r="Q23" s="229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-72586.64177122913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5">
        <f>'Données projet'!A37</f>
        <v>25</v>
      </c>
      <c r="B24" s="176">
        <f>'Données projet'!D37</f>
        <v>28</v>
      </c>
      <c r="C24" s="188">
        <v>13</v>
      </c>
      <c r="D24" s="177">
        <f t="shared" ref="D24:D42" si="2">B24*C24</f>
        <v>364</v>
      </c>
      <c r="E24" s="188"/>
      <c r="F24" s="228"/>
      <c r="H24" s="185">
        <v>4</v>
      </c>
      <c r="I24" s="186"/>
      <c r="K24" s="203"/>
      <c r="O24" s="23"/>
      <c r="P24" s="23"/>
      <c r="Q24" s="229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636.06214675615252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5">
        <f>'Données projet'!A38</f>
        <v>30</v>
      </c>
      <c r="B25" s="176">
        <f>'Données projet'!D38</f>
        <v>28</v>
      </c>
      <c r="C25" s="188">
        <v>13</v>
      </c>
      <c r="D25" s="177">
        <f t="shared" si="2"/>
        <v>364</v>
      </c>
      <c r="E25" s="188"/>
      <c r="F25" s="228"/>
      <c r="H25" s="185">
        <v>5</v>
      </c>
      <c r="I25" s="186"/>
      <c r="K25" s="203"/>
      <c r="L25" s="125" t="s">
        <v>285</v>
      </c>
      <c r="M25" s="125"/>
      <c r="N25" s="125"/>
      <c r="O25" s="125"/>
      <c r="P25" s="187">
        <v>0</v>
      </c>
      <c r="Q25" s="229"/>
      <c r="R25" s="23"/>
      <c r="S25" s="181" t="s">
        <v>266</v>
      </c>
      <c r="T25" s="304">
        <f ca="1">T23-T24</f>
        <v>-73222.703917985287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5">
        <f>'Données projet'!A39</f>
        <v>35</v>
      </c>
      <c r="B26" s="176">
        <f>'Données projet'!D39</f>
        <v>28</v>
      </c>
      <c r="C26" s="188"/>
      <c r="D26" s="177">
        <f t="shared" si="2"/>
        <v>0</v>
      </c>
      <c r="E26" s="188"/>
      <c r="F26" s="228"/>
      <c r="G26" s="224"/>
      <c r="H26" s="185">
        <v>6</v>
      </c>
      <c r="I26" s="186"/>
      <c r="K26" s="203"/>
      <c r="L26" s="291" t="s">
        <v>258</v>
      </c>
      <c r="M26" s="292"/>
      <c r="N26" s="292"/>
      <c r="O26" s="292"/>
      <c r="P26" s="293"/>
      <c r="Q26" s="229"/>
      <c r="R26" s="23"/>
      <c r="S26" s="181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5">
        <f>'Données projet'!A40</f>
        <v>40</v>
      </c>
      <c r="B27" s="176">
        <f>'Données projet'!D40</f>
        <v>28</v>
      </c>
      <c r="C27" s="188"/>
      <c r="D27" s="177">
        <f t="shared" si="2"/>
        <v>0</v>
      </c>
      <c r="E27" s="188"/>
      <c r="F27" s="228"/>
      <c r="G27" s="224"/>
      <c r="H27" s="185">
        <v>7</v>
      </c>
      <c r="I27" s="186"/>
      <c r="K27" s="203"/>
      <c r="L27" s="294"/>
      <c r="M27" s="295"/>
      <c r="N27" s="295"/>
      <c r="O27" s="295"/>
      <c r="P27" s="296"/>
      <c r="Q27" s="229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5">
        <f>'Données projet'!A41</f>
        <v>45</v>
      </c>
      <c r="B28" s="176">
        <f>'Données projet'!D41</f>
        <v>28</v>
      </c>
      <c r="C28" s="188"/>
      <c r="D28" s="177">
        <f t="shared" si="2"/>
        <v>0</v>
      </c>
      <c r="E28" s="188"/>
      <c r="F28" s="228"/>
      <c r="G28" s="200"/>
      <c r="H28" s="185">
        <v>8</v>
      </c>
      <c r="I28" s="186"/>
      <c r="K28" s="203"/>
      <c r="Q28" s="229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5">
        <f>'Données projet'!A42</f>
        <v>50</v>
      </c>
      <c r="B29" s="176">
        <f>'Données projet'!D42</f>
        <v>28</v>
      </c>
      <c r="C29" s="188"/>
      <c r="D29" s="177">
        <f t="shared" si="2"/>
        <v>0</v>
      </c>
      <c r="E29" s="188"/>
      <c r="F29" s="228"/>
      <c r="G29" s="198"/>
      <c r="H29" s="185">
        <v>9</v>
      </c>
      <c r="I29" s="186"/>
      <c r="K29" s="203"/>
      <c r="O29" s="23"/>
      <c r="P29" s="23"/>
      <c r="Q29" s="229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5">
        <f>'Données projet'!A43</f>
        <v>55</v>
      </c>
      <c r="B30" s="176">
        <f>'Données projet'!D43</f>
        <v>28</v>
      </c>
      <c r="C30" s="188"/>
      <c r="D30" s="177">
        <f t="shared" si="2"/>
        <v>0</v>
      </c>
      <c r="E30" s="188"/>
      <c r="F30" s="228"/>
      <c r="G30" s="198"/>
      <c r="H30" s="185">
        <v>10</v>
      </c>
      <c r="I30" s="186"/>
      <c r="K30" s="178"/>
      <c r="L30" s="36" t="s">
        <v>259</v>
      </c>
      <c r="M30" s="179">
        <f ca="1">SUM(OFFSET($P$33,0,0,MIN('Données projet'!$E$9:$E$18)+1,1))</f>
        <v>0</v>
      </c>
      <c r="O30" s="4"/>
      <c r="P30" s="4"/>
      <c r="Q30" s="230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5">
        <f>'Données projet'!A44</f>
        <v>60</v>
      </c>
      <c r="B31" s="176">
        <f>'Données projet'!D44</f>
        <v>28</v>
      </c>
      <c r="C31" s="188"/>
      <c r="D31" s="177">
        <f t="shared" si="2"/>
        <v>0</v>
      </c>
      <c r="E31" s="188"/>
      <c r="F31" s="228"/>
      <c r="G31" s="198"/>
      <c r="H31" s="185">
        <v>11</v>
      </c>
      <c r="I31" s="186"/>
      <c r="K31" s="168"/>
      <c r="Q31" s="229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5">
        <f>'Données projet'!A45</f>
        <v>65</v>
      </c>
      <c r="B32" s="176">
        <f>'Données projet'!D45</f>
        <v>28</v>
      </c>
      <c r="C32" s="188"/>
      <c r="D32" s="177">
        <f t="shared" si="2"/>
        <v>0</v>
      </c>
      <c r="E32" s="188"/>
      <c r="F32" s="228"/>
      <c r="G32" s="198"/>
      <c r="H32" s="185">
        <v>12</v>
      </c>
      <c r="I32" s="186"/>
      <c r="K32" s="168"/>
      <c r="N32" s="4"/>
      <c r="O32" s="82" t="s">
        <v>178</v>
      </c>
      <c r="P32" s="82" t="s">
        <v>252</v>
      </c>
      <c r="Q32" s="229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5">
        <f>'Données projet'!A46</f>
        <v>70</v>
      </c>
      <c r="B33" s="176">
        <f>'Données projet'!D46</f>
        <v>28</v>
      </c>
      <c r="C33" s="188"/>
      <c r="D33" s="177">
        <f t="shared" si="2"/>
        <v>0</v>
      </c>
      <c r="E33" s="188"/>
      <c r="F33" s="228"/>
      <c r="G33" s="198"/>
      <c r="H33" s="185">
        <v>13</v>
      </c>
      <c r="I33" s="186"/>
      <c r="K33" s="168"/>
      <c r="L33" s="4"/>
      <c r="M33" s="4"/>
      <c r="N33" s="4"/>
      <c r="O33" s="189">
        <v>0</v>
      </c>
      <c r="P33" s="180">
        <f t="shared" ref="P33:P64" si="3">$P$25/(1+$M$4)^O33</f>
        <v>0</v>
      </c>
      <c r="Q33" s="229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5">
        <f>'Données projet'!A47</f>
        <v>75</v>
      </c>
      <c r="B34" s="176">
        <f>'Données projet'!D47</f>
        <v>28</v>
      </c>
      <c r="C34" s="188"/>
      <c r="D34" s="177">
        <f t="shared" si="2"/>
        <v>0</v>
      </c>
      <c r="E34" s="188"/>
      <c r="F34" s="228"/>
      <c r="G34" s="198"/>
      <c r="H34" s="185">
        <v>14</v>
      </c>
      <c r="I34" s="186"/>
      <c r="K34" s="168"/>
      <c r="L34" s="93"/>
      <c r="M34" s="93"/>
      <c r="N34" s="245"/>
      <c r="O34" s="189">
        <f>IF(O33+1&lt;=MIN('Données projet'!$E$9:$E$18),O33+1,"STOP")</f>
        <v>1</v>
      </c>
      <c r="P34" s="180">
        <f t="shared" si="3"/>
        <v>0</v>
      </c>
      <c r="Q34" s="229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5">
        <f>'Données projet'!A48</f>
        <v>80</v>
      </c>
      <c r="B35" s="176">
        <f>'Données projet'!D48</f>
        <v>28</v>
      </c>
      <c r="C35" s="188"/>
      <c r="D35" s="177">
        <f t="shared" si="2"/>
        <v>0</v>
      </c>
      <c r="E35" s="188"/>
      <c r="F35" s="228"/>
      <c r="G35" s="198"/>
      <c r="H35" s="185">
        <v>15</v>
      </c>
      <c r="I35" s="186"/>
      <c r="K35" s="168"/>
      <c r="L35" s="93"/>
      <c r="M35" s="93"/>
      <c r="N35" s="245"/>
      <c r="O35" s="189">
        <f>IF(O34+1&lt;=MIN('Données projet'!$E$9:$E$18),O34+1,"STOP")</f>
        <v>2</v>
      </c>
      <c r="P35" s="180">
        <f t="shared" si="3"/>
        <v>0</v>
      </c>
      <c r="Q35" s="229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5">
        <f>'Données projet'!A49</f>
        <v>85</v>
      </c>
      <c r="B36" s="176">
        <f>'Données projet'!D49</f>
        <v>28</v>
      </c>
      <c r="C36" s="188"/>
      <c r="D36" s="177">
        <f t="shared" si="2"/>
        <v>0</v>
      </c>
      <c r="E36" s="188"/>
      <c r="F36" s="228"/>
      <c r="G36" s="198"/>
      <c r="H36" s="185">
        <v>16</v>
      </c>
      <c r="I36" s="186"/>
      <c r="K36" s="168"/>
      <c r="L36" s="23"/>
      <c r="M36" s="23"/>
      <c r="N36" s="23"/>
      <c r="O36" s="189">
        <f>IF(O35+1&lt;=MIN('Données projet'!$E$9:$E$18),O35+1,"STOP")</f>
        <v>3</v>
      </c>
      <c r="P36" s="180">
        <f t="shared" si="3"/>
        <v>0</v>
      </c>
      <c r="Q36" s="229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5">
        <f>'Données projet'!A50</f>
        <v>90</v>
      </c>
      <c r="B37" s="176">
        <f>'Données projet'!D50</f>
        <v>28</v>
      </c>
      <c r="C37" s="188"/>
      <c r="D37" s="177">
        <f t="shared" si="2"/>
        <v>0</v>
      </c>
      <c r="E37" s="188"/>
      <c r="F37" s="228"/>
      <c r="G37" s="198"/>
      <c r="H37" s="185">
        <v>17</v>
      </c>
      <c r="I37" s="186"/>
      <c r="K37" s="168"/>
      <c r="L37" s="23"/>
      <c r="M37" s="23"/>
      <c r="N37" s="23"/>
      <c r="O37" s="189">
        <f>IF(O36+1&lt;=MIN('Données projet'!$E$9:$E$18),O36+1,"STOP")</f>
        <v>4</v>
      </c>
      <c r="P37" s="180">
        <f t="shared" si="3"/>
        <v>0</v>
      </c>
      <c r="Q37" s="229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5">
        <f>'Données projet'!A51</f>
        <v>95</v>
      </c>
      <c r="B38" s="176">
        <f>'Données projet'!D51</f>
        <v>28</v>
      </c>
      <c r="C38" s="188"/>
      <c r="D38" s="177">
        <f t="shared" si="2"/>
        <v>0</v>
      </c>
      <c r="E38" s="188"/>
      <c r="F38" s="228"/>
      <c r="G38" s="198"/>
      <c r="H38" s="185">
        <v>18</v>
      </c>
      <c r="I38" s="186"/>
      <c r="K38" s="168"/>
      <c r="L38" s="23"/>
      <c r="M38" s="23"/>
      <c r="N38" s="23"/>
      <c r="O38" s="189">
        <f>IF(O37+1&lt;=MIN('Données projet'!$E$9:$E$18),O37+1,"STOP")</f>
        <v>5</v>
      </c>
      <c r="P38" s="180">
        <f t="shared" si="3"/>
        <v>0</v>
      </c>
      <c r="Q38" s="229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5">
        <f>'Données projet'!A52</f>
        <v>100</v>
      </c>
      <c r="B39" s="176">
        <f>'Données projet'!D52</f>
        <v>27</v>
      </c>
      <c r="C39" s="188"/>
      <c r="D39" s="177">
        <f t="shared" si="2"/>
        <v>0</v>
      </c>
      <c r="E39" s="188"/>
      <c r="F39" s="228"/>
      <c r="G39" s="198"/>
      <c r="H39" s="185">
        <v>19</v>
      </c>
      <c r="I39" s="186"/>
      <c r="K39" s="203"/>
      <c r="L39" s="23"/>
      <c r="M39" s="23"/>
      <c r="N39" s="23"/>
      <c r="O39" s="189">
        <f>IF(O38+1&lt;=MIN('Données projet'!$E$9:$E$18),O38+1,"STOP")</f>
        <v>6</v>
      </c>
      <c r="P39" s="180">
        <f t="shared" si="3"/>
        <v>0</v>
      </c>
      <c r="Q39" s="229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5">
        <f>'Données projet'!A53</f>
        <v>105</v>
      </c>
      <c r="B40" s="176">
        <f>'Données projet'!D53</f>
        <v>26</v>
      </c>
      <c r="C40" s="188"/>
      <c r="D40" s="177">
        <f t="shared" si="2"/>
        <v>0</v>
      </c>
      <c r="E40" s="188"/>
      <c r="F40" s="228"/>
      <c r="G40" s="198"/>
      <c r="H40" s="185">
        <v>20</v>
      </c>
      <c r="I40" s="186"/>
      <c r="K40" s="203"/>
      <c r="L40" s="23"/>
      <c r="M40" s="23"/>
      <c r="N40" s="23"/>
      <c r="O40" s="189">
        <f>IF(O39+1&lt;=MIN('Données projet'!$E$9:$E$18),O39+1,"STOP")</f>
        <v>7</v>
      </c>
      <c r="P40" s="180">
        <f t="shared" si="3"/>
        <v>0</v>
      </c>
      <c r="Q40" s="229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5">
        <f>'Données projet'!A54</f>
        <v>110</v>
      </c>
      <c r="B41" s="176">
        <f>'Données projet'!D54</f>
        <v>25</v>
      </c>
      <c r="C41" s="188"/>
      <c r="D41" s="177">
        <f t="shared" si="2"/>
        <v>0</v>
      </c>
      <c r="E41" s="188"/>
      <c r="F41" s="228"/>
      <c r="G41" s="198"/>
      <c r="H41" s="185">
        <v>21</v>
      </c>
      <c r="I41" s="186"/>
      <c r="K41" s="203"/>
      <c r="L41" s="23"/>
      <c r="M41" s="23"/>
      <c r="N41" s="23"/>
      <c r="O41" s="189">
        <f>IF(O40+1&lt;=MIN('Données projet'!$E$9:$E$18),O40+1,"STOP")</f>
        <v>8</v>
      </c>
      <c r="P41" s="180">
        <f t="shared" si="3"/>
        <v>0</v>
      </c>
      <c r="Q41" s="229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5">
        <f>'Données projet'!A55</f>
        <v>115</v>
      </c>
      <c r="B42" s="176">
        <f>'Données projet'!D55</f>
        <v>24</v>
      </c>
      <c r="C42" s="188"/>
      <c r="D42" s="177">
        <f t="shared" si="2"/>
        <v>0</v>
      </c>
      <c r="E42" s="188"/>
      <c r="F42" s="228"/>
      <c r="G42" s="198"/>
      <c r="H42" s="185">
        <v>22</v>
      </c>
      <c r="I42" s="186"/>
      <c r="K42" s="203"/>
      <c r="L42" s="23"/>
      <c r="M42" s="23"/>
      <c r="N42" s="23"/>
      <c r="O42" s="189">
        <f>IF(O41+1&lt;=MIN('Données projet'!$E$9:$E$18),O41+1,"STOP")</f>
        <v>9</v>
      </c>
      <c r="P42" s="180">
        <f t="shared" si="3"/>
        <v>0</v>
      </c>
      <c r="Q42" s="229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2"/>
      <c r="B43" s="182"/>
      <c r="C43" s="182"/>
      <c r="D43" s="222"/>
      <c r="E43" s="222"/>
      <c r="F43" s="233"/>
      <c r="G43" s="198"/>
      <c r="H43" s="185">
        <v>23</v>
      </c>
      <c r="I43" s="186"/>
      <c r="K43" s="203"/>
      <c r="L43" s="23"/>
      <c r="M43" s="23"/>
      <c r="N43" s="23"/>
      <c r="O43" s="189">
        <f>IF(O42+1&lt;=MIN('Données projet'!$E$9:$E$18),O42+1,"STOP")</f>
        <v>10</v>
      </c>
      <c r="P43" s="180">
        <f t="shared" si="3"/>
        <v>0</v>
      </c>
      <c r="Q43" s="230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5"/>
      <c r="G44" s="198"/>
      <c r="H44" s="185">
        <v>24</v>
      </c>
      <c r="I44" s="186"/>
      <c r="K44" s="203"/>
      <c r="L44" s="23"/>
      <c r="M44" s="23"/>
      <c r="N44" s="23"/>
      <c r="O44" s="189">
        <f>IF(O43+1&lt;=MIN('Données projet'!$E$9:$E$18),O43+1,"STOP")</f>
        <v>11</v>
      </c>
      <c r="P44" s="180">
        <f t="shared" si="3"/>
        <v>0</v>
      </c>
      <c r="Q44" s="230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69" t="str">
        <f>IF('Données projet'!$B$10="","",'Données projet'!$B$10)</f>
        <v>Chêne sessile</v>
      </c>
      <c r="C45" s="4"/>
      <c r="D45" s="4"/>
      <c r="E45" s="4"/>
      <c r="F45" s="225"/>
      <c r="G45" s="198"/>
      <c r="H45" s="185">
        <v>25</v>
      </c>
      <c r="I45" s="186"/>
      <c r="J45" s="23"/>
      <c r="K45" s="203"/>
      <c r="L45" s="23"/>
      <c r="M45" s="23"/>
      <c r="N45" s="23"/>
      <c r="O45" s="189">
        <f>IF(O44+1&lt;=MIN('Données projet'!$E$9:$E$18),O44+1,"STOP")</f>
        <v>12</v>
      </c>
      <c r="P45" s="180">
        <f t="shared" si="3"/>
        <v>0</v>
      </c>
      <c r="Q45" s="230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5"/>
      <c r="G46" s="198"/>
      <c r="H46" s="185">
        <v>26</v>
      </c>
      <c r="I46" s="186"/>
      <c r="J46" s="23"/>
      <c r="K46" s="203"/>
      <c r="L46" s="199"/>
      <c r="M46" s="199"/>
      <c r="N46" s="199"/>
      <c r="O46" s="189">
        <f>IF(O45+1&lt;=MIN('Données projet'!$E$9:$E$18),O45+1,"STOP")</f>
        <v>13</v>
      </c>
      <c r="P46" s="183">
        <f t="shared" si="3"/>
        <v>0</v>
      </c>
      <c r="Q46" s="230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6"/>
      <c r="G47" s="198"/>
      <c r="H47" s="185">
        <v>27</v>
      </c>
      <c r="I47" s="186"/>
      <c r="J47" s="23"/>
      <c r="K47" s="203"/>
      <c r="L47" s="4"/>
      <c r="M47" s="4"/>
      <c r="N47" s="4"/>
      <c r="O47" s="189">
        <f>IF(O46+1&lt;=MIN('Données projet'!$E$9:$E$18),O46+1,"STOP")</f>
        <v>14</v>
      </c>
      <c r="P47" s="180">
        <f t="shared" si="3"/>
        <v>0</v>
      </c>
      <c r="Q47" s="230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4" t="s">
        <v>132</v>
      </c>
      <c r="C48" s="193" t="s">
        <v>132</v>
      </c>
      <c r="D48" s="192" t="s">
        <v>132</v>
      </c>
      <c r="E48" s="261">
        <v>1884</v>
      </c>
      <c r="F48" s="226"/>
      <c r="G48" s="198"/>
      <c r="H48" s="185">
        <v>28</v>
      </c>
      <c r="I48" s="186"/>
      <c r="J48" s="23"/>
      <c r="K48" s="203"/>
      <c r="L48" s="4"/>
      <c r="M48" s="4"/>
      <c r="N48" s="4"/>
      <c r="O48" s="189">
        <f>IF(O47+1&lt;=MIN('Données projet'!$E$9:$E$18),O47+1,"STOP")</f>
        <v>15</v>
      </c>
      <c r="P48" s="180">
        <f t="shared" si="3"/>
        <v>0</v>
      </c>
      <c r="Q48" s="230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0" customFormat="1" ht="17.25" customHeight="1" x14ac:dyDescent="0.3">
      <c r="A49" s="49">
        <v>1</v>
      </c>
      <c r="B49" s="194" t="s">
        <v>132</v>
      </c>
      <c r="C49" s="193" t="s">
        <v>132</v>
      </c>
      <c r="D49" s="192" t="s">
        <v>132</v>
      </c>
      <c r="E49" s="188"/>
      <c r="F49" s="226"/>
      <c r="G49" s="199"/>
      <c r="H49" s="185">
        <v>29</v>
      </c>
      <c r="I49" s="186"/>
      <c r="J49" s="199"/>
      <c r="K49" s="205"/>
      <c r="L49" s="4"/>
      <c r="M49" s="4"/>
      <c r="N49" s="4"/>
      <c r="O49" s="189">
        <f>IF(O48+1&lt;=MIN('Données projet'!$E$9:$E$18),O48+1,"STOP")</f>
        <v>16</v>
      </c>
      <c r="P49" s="180">
        <f t="shared" si="3"/>
        <v>0</v>
      </c>
      <c r="Q49" s="231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  <c r="AP49" s="182"/>
      <c r="AQ49" s="182"/>
      <c r="AR49" s="182"/>
      <c r="AS49" s="182"/>
      <c r="AT49" s="182"/>
      <c r="AU49" s="182"/>
      <c r="AV49" s="182"/>
      <c r="AW49" s="182"/>
      <c r="AX49" s="182"/>
      <c r="AY49" s="182"/>
      <c r="AZ49" s="182"/>
      <c r="BA49" s="182"/>
      <c r="BB49" s="182"/>
      <c r="BC49" s="182"/>
      <c r="BD49" s="182"/>
    </row>
    <row r="50" spans="1:56" x14ac:dyDescent="0.3">
      <c r="A50" s="49">
        <v>2</v>
      </c>
      <c r="B50" s="194" t="s">
        <v>132</v>
      </c>
      <c r="C50" s="193" t="s">
        <v>132</v>
      </c>
      <c r="D50" s="192" t="s">
        <v>132</v>
      </c>
      <c r="E50" s="188"/>
      <c r="F50" s="226"/>
      <c r="G50" s="23"/>
      <c r="H50" s="185">
        <v>30</v>
      </c>
      <c r="I50" s="186"/>
      <c r="J50" s="23"/>
      <c r="K50" s="168"/>
      <c r="L50" s="4"/>
      <c r="M50" s="4"/>
      <c r="N50" s="4"/>
      <c r="O50" s="189">
        <f>IF(O49+1&lt;=MIN('Données projet'!$E$9:$E$18),O49+1,"STOP")</f>
        <v>17</v>
      </c>
      <c r="P50" s="180">
        <f t="shared" si="3"/>
        <v>0</v>
      </c>
      <c r="Q50" s="230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4" t="s">
        <v>132</v>
      </c>
      <c r="C51" s="193" t="s">
        <v>132</v>
      </c>
      <c r="D51" s="192" t="s">
        <v>132</v>
      </c>
      <c r="E51" s="188"/>
      <c r="F51" s="226"/>
      <c r="G51" s="23"/>
      <c r="H51" s="185"/>
      <c r="I51" s="186"/>
      <c r="J51" s="23"/>
      <c r="K51" s="168"/>
      <c r="L51" s="4"/>
      <c r="M51" s="4"/>
      <c r="N51" s="4"/>
      <c r="O51" s="189">
        <f>IF(O50+1&lt;=MIN('Données projet'!$E$9:$E$18),O50+1,"STOP")</f>
        <v>18</v>
      </c>
      <c r="P51" s="180">
        <f t="shared" si="3"/>
        <v>0</v>
      </c>
      <c r="Q51" s="230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4" t="s">
        <v>132</v>
      </c>
      <c r="C52" s="193" t="s">
        <v>132</v>
      </c>
      <c r="D52" s="192" t="s">
        <v>132</v>
      </c>
      <c r="E52" s="188"/>
      <c r="F52" s="226"/>
      <c r="G52" s="23"/>
      <c r="H52" s="185"/>
      <c r="I52" s="186"/>
      <c r="J52" s="23"/>
      <c r="K52" s="168"/>
      <c r="L52" s="4"/>
      <c r="M52" s="4"/>
      <c r="N52" s="4"/>
      <c r="O52" s="189">
        <f>IF(O51+1&lt;=MIN('Données projet'!$E$9:$E$18),O51+1,"STOP")</f>
        <v>19</v>
      </c>
      <c r="P52" s="180">
        <f t="shared" si="3"/>
        <v>0</v>
      </c>
      <c r="Q52" s="230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4" t="s">
        <v>132</v>
      </c>
      <c r="C53" s="193" t="s">
        <v>132</v>
      </c>
      <c r="D53" s="192" t="s">
        <v>132</v>
      </c>
      <c r="E53" s="188"/>
      <c r="F53" s="226"/>
      <c r="G53" s="200"/>
      <c r="H53" s="185"/>
      <c r="I53" s="186"/>
      <c r="J53" s="23"/>
      <c r="K53" s="168"/>
      <c r="L53" s="4"/>
      <c r="M53" s="4"/>
      <c r="N53" s="4"/>
      <c r="O53" s="189">
        <f>IF(O52+1&lt;=MIN('Données projet'!$E$9:$E$18),O52+1,"STOP")</f>
        <v>20</v>
      </c>
      <c r="P53" s="180">
        <f t="shared" si="3"/>
        <v>0</v>
      </c>
      <c r="Q53" s="230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5">
        <f>'Données projet'!A62</f>
        <v>20</v>
      </c>
      <c r="B54" s="176">
        <f>'Données projet'!D62</f>
        <v>6</v>
      </c>
      <c r="C54" s="188"/>
      <c r="D54" s="174">
        <f>B54*C54</f>
        <v>0</v>
      </c>
      <c r="E54" s="188"/>
      <c r="F54" s="227"/>
      <c r="G54" s="200"/>
      <c r="H54" s="185"/>
      <c r="I54" s="186"/>
      <c r="J54" s="23"/>
      <c r="K54" s="168"/>
      <c r="L54" s="4"/>
      <c r="M54" s="4"/>
      <c r="N54" s="4"/>
      <c r="O54" s="189">
        <f>IF(O53+1&lt;=MIN('Données projet'!$E$9:$E$18),O53+1,"STOP")</f>
        <v>21</v>
      </c>
      <c r="P54" s="180">
        <f t="shared" si="3"/>
        <v>0</v>
      </c>
      <c r="Q54" s="230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5">
        <f>'Données projet'!A63</f>
        <v>25</v>
      </c>
      <c r="B55" s="176">
        <f>'Données projet'!D63</f>
        <v>28</v>
      </c>
      <c r="C55" s="188">
        <v>13</v>
      </c>
      <c r="D55" s="174">
        <f t="shared" ref="D55:D73" si="4">B55*C55</f>
        <v>364</v>
      </c>
      <c r="E55" s="188"/>
      <c r="F55" s="227"/>
      <c r="G55" s="200"/>
      <c r="H55" s="185"/>
      <c r="I55" s="186"/>
      <c r="J55" s="23"/>
      <c r="K55" s="168"/>
      <c r="L55" s="4"/>
      <c r="M55" s="4"/>
      <c r="N55" s="4"/>
      <c r="O55" s="189">
        <f>IF(O54+1&lt;=MIN('Données projet'!$E$9:$E$18),O54+1,"STOP")</f>
        <v>22</v>
      </c>
      <c r="P55" s="180">
        <f t="shared" si="3"/>
        <v>0</v>
      </c>
      <c r="Q55" s="230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5">
        <f>'Données projet'!A64</f>
        <v>30</v>
      </c>
      <c r="B56" s="176">
        <f>'Données projet'!D64</f>
        <v>28</v>
      </c>
      <c r="C56" s="188">
        <v>13</v>
      </c>
      <c r="D56" s="174">
        <f t="shared" si="4"/>
        <v>364</v>
      </c>
      <c r="E56" s="188"/>
      <c r="F56" s="227"/>
      <c r="G56" s="200"/>
      <c r="H56" s="185"/>
      <c r="I56" s="186"/>
      <c r="J56" s="23"/>
      <c r="K56" s="168"/>
      <c r="L56" s="4"/>
      <c r="M56" s="4"/>
      <c r="N56" s="4"/>
      <c r="O56" s="189">
        <f>IF(O55+1&lt;=MIN('Données projet'!$E$9:$E$18),O55+1,"STOP")</f>
        <v>23</v>
      </c>
      <c r="P56" s="180">
        <f t="shared" si="3"/>
        <v>0</v>
      </c>
      <c r="Q56" s="230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5">
        <f>'Données projet'!A65</f>
        <v>35</v>
      </c>
      <c r="B57" s="176">
        <f>'Données projet'!D65</f>
        <v>28</v>
      </c>
      <c r="C57" s="186"/>
      <c r="D57" s="174">
        <f t="shared" si="4"/>
        <v>0</v>
      </c>
      <c r="E57" s="188"/>
      <c r="F57" s="227"/>
      <c r="G57" s="200"/>
      <c r="H57" s="185"/>
      <c r="I57" s="186"/>
      <c r="J57" s="23"/>
      <c r="K57" s="168"/>
      <c r="L57" s="4"/>
      <c r="M57" s="4"/>
      <c r="N57" s="4"/>
      <c r="O57" s="189">
        <f>IF(O56+1&lt;=MIN('Données projet'!$E$9:$E$18),O56+1,"STOP")</f>
        <v>24</v>
      </c>
      <c r="P57" s="180">
        <f t="shared" si="3"/>
        <v>0</v>
      </c>
      <c r="Q57" s="230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5">
        <f>'Données projet'!A66</f>
        <v>40</v>
      </c>
      <c r="B58" s="176">
        <f>'Données projet'!D66</f>
        <v>28</v>
      </c>
      <c r="C58" s="186"/>
      <c r="D58" s="174">
        <f t="shared" si="4"/>
        <v>0</v>
      </c>
      <c r="E58" s="188"/>
      <c r="F58" s="227"/>
      <c r="G58" s="200"/>
      <c r="H58" s="185"/>
      <c r="I58" s="186"/>
      <c r="J58" s="23"/>
      <c r="K58" s="168"/>
      <c r="L58" s="4"/>
      <c r="M58" s="4"/>
      <c r="N58" s="4"/>
      <c r="O58" s="189">
        <f>IF(O57+1&lt;=MIN('Données projet'!$E$9:$E$18),O57+1,"STOP")</f>
        <v>25</v>
      </c>
      <c r="P58" s="180">
        <f t="shared" si="3"/>
        <v>0</v>
      </c>
      <c r="Q58" s="230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5">
        <f>'Données projet'!A67</f>
        <v>45</v>
      </c>
      <c r="B59" s="176">
        <f>'Données projet'!D67</f>
        <v>28</v>
      </c>
      <c r="C59" s="186"/>
      <c r="D59" s="174">
        <f t="shared" si="4"/>
        <v>0</v>
      </c>
      <c r="E59" s="188"/>
      <c r="F59" s="227"/>
      <c r="G59" s="200"/>
      <c r="H59" s="185"/>
      <c r="I59" s="186"/>
      <c r="J59" s="23"/>
      <c r="K59" s="168"/>
      <c r="L59" s="4"/>
      <c r="M59" s="4"/>
      <c r="N59" s="4"/>
      <c r="O59" s="189">
        <f>IF(O58+1&lt;=MIN('Données projet'!$E$9:$E$18),O58+1,"STOP")</f>
        <v>26</v>
      </c>
      <c r="P59" s="180">
        <f t="shared" si="3"/>
        <v>0</v>
      </c>
      <c r="Q59" s="230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5">
        <f>'Données projet'!A68</f>
        <v>50</v>
      </c>
      <c r="B60" s="176">
        <f>'Données projet'!D68</f>
        <v>28</v>
      </c>
      <c r="C60" s="186"/>
      <c r="D60" s="174">
        <f t="shared" si="4"/>
        <v>0</v>
      </c>
      <c r="E60" s="188"/>
      <c r="F60" s="227"/>
      <c r="G60" s="201"/>
      <c r="H60" s="185"/>
      <c r="I60" s="186"/>
      <c r="J60" s="23"/>
      <c r="K60" s="168"/>
      <c r="L60" s="4"/>
      <c r="M60" s="4"/>
      <c r="N60" s="4"/>
      <c r="O60" s="189">
        <f>IF(O59+1&lt;=MIN('Données projet'!$E$9:$E$18),O59+1,"STOP")</f>
        <v>27</v>
      </c>
      <c r="P60" s="180">
        <f t="shared" si="3"/>
        <v>0</v>
      </c>
      <c r="Q60" s="230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5">
        <f>'Données projet'!A69</f>
        <v>55</v>
      </c>
      <c r="B61" s="176">
        <f>'Données projet'!D69</f>
        <v>28</v>
      </c>
      <c r="C61" s="186"/>
      <c r="D61" s="174">
        <f t="shared" si="4"/>
        <v>0</v>
      </c>
      <c r="E61" s="188"/>
      <c r="F61" s="227"/>
      <c r="G61" s="201"/>
      <c r="H61" s="185"/>
      <c r="I61" s="186"/>
      <c r="J61" s="23"/>
      <c r="K61" s="168"/>
      <c r="L61" s="4"/>
      <c r="M61" s="4"/>
      <c r="N61" s="4"/>
      <c r="O61" s="189">
        <f>IF(O60+1&lt;=MIN('Données projet'!$E$9:$E$18),O60+1,"STOP")</f>
        <v>28</v>
      </c>
      <c r="P61" s="180">
        <f t="shared" si="3"/>
        <v>0</v>
      </c>
      <c r="Q61" s="230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5">
        <f>'Données projet'!A70</f>
        <v>60</v>
      </c>
      <c r="B62" s="176">
        <f>'Données projet'!D70</f>
        <v>28</v>
      </c>
      <c r="C62" s="186"/>
      <c r="D62" s="174">
        <f t="shared" si="4"/>
        <v>0</v>
      </c>
      <c r="E62" s="188"/>
      <c r="F62" s="227"/>
      <c r="G62" s="201"/>
      <c r="H62" s="185"/>
      <c r="I62" s="186"/>
      <c r="J62" s="23"/>
      <c r="K62" s="168"/>
      <c r="L62" s="4"/>
      <c r="M62" s="4"/>
      <c r="N62" s="4"/>
      <c r="O62" s="189">
        <f>IF(O61+1&lt;=MIN('Données projet'!$E$9:$E$18),O61+1,"STOP")</f>
        <v>29</v>
      </c>
      <c r="P62" s="180">
        <f t="shared" si="3"/>
        <v>0</v>
      </c>
      <c r="Q62" s="230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5">
        <f>'Données projet'!A71</f>
        <v>65</v>
      </c>
      <c r="B63" s="176">
        <f>'Données projet'!D71</f>
        <v>28</v>
      </c>
      <c r="C63" s="186"/>
      <c r="D63" s="174">
        <f t="shared" si="4"/>
        <v>0</v>
      </c>
      <c r="E63" s="188"/>
      <c r="F63" s="227"/>
      <c r="G63" s="201"/>
      <c r="H63" s="185"/>
      <c r="I63" s="186"/>
      <c r="J63" s="23"/>
      <c r="K63" s="168"/>
      <c r="L63" s="4"/>
      <c r="M63" s="4"/>
      <c r="N63" s="4"/>
      <c r="O63" s="189">
        <f>IF(O62+1&lt;=MIN('Données projet'!$E$9:$E$18),O62+1,"STOP")</f>
        <v>30</v>
      </c>
      <c r="P63" s="180">
        <f t="shared" si="3"/>
        <v>0</v>
      </c>
      <c r="Q63" s="230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5">
        <f>'Données projet'!A72</f>
        <v>70</v>
      </c>
      <c r="B64" s="176">
        <f>'Données projet'!D72</f>
        <v>28</v>
      </c>
      <c r="C64" s="186"/>
      <c r="D64" s="174">
        <f t="shared" si="4"/>
        <v>0</v>
      </c>
      <c r="E64" s="188"/>
      <c r="F64" s="227"/>
      <c r="G64" s="201"/>
      <c r="H64" s="185"/>
      <c r="I64" s="186"/>
      <c r="J64" s="202"/>
      <c r="K64" s="168"/>
      <c r="L64" s="4"/>
      <c r="M64" s="4"/>
      <c r="N64" s="4"/>
      <c r="O64" s="189">
        <f>IF(O63+1&lt;=MIN('Données projet'!$E$9:$E$18),O63+1,"STOP")</f>
        <v>31</v>
      </c>
      <c r="P64" s="180">
        <f t="shared" si="3"/>
        <v>0</v>
      </c>
      <c r="Q64" s="230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5">
        <f>'Données projet'!A73</f>
        <v>75</v>
      </c>
      <c r="B65" s="176">
        <f>'Données projet'!D73</f>
        <v>28</v>
      </c>
      <c r="C65" s="186"/>
      <c r="D65" s="174">
        <f t="shared" si="4"/>
        <v>0</v>
      </c>
      <c r="E65" s="188"/>
      <c r="F65" s="227"/>
      <c r="G65" s="201"/>
      <c r="H65" s="185"/>
      <c r="I65" s="186"/>
      <c r="J65" s="184"/>
      <c r="K65" s="168"/>
      <c r="L65" s="4"/>
      <c r="M65" s="4"/>
      <c r="N65" s="4"/>
      <c r="O65" s="189">
        <f>IF(O64+1&lt;=MIN('Données projet'!$E$9:$E$18),O64+1,"STOP")</f>
        <v>32</v>
      </c>
      <c r="P65" s="180">
        <f t="shared" ref="P65:P96" si="5">$P$25/(1+$M$4)^O65</f>
        <v>0</v>
      </c>
      <c r="Q65" s="230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5">
        <f>'Données projet'!A74</f>
        <v>80</v>
      </c>
      <c r="B66" s="176">
        <f>'Données projet'!D74</f>
        <v>28</v>
      </c>
      <c r="C66" s="186"/>
      <c r="D66" s="174">
        <f t="shared" si="4"/>
        <v>0</v>
      </c>
      <c r="E66" s="188"/>
      <c r="F66" s="227"/>
      <c r="G66" s="201"/>
      <c r="H66" s="185"/>
      <c r="I66" s="186"/>
      <c r="J66" s="184"/>
      <c r="K66" s="168"/>
      <c r="L66" s="4"/>
      <c r="M66" s="4"/>
      <c r="N66" s="4"/>
      <c r="O66" s="189">
        <f>IF(O65+1&lt;=MIN('Données projet'!$E$9:$E$18),O65+1,"STOP")</f>
        <v>33</v>
      </c>
      <c r="P66" s="180">
        <f t="shared" si="5"/>
        <v>0</v>
      </c>
      <c r="Q66" s="230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5">
        <f>'Données projet'!A75</f>
        <v>85</v>
      </c>
      <c r="B67" s="176">
        <f>'Données projet'!D75</f>
        <v>28</v>
      </c>
      <c r="C67" s="186"/>
      <c r="D67" s="174">
        <f t="shared" si="4"/>
        <v>0</v>
      </c>
      <c r="E67" s="188"/>
      <c r="F67" s="227"/>
      <c r="G67" s="201"/>
      <c r="H67" s="185"/>
      <c r="I67" s="186"/>
      <c r="J67" s="184"/>
      <c r="K67" s="168"/>
      <c r="L67" s="4"/>
      <c r="M67" s="4"/>
      <c r="N67" s="4"/>
      <c r="O67" s="189">
        <f>IF(O66+1&lt;=MIN('Données projet'!$E$9:$E$18),O66+1,"STOP")</f>
        <v>34</v>
      </c>
      <c r="P67" s="180">
        <f t="shared" si="5"/>
        <v>0</v>
      </c>
      <c r="Q67" s="23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5">
        <f>'Données projet'!A76</f>
        <v>90</v>
      </c>
      <c r="B68" s="176">
        <f>'Données projet'!D76</f>
        <v>28</v>
      </c>
      <c r="C68" s="186"/>
      <c r="D68" s="174">
        <f t="shared" si="4"/>
        <v>0</v>
      </c>
      <c r="E68" s="188"/>
      <c r="F68" s="227"/>
      <c r="G68" s="201"/>
      <c r="H68" s="185"/>
      <c r="I68" s="186"/>
      <c r="J68" s="184"/>
      <c r="K68" s="168"/>
      <c r="L68" s="4"/>
      <c r="M68" s="4"/>
      <c r="N68" s="4"/>
      <c r="O68" s="189">
        <f>IF(O67+1&lt;=MIN('Données projet'!$E$9:$E$18),O67+1,"STOP")</f>
        <v>35</v>
      </c>
      <c r="P68" s="180">
        <f t="shared" si="5"/>
        <v>0</v>
      </c>
      <c r="Q68" s="230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5">
        <f>'Données projet'!A77</f>
        <v>95</v>
      </c>
      <c r="B69" s="176">
        <f>'Données projet'!D77</f>
        <v>28</v>
      </c>
      <c r="C69" s="186"/>
      <c r="D69" s="174">
        <f t="shared" si="4"/>
        <v>0</v>
      </c>
      <c r="E69" s="188"/>
      <c r="F69" s="227"/>
      <c r="G69" s="201"/>
      <c r="H69" s="185"/>
      <c r="I69" s="186"/>
      <c r="J69" s="184"/>
      <c r="K69" s="168"/>
      <c r="L69" s="4"/>
      <c r="M69" s="4"/>
      <c r="N69" s="4"/>
      <c r="O69" s="189">
        <f>IF(O68+1&lt;=MIN('Données projet'!$E$9:$E$18),O68+1,"STOP")</f>
        <v>36</v>
      </c>
      <c r="P69" s="180">
        <f t="shared" si="5"/>
        <v>0</v>
      </c>
      <c r="Q69" s="230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5">
        <f>'Données projet'!A78</f>
        <v>100</v>
      </c>
      <c r="B70" s="176">
        <f>'Données projet'!D78</f>
        <v>27</v>
      </c>
      <c r="C70" s="186"/>
      <c r="D70" s="174">
        <f t="shared" si="4"/>
        <v>0</v>
      </c>
      <c r="E70" s="188"/>
      <c r="F70" s="227"/>
      <c r="G70" s="201"/>
      <c r="H70" s="185"/>
      <c r="I70" s="186"/>
      <c r="J70" s="184"/>
      <c r="K70" s="168"/>
      <c r="L70" s="4"/>
      <c r="M70" s="4"/>
      <c r="N70" s="4"/>
      <c r="O70" s="189">
        <f>IF(O69+1&lt;=MIN('Données projet'!$E$9:$E$18),O69+1,"STOP")</f>
        <v>37</v>
      </c>
      <c r="P70" s="180">
        <f t="shared" si="5"/>
        <v>0</v>
      </c>
      <c r="Q70" s="230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5">
        <f>'Données projet'!A79</f>
        <v>105</v>
      </c>
      <c r="B71" s="176">
        <f>'Données projet'!D79</f>
        <v>26</v>
      </c>
      <c r="C71" s="186"/>
      <c r="D71" s="174">
        <f t="shared" si="4"/>
        <v>0</v>
      </c>
      <c r="E71" s="188"/>
      <c r="F71" s="227"/>
      <c r="G71" s="201"/>
      <c r="H71" s="185"/>
      <c r="I71" s="186"/>
      <c r="J71" s="184"/>
      <c r="K71" s="168"/>
      <c r="L71" s="4"/>
      <c r="M71" s="4"/>
      <c r="N71" s="4"/>
      <c r="O71" s="189">
        <f>IF(O70+1&lt;=MIN('Données projet'!$E$9:$E$18),O70+1,"STOP")</f>
        <v>38</v>
      </c>
      <c r="P71" s="180">
        <f t="shared" si="5"/>
        <v>0</v>
      </c>
      <c r="Q71" s="230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5">
        <f>'Données projet'!A80</f>
        <v>110</v>
      </c>
      <c r="B72" s="176">
        <f>'Données projet'!D80</f>
        <v>25</v>
      </c>
      <c r="C72" s="186"/>
      <c r="D72" s="174">
        <f t="shared" si="4"/>
        <v>0</v>
      </c>
      <c r="E72" s="188"/>
      <c r="F72" s="227"/>
      <c r="G72" s="201"/>
      <c r="H72" s="185"/>
      <c r="I72" s="186"/>
      <c r="J72" s="4"/>
      <c r="K72" s="168"/>
      <c r="L72" s="4"/>
      <c r="M72" s="4"/>
      <c r="N72" s="4"/>
      <c r="O72" s="189">
        <f>IF(O71+1&lt;=MIN('Données projet'!$E$9:$E$18),O71+1,"STOP")</f>
        <v>39</v>
      </c>
      <c r="P72" s="180">
        <f t="shared" si="5"/>
        <v>0</v>
      </c>
      <c r="Q72" s="230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5">
        <f>'Données projet'!A81</f>
        <v>115</v>
      </c>
      <c r="B73" s="176">
        <f>'Données projet'!D81</f>
        <v>24</v>
      </c>
      <c r="C73" s="186"/>
      <c r="D73" s="174">
        <f t="shared" si="4"/>
        <v>0</v>
      </c>
      <c r="E73" s="188"/>
      <c r="F73" s="227"/>
      <c r="G73" s="201"/>
      <c r="H73" s="185"/>
      <c r="I73" s="186"/>
      <c r="J73" s="4"/>
      <c r="K73" s="168"/>
      <c r="L73" s="4"/>
      <c r="M73" s="4"/>
      <c r="N73" s="4"/>
      <c r="O73" s="189">
        <f>IF(O72+1&lt;=MIN('Données projet'!$E$9:$E$18),O72+1,"STOP")</f>
        <v>40</v>
      </c>
      <c r="P73" s="180">
        <f t="shared" si="5"/>
        <v>0</v>
      </c>
      <c r="Q73" s="230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5"/>
      <c r="G74" s="201"/>
      <c r="H74" s="185"/>
      <c r="I74" s="186"/>
      <c r="J74" s="4"/>
      <c r="K74" s="168"/>
      <c r="L74" s="4"/>
      <c r="M74" s="4"/>
      <c r="N74" s="4"/>
      <c r="O74" s="189">
        <f>IF(O73+1&lt;=MIN('Données projet'!$E$9:$E$18),O73+1,"STOP")</f>
        <v>41</v>
      </c>
      <c r="P74" s="180">
        <f t="shared" si="5"/>
        <v>0</v>
      </c>
      <c r="Q74" s="230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5"/>
      <c r="G75" s="201"/>
      <c r="H75" s="185"/>
      <c r="I75" s="186"/>
      <c r="J75" s="4"/>
      <c r="K75" s="168"/>
      <c r="L75" s="4"/>
      <c r="M75" s="4"/>
      <c r="N75" s="4"/>
      <c r="O75" s="189">
        <f>IF(O74+1&lt;=MIN('Données projet'!$E$9:$E$18),O74+1,"STOP")</f>
        <v>42</v>
      </c>
      <c r="P75" s="180">
        <f t="shared" si="5"/>
        <v>0</v>
      </c>
      <c r="Q75" s="230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69" t="str">
        <f>IF('Données projet'!B11="","",'Données projet'!B11)</f>
        <v>Bouleau verruqueux</v>
      </c>
      <c r="C76" s="4"/>
      <c r="D76" s="4"/>
      <c r="E76" s="4"/>
      <c r="F76" s="225"/>
      <c r="G76" s="201"/>
      <c r="H76" s="185"/>
      <c r="I76" s="186"/>
      <c r="J76" s="4"/>
      <c r="K76" s="168"/>
      <c r="L76" s="4"/>
      <c r="M76" s="4"/>
      <c r="N76" s="4"/>
      <c r="O76" s="189">
        <f>IF(O75+1&lt;=MIN('Données projet'!$E$9:$E$18),O75+1,"STOP")</f>
        <v>43</v>
      </c>
      <c r="P76" s="180">
        <f t="shared" si="5"/>
        <v>0</v>
      </c>
      <c r="Q76" s="230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5"/>
      <c r="G77" s="201"/>
      <c r="H77" s="185"/>
      <c r="I77" s="186"/>
      <c r="J77" s="4"/>
      <c r="K77" s="168"/>
      <c r="L77" s="4"/>
      <c r="M77" s="4"/>
      <c r="N77" s="4"/>
      <c r="O77" s="189">
        <f>IF(O76+1&lt;=MIN('Données projet'!$E$9:$E$18),O76+1,"STOP")</f>
        <v>44</v>
      </c>
      <c r="P77" s="180">
        <f t="shared" si="5"/>
        <v>0</v>
      </c>
      <c r="Q77" s="230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6"/>
      <c r="G78" s="201"/>
      <c r="H78" s="185"/>
      <c r="I78" s="186"/>
      <c r="J78" s="4"/>
      <c r="K78" s="168"/>
      <c r="L78" s="4"/>
      <c r="M78" s="4"/>
      <c r="N78" s="4"/>
      <c r="O78" s="189">
        <f>IF(O77+1&lt;=MIN('Données projet'!$E$9:$E$18),O77+1,"STOP")</f>
        <v>45</v>
      </c>
      <c r="P78" s="180">
        <f t="shared" si="5"/>
        <v>0</v>
      </c>
      <c r="Q78" s="230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4" t="s">
        <v>132</v>
      </c>
      <c r="C79" s="193" t="s">
        <v>132</v>
      </c>
      <c r="D79" s="192" t="s">
        <v>132</v>
      </c>
      <c r="E79" s="261">
        <v>1735.29</v>
      </c>
      <c r="F79" s="226"/>
      <c r="G79" s="201"/>
      <c r="H79" s="185"/>
      <c r="I79" s="186"/>
      <c r="J79" s="4"/>
      <c r="K79" s="168"/>
      <c r="L79" s="4"/>
      <c r="M79" s="4"/>
      <c r="N79" s="4"/>
      <c r="O79" s="189">
        <f>IF(O78+1&lt;=MIN('Données projet'!$E$9:$E$18),O78+1,"STOP")</f>
        <v>46</v>
      </c>
      <c r="P79" s="180">
        <f t="shared" si="5"/>
        <v>0</v>
      </c>
      <c r="Q79" s="230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4" t="s">
        <v>132</v>
      </c>
      <c r="C80" s="193" t="s">
        <v>132</v>
      </c>
      <c r="D80" s="192" t="s">
        <v>132</v>
      </c>
      <c r="E80" s="188"/>
      <c r="F80" s="226"/>
      <c r="G80" s="23"/>
      <c r="H80" s="185"/>
      <c r="I80" s="186"/>
      <c r="J80" s="4"/>
      <c r="K80" s="168"/>
      <c r="L80" s="4"/>
      <c r="M80" s="4"/>
      <c r="N80" s="4"/>
      <c r="O80" s="189">
        <f>IF(O79+1&lt;=MIN('Données projet'!$E$9:$E$18),O79+1,"STOP")</f>
        <v>47</v>
      </c>
      <c r="P80" s="180">
        <f t="shared" si="5"/>
        <v>0</v>
      </c>
      <c r="Q80" s="230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4" t="s">
        <v>132</v>
      </c>
      <c r="C81" s="193" t="s">
        <v>132</v>
      </c>
      <c r="D81" s="192" t="s">
        <v>132</v>
      </c>
      <c r="E81" s="188"/>
      <c r="F81" s="226"/>
      <c r="G81" s="23"/>
      <c r="H81" s="185"/>
      <c r="I81" s="186"/>
      <c r="J81" s="4"/>
      <c r="K81" s="168"/>
      <c r="L81" s="4"/>
      <c r="M81" s="4"/>
      <c r="N81" s="4"/>
      <c r="O81" s="189">
        <f>IF(O80+1&lt;=MIN('Données projet'!$E$9:$E$18),O80+1,"STOP")</f>
        <v>48</v>
      </c>
      <c r="P81" s="180">
        <f t="shared" si="5"/>
        <v>0</v>
      </c>
      <c r="Q81" s="230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4" t="s">
        <v>132</v>
      </c>
      <c r="C82" s="193" t="s">
        <v>132</v>
      </c>
      <c r="D82" s="192" t="s">
        <v>132</v>
      </c>
      <c r="E82" s="188"/>
      <c r="F82" s="226"/>
      <c r="G82" s="23"/>
      <c r="H82" s="185"/>
      <c r="I82" s="186"/>
      <c r="J82" s="4"/>
      <c r="K82" s="168"/>
      <c r="L82" s="4"/>
      <c r="M82" s="4"/>
      <c r="N82" s="4"/>
      <c r="O82" s="189">
        <f>IF(O81+1&lt;=MIN('Données projet'!$E$9:$E$18),O81+1,"STOP")</f>
        <v>49</v>
      </c>
      <c r="P82" s="180">
        <f t="shared" si="5"/>
        <v>0</v>
      </c>
      <c r="Q82" s="230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4" t="s">
        <v>132</v>
      </c>
      <c r="C83" s="193" t="s">
        <v>132</v>
      </c>
      <c r="D83" s="192" t="s">
        <v>132</v>
      </c>
      <c r="E83" s="188"/>
      <c r="F83" s="226"/>
      <c r="G83" s="23"/>
      <c r="H83" s="185"/>
      <c r="I83" s="186"/>
      <c r="J83" s="4"/>
      <c r="K83" s="168"/>
      <c r="L83" s="4"/>
      <c r="M83" s="4"/>
      <c r="N83" s="4"/>
      <c r="O83" s="189">
        <f>IF(O82+1&lt;=MIN('Données projet'!$E$9:$E$18),O82+1,"STOP")</f>
        <v>50</v>
      </c>
      <c r="P83" s="180">
        <f t="shared" si="5"/>
        <v>0</v>
      </c>
      <c r="Q83" s="230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4" t="s">
        <v>132</v>
      </c>
      <c r="C84" s="193" t="s">
        <v>132</v>
      </c>
      <c r="D84" s="192" t="s">
        <v>132</v>
      </c>
      <c r="E84" s="188"/>
      <c r="F84" s="226"/>
      <c r="G84" s="200"/>
      <c r="H84" s="185"/>
      <c r="I84" s="186"/>
      <c r="J84" s="4"/>
      <c r="K84" s="168"/>
      <c r="L84" s="4"/>
      <c r="M84" s="4"/>
      <c r="N84" s="4"/>
      <c r="O84" s="189">
        <f>IF(O83+1&lt;=MIN('Données projet'!$E$9:$E$18),O83+1,"STOP")</f>
        <v>51</v>
      </c>
      <c r="P84" s="180">
        <f t="shared" si="5"/>
        <v>0</v>
      </c>
      <c r="Q84" s="230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5">
        <f>'Données projet'!A88</f>
        <v>10</v>
      </c>
      <c r="B85" s="176">
        <f>'Données projet'!D88</f>
        <v>0</v>
      </c>
      <c r="C85" s="188"/>
      <c r="D85" s="174">
        <f>B85*C85</f>
        <v>0</v>
      </c>
      <c r="E85" s="188"/>
      <c r="F85" s="227"/>
      <c r="G85" s="200"/>
      <c r="H85" s="185"/>
      <c r="I85" s="186"/>
      <c r="J85" s="4"/>
      <c r="K85" s="168"/>
      <c r="L85" s="4"/>
      <c r="M85" s="4"/>
      <c r="N85" s="4"/>
      <c r="O85" s="189">
        <f>IF(O84+1&lt;=MIN('Données projet'!$E$9:$E$18),O84+1,"STOP")</f>
        <v>52</v>
      </c>
      <c r="P85" s="180">
        <f t="shared" si="5"/>
        <v>0</v>
      </c>
      <c r="Q85" s="230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5">
        <f>'Données projet'!A89</f>
        <v>15</v>
      </c>
      <c r="B86" s="176">
        <f>'Données projet'!D89</f>
        <v>32</v>
      </c>
      <c r="C86" s="188">
        <v>13</v>
      </c>
      <c r="D86" s="174">
        <f t="shared" ref="D86:D104" si="6">B86*C86</f>
        <v>416</v>
      </c>
      <c r="E86" s="188"/>
      <c r="F86" s="227"/>
      <c r="G86" s="200"/>
      <c r="H86" s="185"/>
      <c r="I86" s="186"/>
      <c r="J86" s="4"/>
      <c r="K86" s="168"/>
      <c r="L86" s="4"/>
      <c r="M86" s="4"/>
      <c r="N86" s="4"/>
      <c r="O86" s="189">
        <f>IF(O85+1&lt;=MIN('Données projet'!$E$9:$E$18),O85+1,"STOP")</f>
        <v>53</v>
      </c>
      <c r="P86" s="180">
        <f t="shared" si="5"/>
        <v>0</v>
      </c>
      <c r="Q86" s="230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5">
        <f>'Données projet'!A90</f>
        <v>20</v>
      </c>
      <c r="B87" s="176">
        <f>'Données projet'!D90</f>
        <v>35</v>
      </c>
      <c r="C87" s="188">
        <v>13</v>
      </c>
      <c r="D87" s="174">
        <f t="shared" si="6"/>
        <v>455</v>
      </c>
      <c r="E87" s="188"/>
      <c r="F87" s="227"/>
      <c r="G87" s="200"/>
      <c r="H87" s="185"/>
      <c r="I87" s="186"/>
      <c r="J87" s="4"/>
      <c r="K87" s="168"/>
      <c r="L87" s="4"/>
      <c r="M87" s="4"/>
      <c r="N87" s="4"/>
      <c r="O87" s="189">
        <f>IF(O86+1&lt;=MIN('Données projet'!$E$9:$E$18),O86+1,"STOP")</f>
        <v>54</v>
      </c>
      <c r="P87" s="180">
        <f t="shared" si="5"/>
        <v>0</v>
      </c>
      <c r="Q87" s="230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5">
        <f>'Données projet'!A91</f>
        <v>25</v>
      </c>
      <c r="B88" s="176">
        <f>'Données projet'!D91</f>
        <v>35</v>
      </c>
      <c r="C88" s="188">
        <v>13</v>
      </c>
      <c r="D88" s="174">
        <f t="shared" si="6"/>
        <v>455</v>
      </c>
      <c r="E88" s="188"/>
      <c r="F88" s="227"/>
      <c r="G88" s="200"/>
      <c r="H88" s="185"/>
      <c r="I88" s="186"/>
      <c r="J88" s="4"/>
      <c r="K88" s="168"/>
      <c r="L88" s="4"/>
      <c r="M88" s="4"/>
      <c r="N88" s="4"/>
      <c r="O88" s="189">
        <f>IF(O87+1&lt;=MIN('Données projet'!$E$9:$E$18),O87+1,"STOP")</f>
        <v>55</v>
      </c>
      <c r="P88" s="180">
        <f t="shared" si="5"/>
        <v>0</v>
      </c>
      <c r="Q88" s="230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5">
        <f>'Données projet'!A92</f>
        <v>30</v>
      </c>
      <c r="B89" s="176">
        <f>'Données projet'!D92</f>
        <v>35</v>
      </c>
      <c r="C89" s="188">
        <v>13</v>
      </c>
      <c r="D89" s="174">
        <f t="shared" si="6"/>
        <v>455</v>
      </c>
      <c r="E89" s="188"/>
      <c r="F89" s="227"/>
      <c r="G89" s="200"/>
      <c r="H89" s="185"/>
      <c r="I89" s="186"/>
      <c r="J89" s="4"/>
      <c r="K89" s="168"/>
      <c r="L89" s="4"/>
      <c r="M89" s="4"/>
      <c r="N89" s="4"/>
      <c r="O89" s="189">
        <f>IF(O88+1&lt;=MIN('Données projet'!$E$9:$E$18),O88+1,"STOP")</f>
        <v>56</v>
      </c>
      <c r="P89" s="180">
        <f t="shared" si="5"/>
        <v>0</v>
      </c>
      <c r="Q89" s="230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5">
        <f>'Données projet'!A93</f>
        <v>35</v>
      </c>
      <c r="B90" s="176">
        <f>'Données projet'!D93</f>
        <v>35</v>
      </c>
      <c r="C90" s="188"/>
      <c r="D90" s="174">
        <f t="shared" si="6"/>
        <v>0</v>
      </c>
      <c r="E90" s="188"/>
      <c r="F90" s="227"/>
      <c r="G90" s="200"/>
      <c r="H90" s="185"/>
      <c r="I90" s="186"/>
      <c r="J90" s="4"/>
      <c r="K90" s="168"/>
      <c r="L90" s="4"/>
      <c r="M90" s="4"/>
      <c r="N90" s="4"/>
      <c r="O90" s="189">
        <f>IF(O89+1&lt;=MIN('Données projet'!$E$9:$E$18),O89+1,"STOP")</f>
        <v>57</v>
      </c>
      <c r="P90" s="180">
        <f t="shared" si="5"/>
        <v>0</v>
      </c>
      <c r="Q90" s="230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5">
        <f>'Données projet'!A94</f>
        <v>40</v>
      </c>
      <c r="B91" s="176">
        <f>'Données projet'!D94</f>
        <v>35</v>
      </c>
      <c r="C91" s="186"/>
      <c r="D91" s="174">
        <f t="shared" si="6"/>
        <v>0</v>
      </c>
      <c r="E91" s="188"/>
      <c r="F91" s="227"/>
      <c r="G91" s="201"/>
      <c r="H91" s="185"/>
      <c r="I91" s="186"/>
      <c r="J91" s="4"/>
      <c r="K91" s="168"/>
      <c r="L91" s="4"/>
      <c r="M91" s="4"/>
      <c r="N91" s="4"/>
      <c r="O91" s="189">
        <f>IF(O90+1&lt;=MIN('Données projet'!$E$9:$E$18),O90+1,"STOP")</f>
        <v>58</v>
      </c>
      <c r="P91" s="180">
        <f t="shared" si="5"/>
        <v>0</v>
      </c>
      <c r="Q91" s="230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5">
        <f>'Données projet'!A95</f>
        <v>45</v>
      </c>
      <c r="B92" s="176">
        <f>'Données projet'!D95</f>
        <v>24</v>
      </c>
      <c r="C92" s="186"/>
      <c r="D92" s="174">
        <f t="shared" si="6"/>
        <v>0</v>
      </c>
      <c r="E92" s="188"/>
      <c r="F92" s="227"/>
      <c r="G92" s="201"/>
      <c r="H92" s="185"/>
      <c r="I92" s="186"/>
      <c r="J92" s="4"/>
      <c r="K92" s="168"/>
      <c r="L92" s="4"/>
      <c r="M92" s="4"/>
      <c r="N92" s="4"/>
      <c r="O92" s="189">
        <f>IF(O91+1&lt;=MIN('Données projet'!$E$9:$E$18),O91+1,"STOP")</f>
        <v>59</v>
      </c>
      <c r="P92" s="180">
        <f t="shared" si="5"/>
        <v>0</v>
      </c>
      <c r="Q92" s="230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5">
        <f>'Données projet'!A96</f>
        <v>50</v>
      </c>
      <c r="B93" s="176">
        <f>'Données projet'!D96</f>
        <v>19</v>
      </c>
      <c r="C93" s="186"/>
      <c r="D93" s="174">
        <f t="shared" si="6"/>
        <v>0</v>
      </c>
      <c r="E93" s="188"/>
      <c r="F93" s="227"/>
      <c r="G93" s="201"/>
      <c r="H93" s="185"/>
      <c r="I93" s="186"/>
      <c r="J93" s="4"/>
      <c r="K93" s="168"/>
      <c r="L93" s="4"/>
      <c r="M93" s="4"/>
      <c r="N93" s="4"/>
      <c r="O93" s="189">
        <f>IF(O92+1&lt;=MIN('Données projet'!$E$9:$E$18),O92+1,"STOP")</f>
        <v>60</v>
      </c>
      <c r="P93" s="180">
        <f t="shared" si="5"/>
        <v>0</v>
      </c>
      <c r="Q93" s="230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5">
        <f>'Données projet'!A97</f>
        <v>55</v>
      </c>
      <c r="B94" s="176">
        <f>'Données projet'!D97</f>
        <v>16</v>
      </c>
      <c r="C94" s="186"/>
      <c r="D94" s="174">
        <f t="shared" si="6"/>
        <v>0</v>
      </c>
      <c r="E94" s="188"/>
      <c r="F94" s="227"/>
      <c r="G94" s="201"/>
      <c r="H94" s="185"/>
      <c r="I94" s="186"/>
      <c r="J94" s="4"/>
      <c r="K94" s="168"/>
      <c r="L94" s="4"/>
      <c r="M94" s="4"/>
      <c r="N94" s="4"/>
      <c r="O94" s="189">
        <f>IF(O93+1&lt;=MIN('Données projet'!$E$9:$E$18),O93+1,"STOP")</f>
        <v>61</v>
      </c>
      <c r="P94" s="180">
        <f t="shared" si="5"/>
        <v>0</v>
      </c>
      <c r="Q94" s="230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5">
        <f>'Données projet'!A98</f>
        <v>60</v>
      </c>
      <c r="B95" s="176">
        <f>'Données projet'!D98</f>
        <v>14</v>
      </c>
      <c r="C95" s="186"/>
      <c r="D95" s="174">
        <f t="shared" si="6"/>
        <v>0</v>
      </c>
      <c r="E95" s="188"/>
      <c r="F95" s="227"/>
      <c r="G95" s="201"/>
      <c r="H95" s="185"/>
      <c r="I95" s="186"/>
      <c r="J95" s="4"/>
      <c r="K95" s="168"/>
      <c r="L95" s="4"/>
      <c r="M95" s="4"/>
      <c r="N95" s="4"/>
      <c r="O95" s="189">
        <f>IF(O94+1&lt;=MIN('Données projet'!$E$9:$E$18),O94+1,"STOP")</f>
        <v>62</v>
      </c>
      <c r="P95" s="180">
        <f t="shared" si="5"/>
        <v>0</v>
      </c>
      <c r="Q95" s="230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5">
        <f>'Données projet'!A99</f>
        <v>65</v>
      </c>
      <c r="B96" s="176">
        <f>'Données projet'!D99</f>
        <v>13</v>
      </c>
      <c r="C96" s="186"/>
      <c r="D96" s="174">
        <f t="shared" si="6"/>
        <v>0</v>
      </c>
      <c r="E96" s="188"/>
      <c r="F96" s="227"/>
      <c r="G96" s="201"/>
      <c r="H96" s="185"/>
      <c r="I96" s="186"/>
      <c r="J96" s="4"/>
      <c r="K96" s="168"/>
      <c r="L96" s="4"/>
      <c r="M96" s="4"/>
      <c r="N96" s="4"/>
      <c r="O96" s="189">
        <f>IF(O95+1&lt;=MIN('Données projet'!$E$9:$E$18),O95+1,"STOP")</f>
        <v>63</v>
      </c>
      <c r="P96" s="180">
        <f t="shared" si="5"/>
        <v>0</v>
      </c>
      <c r="Q96" s="230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5">
        <f>'Données projet'!A100</f>
        <v>70</v>
      </c>
      <c r="B97" s="176">
        <f>'Données projet'!D100</f>
        <v>13</v>
      </c>
      <c r="C97" s="186"/>
      <c r="D97" s="174">
        <f t="shared" si="6"/>
        <v>0</v>
      </c>
      <c r="E97" s="188"/>
      <c r="F97" s="227"/>
      <c r="G97" s="201"/>
      <c r="H97" s="185"/>
      <c r="I97" s="186"/>
      <c r="J97" s="4"/>
      <c r="K97" s="168"/>
      <c r="L97" s="4"/>
      <c r="M97" s="4"/>
      <c r="N97" s="4"/>
      <c r="O97" s="189">
        <f>IF(O96+1&lt;=MIN('Données projet'!$E$9:$E$18),O96+1,"STOP")</f>
        <v>64</v>
      </c>
      <c r="P97" s="180">
        <f t="shared" ref="P97:P128" si="7">$P$25/(1+$M$4)^O97</f>
        <v>0</v>
      </c>
      <c r="Q97" s="230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5">
        <f>'Données projet'!A101</f>
        <v>75</v>
      </c>
      <c r="B98" s="176">
        <f>'Données projet'!D101</f>
        <v>12</v>
      </c>
      <c r="C98" s="186"/>
      <c r="D98" s="174">
        <f t="shared" si="6"/>
        <v>0</v>
      </c>
      <c r="E98" s="188"/>
      <c r="F98" s="227"/>
      <c r="G98" s="201"/>
      <c r="H98" s="185"/>
      <c r="I98" s="186"/>
      <c r="J98" s="4"/>
      <c r="K98" s="168"/>
      <c r="L98" s="4"/>
      <c r="M98" s="4"/>
      <c r="N98" s="4"/>
      <c r="O98" s="189">
        <f>IF(O97+1&lt;=MIN('Données projet'!$E$9:$E$18),O97+1,"STOP")</f>
        <v>65</v>
      </c>
      <c r="P98" s="180">
        <f t="shared" si="7"/>
        <v>0</v>
      </c>
      <c r="Q98" s="230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5">
        <f>'Données projet'!A102</f>
        <v>80</v>
      </c>
      <c r="B99" s="176">
        <f>'Données projet'!D102</f>
        <v>11</v>
      </c>
      <c r="C99" s="186"/>
      <c r="D99" s="174">
        <f t="shared" si="6"/>
        <v>0</v>
      </c>
      <c r="E99" s="188"/>
      <c r="F99" s="227"/>
      <c r="G99" s="201"/>
      <c r="H99" s="185"/>
      <c r="I99" s="186"/>
      <c r="J99" s="4"/>
      <c r="K99" s="168"/>
      <c r="L99" s="4"/>
      <c r="M99" s="4"/>
      <c r="N99" s="4"/>
      <c r="O99" s="189" t="str">
        <f>IF(O98+1&lt;=MIN('Données projet'!$E$9:$E$18),O98+1,"STOP")</f>
        <v>STOP</v>
      </c>
      <c r="P99" s="180" t="e">
        <f t="shared" si="7"/>
        <v>#VALUE!</v>
      </c>
      <c r="Q99" s="230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5">
        <f>'Données projet'!A103</f>
        <v>0</v>
      </c>
      <c r="B100" s="176">
        <f>'Données projet'!D103</f>
        <v>0</v>
      </c>
      <c r="C100" s="186"/>
      <c r="D100" s="174">
        <f t="shared" si="6"/>
        <v>0</v>
      </c>
      <c r="E100" s="188"/>
      <c r="F100" s="227"/>
      <c r="G100" s="201"/>
      <c r="H100" s="185"/>
      <c r="I100" s="186"/>
      <c r="J100" s="4"/>
      <c r="K100" s="168"/>
      <c r="L100" s="4"/>
      <c r="M100" s="4"/>
      <c r="N100" s="4"/>
      <c r="O100" s="189" t="e">
        <f>IF(O99+1&lt;=MIN('Données projet'!$E$9:$E$18),O99+1,"STOP")</f>
        <v>#VALUE!</v>
      </c>
      <c r="P100" s="180" t="e">
        <f t="shared" si="7"/>
        <v>#VALUE!</v>
      </c>
      <c r="Q100" s="230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5">
        <f>'Données projet'!A104</f>
        <v>0</v>
      </c>
      <c r="B101" s="176">
        <f>'Données projet'!D104</f>
        <v>0</v>
      </c>
      <c r="C101" s="186"/>
      <c r="D101" s="174">
        <f t="shared" si="6"/>
        <v>0</v>
      </c>
      <c r="E101" s="188"/>
      <c r="F101" s="227"/>
      <c r="G101" s="201"/>
      <c r="H101" s="185"/>
      <c r="I101" s="186"/>
      <c r="J101" s="4"/>
      <c r="K101" s="168"/>
      <c r="L101" s="4"/>
      <c r="M101" s="4"/>
      <c r="N101" s="4"/>
      <c r="O101" s="189" t="e">
        <f>IF(O100+1&lt;=MIN('Données projet'!$E$9:$E$18),O100+1,"STOP")</f>
        <v>#VALUE!</v>
      </c>
      <c r="P101" s="180" t="e">
        <f t="shared" si="7"/>
        <v>#VALUE!</v>
      </c>
      <c r="Q101" s="230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5">
        <f>'Données projet'!A105</f>
        <v>0</v>
      </c>
      <c r="B102" s="176">
        <f>'Données projet'!D105</f>
        <v>0</v>
      </c>
      <c r="C102" s="186"/>
      <c r="D102" s="174">
        <f t="shared" si="6"/>
        <v>0</v>
      </c>
      <c r="E102" s="188"/>
      <c r="F102" s="227"/>
      <c r="G102" s="201"/>
      <c r="H102" s="185"/>
      <c r="I102" s="186"/>
      <c r="J102" s="4"/>
      <c r="K102" s="168"/>
      <c r="L102" s="4"/>
      <c r="M102" s="4"/>
      <c r="N102" s="4"/>
      <c r="O102" s="189" t="e">
        <f>IF(O101+1&lt;=MIN('Données projet'!$E$9:$E$18),O101+1,"STOP")</f>
        <v>#VALUE!</v>
      </c>
      <c r="P102" s="180" t="e">
        <f t="shared" si="7"/>
        <v>#VALUE!</v>
      </c>
      <c r="Q102" s="230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5">
        <f>'Données projet'!A106</f>
        <v>0</v>
      </c>
      <c r="B103" s="176">
        <f>'Données projet'!D106</f>
        <v>0</v>
      </c>
      <c r="C103" s="186"/>
      <c r="D103" s="174">
        <f t="shared" si="6"/>
        <v>0</v>
      </c>
      <c r="E103" s="188"/>
      <c r="F103" s="227"/>
      <c r="G103" s="201"/>
      <c r="H103" s="185"/>
      <c r="I103" s="186"/>
      <c r="J103" s="4"/>
      <c r="K103" s="168"/>
      <c r="L103" s="4"/>
      <c r="M103" s="4"/>
      <c r="N103" s="4"/>
      <c r="O103" s="189" t="e">
        <f>IF(O102+1&lt;=MIN('Données projet'!$E$9:$E$18),O102+1,"STOP")</f>
        <v>#VALUE!</v>
      </c>
      <c r="P103" s="180" t="e">
        <f t="shared" si="7"/>
        <v>#VALUE!</v>
      </c>
      <c r="Q103" s="230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5">
        <f>'Données projet'!A107</f>
        <v>0</v>
      </c>
      <c r="B104" s="176">
        <f>'Données projet'!D107</f>
        <v>0</v>
      </c>
      <c r="C104" s="186"/>
      <c r="D104" s="174">
        <f t="shared" si="6"/>
        <v>0</v>
      </c>
      <c r="E104" s="188"/>
      <c r="F104" s="227"/>
      <c r="G104" s="201"/>
      <c r="H104" s="185"/>
      <c r="I104" s="186"/>
      <c r="J104" s="4"/>
      <c r="K104" s="168"/>
      <c r="L104" s="4"/>
      <c r="M104" s="4"/>
      <c r="N104" s="4"/>
      <c r="O104" s="189" t="e">
        <f>IF(O103+1&lt;=MIN('Données projet'!$E$9:$E$18),O103+1,"STOP")</f>
        <v>#VALUE!</v>
      </c>
      <c r="P104" s="180" t="e">
        <f t="shared" si="7"/>
        <v>#VALUE!</v>
      </c>
      <c r="Q104" s="230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5"/>
      <c r="G105" s="201"/>
      <c r="H105" s="185"/>
      <c r="I105" s="186"/>
      <c r="J105" s="4"/>
      <c r="K105" s="168"/>
      <c r="L105" s="4"/>
      <c r="M105" s="4"/>
      <c r="N105" s="4"/>
      <c r="O105" s="189" t="e">
        <f>IF(O104+1&lt;=MIN('Données projet'!$E$9:$E$18),O104+1,"STOP")</f>
        <v>#VALUE!</v>
      </c>
      <c r="P105" s="180" t="e">
        <f t="shared" si="7"/>
        <v>#VALUE!</v>
      </c>
      <c r="Q105" s="230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5"/>
      <c r="G106" s="201"/>
      <c r="H106" s="185"/>
      <c r="I106" s="186"/>
      <c r="J106" s="4"/>
      <c r="K106" s="168"/>
      <c r="L106" s="4"/>
      <c r="M106" s="4"/>
      <c r="N106" s="4"/>
      <c r="O106" s="189" t="e">
        <f>IF(O105+1&lt;=MIN('Données projet'!$E$9:$E$18),O105+1,"STOP")</f>
        <v>#VALUE!</v>
      </c>
      <c r="P106" s="180" t="e">
        <f t="shared" si="7"/>
        <v>#VALUE!</v>
      </c>
      <c r="Q106" s="230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69" t="str">
        <f>IF('Données projet'!B12="","",'Données projet'!B12)</f>
        <v>Douglas</v>
      </c>
      <c r="C107" s="4"/>
      <c r="D107" s="4"/>
      <c r="E107" s="4"/>
      <c r="F107" s="225"/>
      <c r="G107" s="201"/>
      <c r="H107" s="185"/>
      <c r="I107" s="186"/>
      <c r="J107" s="4"/>
      <c r="K107" s="168"/>
      <c r="L107" s="4"/>
      <c r="M107" s="4"/>
      <c r="N107" s="4"/>
      <c r="O107" s="189" t="e">
        <f>IF(O106+1&lt;=MIN('Données projet'!$E$9:$E$18),O106+1,"STOP")</f>
        <v>#VALUE!</v>
      </c>
      <c r="P107" s="180" t="e">
        <f t="shared" si="7"/>
        <v>#VALUE!</v>
      </c>
      <c r="Q107" s="230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5"/>
      <c r="G108" s="201"/>
      <c r="H108" s="185"/>
      <c r="I108" s="186"/>
      <c r="J108" s="4"/>
      <c r="K108" s="168"/>
      <c r="L108" s="4"/>
      <c r="M108" s="4"/>
      <c r="N108" s="4"/>
      <c r="O108" s="189" t="e">
        <f>IF(O107+1&lt;=MIN('Données projet'!$E$9:$E$18),O107+1,"STOP")</f>
        <v>#VALUE!</v>
      </c>
      <c r="P108" s="180" t="e">
        <f t="shared" si="7"/>
        <v>#VALUE!</v>
      </c>
      <c r="Q108" s="230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6"/>
      <c r="G109" s="201"/>
      <c r="H109" s="185"/>
      <c r="I109" s="186"/>
      <c r="J109" s="4"/>
      <c r="K109" s="168"/>
      <c r="L109" s="4"/>
      <c r="M109" s="4"/>
      <c r="N109" s="4"/>
      <c r="O109" s="189" t="e">
        <f>IF(O108+1&lt;=MIN('Données projet'!$E$9:$E$18),O108+1,"STOP")</f>
        <v>#VALUE!</v>
      </c>
      <c r="P109" s="180" t="e">
        <f t="shared" si="7"/>
        <v>#VALUE!</v>
      </c>
      <c r="Q109" s="230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4" t="s">
        <v>132</v>
      </c>
      <c r="C110" s="193" t="s">
        <v>132</v>
      </c>
      <c r="D110" s="192" t="s">
        <v>132</v>
      </c>
      <c r="E110" s="261">
        <v>1711.61</v>
      </c>
      <c r="F110" s="226"/>
      <c r="G110" s="201"/>
      <c r="H110" s="185"/>
      <c r="I110" s="186"/>
      <c r="J110" s="4"/>
      <c r="K110" s="168"/>
      <c r="L110" s="4"/>
      <c r="M110" s="4"/>
      <c r="N110" s="4"/>
      <c r="O110" s="189" t="e">
        <f>IF(O109+1&lt;=MIN('Données projet'!$E$9:$E$18),O109+1,"STOP")</f>
        <v>#VALUE!</v>
      </c>
      <c r="P110" s="180" t="e">
        <f t="shared" si="7"/>
        <v>#VALUE!</v>
      </c>
      <c r="Q110" s="230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4" t="s">
        <v>132</v>
      </c>
      <c r="C111" s="193" t="s">
        <v>132</v>
      </c>
      <c r="D111" s="192" t="s">
        <v>132</v>
      </c>
      <c r="E111" s="188"/>
      <c r="F111" s="226"/>
      <c r="G111" s="23"/>
      <c r="H111" s="185"/>
      <c r="I111" s="186"/>
      <c r="J111" s="4"/>
      <c r="K111" s="168"/>
      <c r="L111" s="4"/>
      <c r="M111" s="4"/>
      <c r="N111" s="4"/>
      <c r="O111" s="189" t="e">
        <f>IF(O110+1&lt;=MIN('Données projet'!$E$9:$E$18),O110+1,"STOP")</f>
        <v>#VALUE!</v>
      </c>
      <c r="P111" s="180" t="e">
        <f t="shared" si="7"/>
        <v>#VALUE!</v>
      </c>
      <c r="Q111" s="230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4" t="s">
        <v>132</v>
      </c>
      <c r="C112" s="193" t="s">
        <v>132</v>
      </c>
      <c r="D112" s="192" t="s">
        <v>132</v>
      </c>
      <c r="E112" s="188"/>
      <c r="F112" s="226"/>
      <c r="G112" s="23"/>
      <c r="H112" s="185"/>
      <c r="I112" s="186"/>
      <c r="J112" s="4"/>
      <c r="K112" s="168"/>
      <c r="L112" s="4"/>
      <c r="M112" s="4"/>
      <c r="N112" s="4"/>
      <c r="O112" s="189" t="e">
        <f>IF(O111+1&lt;=MIN('Données projet'!$E$9:$E$18),O111+1,"STOP")</f>
        <v>#VALUE!</v>
      </c>
      <c r="P112" s="180" t="e">
        <f t="shared" si="7"/>
        <v>#VALUE!</v>
      </c>
      <c r="Q112" s="230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4" t="s">
        <v>132</v>
      </c>
      <c r="C113" s="193" t="s">
        <v>132</v>
      </c>
      <c r="D113" s="192" t="s">
        <v>132</v>
      </c>
      <c r="E113" s="188"/>
      <c r="F113" s="226"/>
      <c r="G113" s="23"/>
      <c r="H113" s="185"/>
      <c r="I113" s="186"/>
      <c r="J113" s="4"/>
      <c r="K113" s="168"/>
      <c r="L113" s="4"/>
      <c r="M113" s="4"/>
      <c r="N113" s="4"/>
      <c r="O113" s="189" t="e">
        <f>IF(O112+1&lt;=MIN('Données projet'!$E$9:$E$18),O112+1,"STOP")</f>
        <v>#VALUE!</v>
      </c>
      <c r="P113" s="180" t="e">
        <f t="shared" si="7"/>
        <v>#VALUE!</v>
      </c>
      <c r="Q113" s="230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4" t="s">
        <v>132</v>
      </c>
      <c r="C114" s="193" t="s">
        <v>132</v>
      </c>
      <c r="D114" s="192" t="s">
        <v>132</v>
      </c>
      <c r="E114" s="188"/>
      <c r="F114" s="226"/>
      <c r="G114" s="23"/>
      <c r="H114" s="185"/>
      <c r="I114" s="186"/>
      <c r="J114" s="4"/>
      <c r="K114" s="168"/>
      <c r="L114" s="4"/>
      <c r="M114" s="4"/>
      <c r="N114" s="4"/>
      <c r="O114" s="189" t="e">
        <f>IF(O113+1&lt;=MIN('Données projet'!$E$9:$E$18),O113+1,"STOP")</f>
        <v>#VALUE!</v>
      </c>
      <c r="P114" s="180" t="e">
        <f t="shared" si="7"/>
        <v>#VALUE!</v>
      </c>
      <c r="Q114" s="230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4" t="s">
        <v>132</v>
      </c>
      <c r="C115" s="193" t="s">
        <v>132</v>
      </c>
      <c r="D115" s="192" t="s">
        <v>132</v>
      </c>
      <c r="E115" s="188"/>
      <c r="F115" s="226"/>
      <c r="G115" s="200"/>
      <c r="H115" s="185"/>
      <c r="I115" s="186"/>
      <c r="J115" s="4"/>
      <c r="K115" s="168"/>
      <c r="L115" s="4"/>
      <c r="M115" s="4"/>
      <c r="N115" s="4"/>
      <c r="O115" s="189" t="e">
        <f>IF(O114+1&lt;=MIN('Données projet'!$E$9:$E$18),O114+1,"STOP")</f>
        <v>#VALUE!</v>
      </c>
      <c r="P115" s="180" t="e">
        <f t="shared" si="7"/>
        <v>#VALUE!</v>
      </c>
      <c r="Q115" s="230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5">
        <f>'Données projet'!A114</f>
        <v>15</v>
      </c>
      <c r="B116" s="176">
        <f>'Données projet'!D114</f>
        <v>0</v>
      </c>
      <c r="C116" s="188"/>
      <c r="D116" s="174">
        <f>B116*C116</f>
        <v>0</v>
      </c>
      <c r="E116" s="188"/>
      <c r="F116" s="227"/>
      <c r="G116" s="200"/>
      <c r="H116" s="185"/>
      <c r="I116" s="186"/>
      <c r="J116" s="4"/>
      <c r="K116" s="168"/>
      <c r="L116" s="4"/>
      <c r="M116" s="4"/>
      <c r="N116" s="4"/>
      <c r="O116" s="189" t="e">
        <f>IF(O115+1&lt;=MIN('Données projet'!$E$9:$E$18),O115+1,"STOP")</f>
        <v>#VALUE!</v>
      </c>
      <c r="P116" s="180" t="e">
        <f t="shared" si="7"/>
        <v>#VALUE!</v>
      </c>
      <c r="Q116" s="230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5">
        <f>'Données projet'!A115</f>
        <v>20</v>
      </c>
      <c r="B117" s="176">
        <f>'Données projet'!D115</f>
        <v>43</v>
      </c>
      <c r="C117" s="188">
        <v>10</v>
      </c>
      <c r="D117" s="174">
        <f t="shared" ref="D117:D135" si="8">B117*C117</f>
        <v>430</v>
      </c>
      <c r="E117" s="188"/>
      <c r="F117" s="227"/>
      <c r="G117" s="200"/>
      <c r="H117" s="185"/>
      <c r="I117" s="186"/>
      <c r="J117" s="4"/>
      <c r="K117" s="168"/>
      <c r="L117" s="4"/>
      <c r="M117" s="4"/>
      <c r="N117" s="4"/>
      <c r="O117" s="189" t="e">
        <f>IF(O116+1&lt;=MIN('Données projet'!$E$9:$E$18),O116+1,"STOP")</f>
        <v>#VALUE!</v>
      </c>
      <c r="P117" s="180" t="e">
        <f t="shared" si="7"/>
        <v>#VALUE!</v>
      </c>
      <c r="Q117" s="230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5">
        <f>'Données projet'!A116</f>
        <v>25</v>
      </c>
      <c r="B118" s="176">
        <f>'Données projet'!D116</f>
        <v>60</v>
      </c>
      <c r="C118" s="188">
        <v>10</v>
      </c>
      <c r="D118" s="174">
        <f t="shared" si="8"/>
        <v>600</v>
      </c>
      <c r="E118" s="188"/>
      <c r="F118" s="227"/>
      <c r="G118" s="200"/>
      <c r="H118" s="185"/>
      <c r="I118" s="186"/>
      <c r="J118" s="4"/>
      <c r="K118" s="168"/>
      <c r="L118" s="4"/>
      <c r="M118" s="4"/>
      <c r="N118" s="4"/>
      <c r="O118" s="189" t="e">
        <f>IF(O117+1&lt;=MIN('Données projet'!$E$9:$E$18),O117+1,"STOP")</f>
        <v>#VALUE!</v>
      </c>
      <c r="P118" s="180" t="e">
        <f t="shared" si="7"/>
        <v>#VALUE!</v>
      </c>
      <c r="Q118" s="230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5">
        <f>'Données projet'!A117</f>
        <v>30</v>
      </c>
      <c r="B119" s="176">
        <f>'Données projet'!D117</f>
        <v>90</v>
      </c>
      <c r="C119" s="188"/>
      <c r="D119" s="174">
        <f t="shared" si="8"/>
        <v>0</v>
      </c>
      <c r="E119" s="188"/>
      <c r="F119" s="227"/>
      <c r="G119" s="200"/>
      <c r="H119" s="185"/>
      <c r="I119" s="186"/>
      <c r="J119" s="4"/>
      <c r="K119" s="168"/>
      <c r="L119" s="4"/>
      <c r="M119" s="4"/>
      <c r="N119" s="4"/>
      <c r="O119" s="189" t="e">
        <f>IF(O118+1&lt;=MIN('Données projet'!$E$9:$E$18),O118+1,"STOP")</f>
        <v>#VALUE!</v>
      </c>
      <c r="P119" s="180" t="e">
        <f t="shared" si="7"/>
        <v>#VALUE!</v>
      </c>
      <c r="Q119" s="230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5">
        <f>'Données projet'!A118</f>
        <v>35</v>
      </c>
      <c r="B120" s="176">
        <f>'Données projet'!D118</f>
        <v>72</v>
      </c>
      <c r="C120" s="188"/>
      <c r="D120" s="174">
        <f t="shared" si="8"/>
        <v>0</v>
      </c>
      <c r="E120" s="188"/>
      <c r="F120" s="227"/>
      <c r="G120" s="200"/>
      <c r="H120" s="185"/>
      <c r="I120" s="186"/>
      <c r="J120" s="4"/>
      <c r="K120" s="168"/>
      <c r="L120" s="4"/>
      <c r="M120" s="4"/>
      <c r="N120" s="4"/>
      <c r="O120" s="189" t="e">
        <f>IF(O119+1&lt;=MIN('Données projet'!$E$9:$E$18),O119+1,"STOP")</f>
        <v>#VALUE!</v>
      </c>
      <c r="P120" s="180" t="e">
        <f t="shared" si="7"/>
        <v>#VALUE!</v>
      </c>
      <c r="Q120" s="230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5">
        <f>'Données projet'!A119</f>
        <v>40</v>
      </c>
      <c r="B121" s="176">
        <f>'Données projet'!D119</f>
        <v>77</v>
      </c>
      <c r="C121" s="186"/>
      <c r="D121" s="174">
        <f t="shared" si="8"/>
        <v>0</v>
      </c>
      <c r="E121" s="188"/>
      <c r="F121" s="227"/>
      <c r="G121" s="200"/>
      <c r="H121" s="185"/>
      <c r="I121" s="186"/>
      <c r="J121" s="4"/>
      <c r="K121" s="168"/>
      <c r="L121" s="4"/>
      <c r="M121" s="4"/>
      <c r="N121" s="4"/>
      <c r="O121" s="189" t="e">
        <f>IF(O120+1&lt;=MIN('Données projet'!$E$9:$E$18),O120+1,"STOP")</f>
        <v>#VALUE!</v>
      </c>
      <c r="P121" s="180" t="e">
        <f t="shared" si="7"/>
        <v>#VALUE!</v>
      </c>
      <c r="Q121" s="230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5">
        <f>'Données projet'!A120</f>
        <v>45</v>
      </c>
      <c r="B122" s="176">
        <f>'Données projet'!D120</f>
        <v>64</v>
      </c>
      <c r="C122" s="186"/>
      <c r="D122" s="174">
        <f t="shared" si="8"/>
        <v>0</v>
      </c>
      <c r="E122" s="188"/>
      <c r="F122" s="227"/>
      <c r="G122" s="201"/>
      <c r="H122" s="185"/>
      <c r="I122" s="186"/>
      <c r="J122" s="4"/>
      <c r="K122" s="168"/>
      <c r="L122" s="4"/>
      <c r="M122" s="4"/>
      <c r="N122" s="4"/>
      <c r="O122" s="189" t="e">
        <f>IF(O121+1&lt;=MIN('Données projet'!$E$9:$E$18),O121+1,"STOP")</f>
        <v>#VALUE!</v>
      </c>
      <c r="P122" s="180" t="e">
        <f t="shared" si="7"/>
        <v>#VALUE!</v>
      </c>
      <c r="Q122" s="230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5">
        <f>'Données projet'!A121</f>
        <v>50</v>
      </c>
      <c r="B123" s="176">
        <f>'Données projet'!D121</f>
        <v>62</v>
      </c>
      <c r="C123" s="186"/>
      <c r="D123" s="174">
        <f t="shared" si="8"/>
        <v>0</v>
      </c>
      <c r="E123" s="188"/>
      <c r="F123" s="227"/>
      <c r="G123" s="201"/>
      <c r="H123" s="185"/>
      <c r="I123" s="186"/>
      <c r="J123" s="4"/>
      <c r="K123" s="168"/>
      <c r="L123" s="4"/>
      <c r="M123" s="4"/>
      <c r="N123" s="4"/>
      <c r="O123" s="189" t="e">
        <f>IF(O122+1&lt;=MIN('Données projet'!$E$9:$E$18),O122+1,"STOP")</f>
        <v>#VALUE!</v>
      </c>
      <c r="P123" s="180" t="e">
        <f t="shared" si="7"/>
        <v>#VALUE!</v>
      </c>
      <c r="Q123" s="230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5">
        <f>'Données projet'!A122</f>
        <v>55</v>
      </c>
      <c r="B124" s="176">
        <f>'Données projet'!D122</f>
        <v>46</v>
      </c>
      <c r="C124" s="186"/>
      <c r="D124" s="174">
        <f t="shared" si="8"/>
        <v>0</v>
      </c>
      <c r="E124" s="188"/>
      <c r="F124" s="227"/>
      <c r="G124" s="201"/>
      <c r="H124" s="185"/>
      <c r="I124" s="186"/>
      <c r="J124" s="4"/>
      <c r="K124" s="168"/>
      <c r="L124" s="4"/>
      <c r="M124" s="4"/>
      <c r="N124" s="4"/>
      <c r="O124" s="189" t="e">
        <f>IF(O123+1&lt;=MIN('Données projet'!$E$9:$E$18),O123+1,"STOP")</f>
        <v>#VALUE!</v>
      </c>
      <c r="P124" s="180" t="e">
        <f t="shared" si="7"/>
        <v>#VALUE!</v>
      </c>
      <c r="Q124" s="230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5">
        <f>'Données projet'!A123</f>
        <v>60</v>
      </c>
      <c r="B125" s="176">
        <f>'Données projet'!D123</f>
        <v>35</v>
      </c>
      <c r="C125" s="186"/>
      <c r="D125" s="174">
        <f t="shared" si="8"/>
        <v>0</v>
      </c>
      <c r="E125" s="188"/>
      <c r="F125" s="227"/>
      <c r="G125" s="201"/>
      <c r="H125" s="185"/>
      <c r="I125" s="186"/>
      <c r="J125" s="4"/>
      <c r="K125" s="168"/>
      <c r="L125" s="4"/>
      <c r="M125" s="4"/>
      <c r="N125" s="4"/>
      <c r="O125" s="189" t="e">
        <f>IF(O124+1&lt;=MIN('Données projet'!$E$9:$E$18),O124+1,"STOP")</f>
        <v>#VALUE!</v>
      </c>
      <c r="P125" s="180" t="e">
        <f t="shared" si="7"/>
        <v>#VALUE!</v>
      </c>
      <c r="Q125" s="230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5">
        <f>'Données projet'!A124</f>
        <v>65</v>
      </c>
      <c r="B126" s="176">
        <f>'Données projet'!D124</f>
        <v>29</v>
      </c>
      <c r="C126" s="186"/>
      <c r="D126" s="174">
        <f t="shared" si="8"/>
        <v>0</v>
      </c>
      <c r="E126" s="188"/>
      <c r="F126" s="227"/>
      <c r="G126" s="201"/>
      <c r="H126" s="185"/>
      <c r="I126" s="186"/>
      <c r="J126" s="4"/>
      <c r="K126" s="168"/>
      <c r="L126" s="4"/>
      <c r="M126" s="4"/>
      <c r="N126" s="4"/>
      <c r="O126" s="189" t="e">
        <f>IF(O125+1&lt;=MIN('Données projet'!$E$9:$E$18),O125+1,"STOP")</f>
        <v>#VALUE!</v>
      </c>
      <c r="P126" s="180" t="e">
        <f t="shared" si="7"/>
        <v>#VALUE!</v>
      </c>
      <c r="Q126" s="230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5">
        <f>'Données projet'!A125</f>
        <v>0</v>
      </c>
      <c r="B127" s="176">
        <f>'Données projet'!D125</f>
        <v>0</v>
      </c>
      <c r="C127" s="186"/>
      <c r="D127" s="174">
        <f t="shared" si="8"/>
        <v>0</v>
      </c>
      <c r="E127" s="188"/>
      <c r="F127" s="227"/>
      <c r="G127" s="201"/>
      <c r="H127" s="185"/>
      <c r="I127" s="186"/>
      <c r="J127" s="4"/>
      <c r="K127" s="168"/>
      <c r="L127" s="4"/>
      <c r="M127" s="4"/>
      <c r="N127" s="4"/>
      <c r="O127" s="189" t="e">
        <f>IF(O126+1&lt;=MIN('Données projet'!$E$9:$E$18),O126+1,"STOP")</f>
        <v>#VALUE!</v>
      </c>
      <c r="P127" s="180" t="e">
        <f t="shared" si="7"/>
        <v>#VALUE!</v>
      </c>
      <c r="Q127" s="230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5">
        <f>'Données projet'!A126</f>
        <v>0</v>
      </c>
      <c r="B128" s="176">
        <f>'Données projet'!D126</f>
        <v>0</v>
      </c>
      <c r="C128" s="186"/>
      <c r="D128" s="174">
        <f t="shared" si="8"/>
        <v>0</v>
      </c>
      <c r="E128" s="188"/>
      <c r="F128" s="227"/>
      <c r="G128" s="201"/>
      <c r="H128" s="185"/>
      <c r="I128" s="186"/>
      <c r="J128" s="4"/>
      <c r="K128" s="168"/>
      <c r="L128" s="4"/>
      <c r="M128" s="4"/>
      <c r="N128" s="4"/>
      <c r="O128" s="189" t="e">
        <f>IF(O127+1&lt;=MIN('Données projet'!$E$9:$E$18),O127+1,"STOP")</f>
        <v>#VALUE!</v>
      </c>
      <c r="P128" s="180" t="e">
        <f t="shared" si="7"/>
        <v>#VALUE!</v>
      </c>
      <c r="Q128" s="230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5">
        <f>'Données projet'!A127</f>
        <v>0</v>
      </c>
      <c r="B129" s="176">
        <f>'Données projet'!D127</f>
        <v>0</v>
      </c>
      <c r="C129" s="186"/>
      <c r="D129" s="174">
        <f t="shared" si="8"/>
        <v>0</v>
      </c>
      <c r="E129" s="188"/>
      <c r="F129" s="227"/>
      <c r="G129" s="201"/>
      <c r="H129" s="185"/>
      <c r="I129" s="186"/>
      <c r="J129" s="4"/>
      <c r="K129" s="168"/>
      <c r="L129" s="4"/>
      <c r="M129" s="4"/>
      <c r="N129" s="4"/>
      <c r="O129" s="189" t="e">
        <f>IF(O128+1&lt;=MIN('Données projet'!$E$9:$E$18),O128+1,"STOP")</f>
        <v>#VALUE!</v>
      </c>
      <c r="P129" s="180" t="e">
        <f t="shared" ref="P129:P132" si="9">$P$25/(1+$M$4)^O129</f>
        <v>#VALUE!</v>
      </c>
      <c r="Q129" s="230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5">
        <f>'Données projet'!A128</f>
        <v>0</v>
      </c>
      <c r="B130" s="176">
        <f>'Données projet'!D128</f>
        <v>0</v>
      </c>
      <c r="C130" s="186"/>
      <c r="D130" s="174">
        <f t="shared" si="8"/>
        <v>0</v>
      </c>
      <c r="E130" s="188"/>
      <c r="F130" s="227"/>
      <c r="G130" s="201"/>
      <c r="H130" s="185"/>
      <c r="I130" s="186"/>
      <c r="J130" s="4"/>
      <c r="K130" s="168"/>
      <c r="L130" s="4"/>
      <c r="M130" s="4"/>
      <c r="N130" s="4"/>
      <c r="O130" s="189" t="e">
        <f>IF(O129+1&lt;=MIN('Données projet'!$E$9:$E$18),O129+1,"STOP")</f>
        <v>#VALUE!</v>
      </c>
      <c r="P130" s="180" t="e">
        <f t="shared" si="9"/>
        <v>#VALUE!</v>
      </c>
      <c r="Q130" s="230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5">
        <f>'Données projet'!A129</f>
        <v>0</v>
      </c>
      <c r="B131" s="176">
        <f>'Données projet'!D129</f>
        <v>0</v>
      </c>
      <c r="C131" s="186"/>
      <c r="D131" s="174">
        <f t="shared" si="8"/>
        <v>0</v>
      </c>
      <c r="E131" s="188"/>
      <c r="F131" s="227"/>
      <c r="G131" s="201"/>
      <c r="H131" s="185"/>
      <c r="I131" s="186"/>
      <c r="J131" s="4"/>
      <c r="K131" s="168"/>
      <c r="L131" s="4"/>
      <c r="M131" s="4"/>
      <c r="N131" s="4"/>
      <c r="O131" s="189" t="e">
        <f>IF(O130+1&lt;=MIN('Données projet'!$E$9:$E$18),O130+1,"STOP")</f>
        <v>#VALUE!</v>
      </c>
      <c r="P131" s="180" t="e">
        <f t="shared" si="9"/>
        <v>#VALUE!</v>
      </c>
      <c r="Q131" s="230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5">
        <f>'Données projet'!A130</f>
        <v>0</v>
      </c>
      <c r="B132" s="176">
        <f>'Données projet'!D130</f>
        <v>0</v>
      </c>
      <c r="C132" s="186"/>
      <c r="D132" s="174">
        <f t="shared" si="8"/>
        <v>0</v>
      </c>
      <c r="E132" s="188"/>
      <c r="F132" s="227"/>
      <c r="G132" s="201"/>
      <c r="H132" s="185"/>
      <c r="I132" s="186"/>
      <c r="J132" s="4"/>
      <c r="K132" s="168"/>
      <c r="L132" s="4"/>
      <c r="M132" s="4"/>
      <c r="N132" s="4"/>
      <c r="O132" s="189" t="e">
        <f>IF(O131+1&lt;=MIN('Données projet'!$E$9:$E$18),O131+1,"STOP")</f>
        <v>#VALUE!</v>
      </c>
      <c r="P132" s="180" t="e">
        <f t="shared" si="9"/>
        <v>#VALUE!</v>
      </c>
      <c r="Q132" s="230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5">
        <f>'Données projet'!A131</f>
        <v>0</v>
      </c>
      <c r="B133" s="176">
        <f>'Données projet'!D131</f>
        <v>0</v>
      </c>
      <c r="C133" s="186"/>
      <c r="D133" s="174">
        <f t="shared" si="8"/>
        <v>0</v>
      </c>
      <c r="E133" s="188"/>
      <c r="F133" s="227"/>
      <c r="G133" s="201"/>
      <c r="H133" s="185"/>
      <c r="I133" s="186"/>
      <c r="J133" s="4"/>
      <c r="K133" s="168"/>
      <c r="Q133" s="230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5">
        <f>'Données projet'!A132</f>
        <v>0</v>
      </c>
      <c r="B134" s="176">
        <f>'Données projet'!D132</f>
        <v>0</v>
      </c>
      <c r="C134" s="186"/>
      <c r="D134" s="174">
        <f t="shared" si="8"/>
        <v>0</v>
      </c>
      <c r="E134" s="188"/>
      <c r="F134" s="227"/>
      <c r="G134" s="201"/>
      <c r="H134" s="185"/>
      <c r="I134" s="186"/>
      <c r="J134" s="4"/>
      <c r="K134" s="168"/>
      <c r="Q134" s="230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5">
        <f>'Données projet'!A133</f>
        <v>0</v>
      </c>
      <c r="B135" s="176">
        <f>'Données projet'!D133</f>
        <v>0</v>
      </c>
      <c r="C135" s="186"/>
      <c r="D135" s="174">
        <f t="shared" si="8"/>
        <v>0</v>
      </c>
      <c r="E135" s="188"/>
      <c r="F135" s="227"/>
      <c r="G135" s="201"/>
      <c r="H135" s="185"/>
      <c r="I135" s="186"/>
      <c r="J135" s="4"/>
      <c r="K135" s="168"/>
      <c r="Q135" s="230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5"/>
      <c r="G136" s="201"/>
      <c r="H136" s="185"/>
      <c r="I136" s="186"/>
      <c r="J136" s="4"/>
      <c r="K136" s="168"/>
      <c r="L136" s="4"/>
      <c r="M136" s="4"/>
      <c r="N136" s="4"/>
      <c r="Q136" s="230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5"/>
      <c r="G137" s="201"/>
      <c r="H137" s="185"/>
      <c r="I137" s="186"/>
      <c r="J137" s="4"/>
      <c r="K137" s="168"/>
      <c r="L137" s="4"/>
      <c r="M137" s="4"/>
      <c r="N137" s="4"/>
      <c r="Q137" s="230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69" t="str">
        <f>IF('Données projet'!B13="","",'Données projet'!B13)</f>
        <v>Charme</v>
      </c>
      <c r="C138" s="4"/>
      <c r="D138" s="4"/>
      <c r="E138" s="4"/>
      <c r="F138" s="225"/>
      <c r="G138" s="201"/>
      <c r="H138" s="185"/>
      <c r="I138" s="186"/>
      <c r="J138" s="4"/>
      <c r="K138" s="168"/>
      <c r="L138" s="4"/>
      <c r="M138" s="4"/>
      <c r="N138" s="4"/>
      <c r="Q138" s="230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5"/>
      <c r="G139" s="201"/>
      <c r="H139" s="185"/>
      <c r="I139" s="186"/>
      <c r="J139" s="4"/>
      <c r="K139" s="168"/>
      <c r="L139" s="4"/>
      <c r="M139" s="4"/>
      <c r="N139" s="4"/>
      <c r="Q139" s="230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6"/>
      <c r="G140" s="201"/>
      <c r="H140" s="185"/>
      <c r="I140" s="186"/>
      <c r="J140" s="4"/>
      <c r="K140" s="168"/>
      <c r="L140" s="4"/>
      <c r="M140" s="4"/>
      <c r="N140" s="4"/>
      <c r="Q140" s="230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4" t="s">
        <v>132</v>
      </c>
      <c r="C141" s="193" t="s">
        <v>132</v>
      </c>
      <c r="D141" s="192" t="s">
        <v>132</v>
      </c>
      <c r="E141" s="261">
        <v>1725.63</v>
      </c>
      <c r="F141" s="226"/>
      <c r="G141" s="201"/>
      <c r="H141" s="185"/>
      <c r="I141" s="186"/>
      <c r="J141" s="4"/>
      <c r="K141" s="168"/>
      <c r="L141" s="4"/>
      <c r="M141" s="4"/>
      <c r="N141" s="4"/>
      <c r="Q141" s="230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4" t="s">
        <v>132</v>
      </c>
      <c r="C142" s="193" t="s">
        <v>132</v>
      </c>
      <c r="D142" s="192" t="s">
        <v>132</v>
      </c>
      <c r="E142" s="188"/>
      <c r="F142" s="226"/>
      <c r="G142" s="23"/>
      <c r="H142" s="185"/>
      <c r="I142" s="186"/>
      <c r="J142" s="4"/>
      <c r="K142" s="168"/>
      <c r="L142" s="4"/>
      <c r="M142" s="4"/>
      <c r="N142" s="4"/>
      <c r="Q142" s="230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4" t="s">
        <v>132</v>
      </c>
      <c r="C143" s="193" t="s">
        <v>132</v>
      </c>
      <c r="D143" s="192" t="s">
        <v>132</v>
      </c>
      <c r="E143" s="188"/>
      <c r="F143" s="226"/>
      <c r="G143" s="23"/>
      <c r="H143" s="185"/>
      <c r="I143" s="186"/>
      <c r="J143" s="4"/>
      <c r="K143" s="168"/>
      <c r="L143" s="4"/>
      <c r="M143" s="4"/>
      <c r="N143" s="4"/>
      <c r="Q143" s="230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4" t="s">
        <v>132</v>
      </c>
      <c r="C144" s="193" t="s">
        <v>132</v>
      </c>
      <c r="D144" s="192" t="s">
        <v>132</v>
      </c>
      <c r="E144" s="188"/>
      <c r="F144" s="226"/>
      <c r="G144" s="23"/>
      <c r="H144" s="185"/>
      <c r="I144" s="186"/>
      <c r="J144" s="4"/>
      <c r="K144" s="168"/>
      <c r="L144" s="4"/>
      <c r="M144" s="4"/>
      <c r="N144" s="4"/>
      <c r="Q144" s="230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4" t="s">
        <v>132</v>
      </c>
      <c r="C145" s="193" t="s">
        <v>132</v>
      </c>
      <c r="D145" s="192" t="s">
        <v>132</v>
      </c>
      <c r="E145" s="188"/>
      <c r="F145" s="226"/>
      <c r="G145" s="23"/>
      <c r="H145" s="185"/>
      <c r="I145" s="186"/>
      <c r="J145" s="4"/>
      <c r="K145" s="168"/>
      <c r="L145" s="4"/>
      <c r="M145" s="4"/>
      <c r="N145" s="4"/>
      <c r="Q145" s="230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4" t="s">
        <v>132</v>
      </c>
      <c r="C146" s="193" t="s">
        <v>132</v>
      </c>
      <c r="D146" s="192" t="s">
        <v>132</v>
      </c>
      <c r="E146" s="188"/>
      <c r="F146" s="226"/>
      <c r="G146" s="200"/>
      <c r="H146" s="185"/>
      <c r="I146" s="186"/>
      <c r="J146" s="4"/>
      <c r="K146" s="168"/>
      <c r="L146" s="4"/>
      <c r="M146" s="4"/>
      <c r="N146" s="4"/>
      <c r="Q146" s="230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0">
        <f>'Données projet'!D140</f>
        <v>10</v>
      </c>
      <c r="C147" s="188">
        <v>13</v>
      </c>
      <c r="D147" s="177">
        <f>B147*C147</f>
        <v>130</v>
      </c>
      <c r="E147" s="188"/>
      <c r="F147" s="228"/>
      <c r="G147" s="200"/>
      <c r="H147" s="185"/>
      <c r="I147" s="186"/>
      <c r="J147" s="4"/>
      <c r="K147" s="168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0">
        <f>'Données projet'!D141</f>
        <v>17</v>
      </c>
      <c r="C148" s="188">
        <v>13</v>
      </c>
      <c r="D148" s="177">
        <f t="shared" ref="D148:D166" si="10">B148*C148</f>
        <v>221</v>
      </c>
      <c r="E148" s="188"/>
      <c r="F148" s="228"/>
      <c r="G148" s="200"/>
      <c r="H148" s="185"/>
      <c r="I148" s="186"/>
      <c r="J148" s="4"/>
      <c r="K148" s="168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0">
        <f>'Données projet'!D142</f>
        <v>22</v>
      </c>
      <c r="C149" s="188">
        <v>13</v>
      </c>
      <c r="D149" s="177">
        <f t="shared" si="10"/>
        <v>286</v>
      </c>
      <c r="E149" s="188"/>
      <c r="F149" s="228"/>
      <c r="G149" s="200"/>
      <c r="H149" s="185"/>
      <c r="I149" s="186"/>
      <c r="J149" s="4"/>
      <c r="K149" s="168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0">
        <f>'Données projet'!D143</f>
        <v>26</v>
      </c>
      <c r="C150" s="188">
        <v>13</v>
      </c>
      <c r="D150" s="177">
        <f t="shared" si="10"/>
        <v>338</v>
      </c>
      <c r="E150" s="188"/>
      <c r="F150" s="228"/>
      <c r="G150" s="200"/>
      <c r="H150" s="185"/>
      <c r="I150" s="186"/>
      <c r="J150" s="4"/>
      <c r="K150" s="168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0">
        <f>'Données projet'!D144</f>
        <v>28</v>
      </c>
      <c r="C151" s="186">
        <v>13</v>
      </c>
      <c r="D151" s="177">
        <f t="shared" si="10"/>
        <v>364</v>
      </c>
      <c r="E151" s="188"/>
      <c r="F151" s="228"/>
      <c r="G151" s="200"/>
      <c r="H151" s="185"/>
      <c r="I151" s="186"/>
      <c r="J151" s="4"/>
      <c r="K151" s="168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0">
        <f>'Données projet'!D145</f>
        <v>29</v>
      </c>
      <c r="C152" s="186"/>
      <c r="D152" s="177">
        <f t="shared" si="10"/>
        <v>0</v>
      </c>
      <c r="E152" s="188"/>
      <c r="F152" s="228"/>
      <c r="G152" s="200"/>
      <c r="H152" s="185"/>
      <c r="I152" s="186"/>
      <c r="J152" s="4"/>
      <c r="K152" s="168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0">
        <f>'Données projet'!D146</f>
        <v>30</v>
      </c>
      <c r="C153" s="186"/>
      <c r="D153" s="177">
        <f t="shared" si="10"/>
        <v>0</v>
      </c>
      <c r="E153" s="188"/>
      <c r="F153" s="228"/>
      <c r="G153" s="198"/>
      <c r="H153" s="185"/>
      <c r="I153" s="186"/>
      <c r="J153" s="4"/>
      <c r="K153" s="168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0">
        <f>'Données projet'!D147</f>
        <v>30</v>
      </c>
      <c r="C154" s="186"/>
      <c r="D154" s="177">
        <f t="shared" si="10"/>
        <v>0</v>
      </c>
      <c r="E154" s="188"/>
      <c r="F154" s="228"/>
      <c r="G154" s="198"/>
      <c r="H154" s="185"/>
      <c r="I154" s="186"/>
      <c r="J154" s="4"/>
      <c r="K154" s="168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0">
        <f>'Données projet'!D148</f>
        <v>30</v>
      </c>
      <c r="C155" s="186"/>
      <c r="D155" s="177">
        <f t="shared" si="10"/>
        <v>0</v>
      </c>
      <c r="E155" s="188"/>
      <c r="F155" s="228"/>
      <c r="G155" s="198"/>
      <c r="H155" s="185"/>
      <c r="I155" s="186"/>
      <c r="J155" s="4"/>
      <c r="K155" s="168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0">
        <f>'Données projet'!D149</f>
        <v>30</v>
      </c>
      <c r="C156" s="186"/>
      <c r="D156" s="177">
        <f t="shared" si="10"/>
        <v>0</v>
      </c>
      <c r="E156" s="188"/>
      <c r="F156" s="228"/>
      <c r="G156" s="198"/>
      <c r="H156" s="185"/>
      <c r="I156" s="186"/>
      <c r="J156" s="4"/>
      <c r="K156" s="168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0">
        <f>'Données projet'!D150</f>
        <v>29</v>
      </c>
      <c r="C157" s="186"/>
      <c r="D157" s="177">
        <f t="shared" si="10"/>
        <v>0</v>
      </c>
      <c r="E157" s="188"/>
      <c r="F157" s="228"/>
      <c r="G157" s="198"/>
      <c r="H157" s="185"/>
      <c r="I157" s="186"/>
      <c r="J157" s="4"/>
      <c r="K157" s="168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0">
        <f>'Données projet'!D151</f>
        <v>29</v>
      </c>
      <c r="C158" s="186"/>
      <c r="D158" s="177">
        <f t="shared" si="10"/>
        <v>0</v>
      </c>
      <c r="E158" s="188"/>
      <c r="F158" s="228"/>
      <c r="G158" s="198"/>
      <c r="H158" s="185"/>
      <c r="I158" s="186"/>
      <c r="J158" s="4"/>
      <c r="K158" s="168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0">
        <f>'Données projet'!D152</f>
        <v>28</v>
      </c>
      <c r="C159" s="186"/>
      <c r="D159" s="177">
        <f t="shared" si="10"/>
        <v>0</v>
      </c>
      <c r="E159" s="188"/>
      <c r="F159" s="228"/>
      <c r="G159" s="198"/>
      <c r="H159" s="185"/>
      <c r="I159" s="186"/>
      <c r="J159" s="4"/>
      <c r="K159" s="168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0">
        <f>'Données projet'!D153</f>
        <v>27</v>
      </c>
      <c r="C160" s="186"/>
      <c r="D160" s="177">
        <f t="shared" si="10"/>
        <v>0</v>
      </c>
      <c r="E160" s="188"/>
      <c r="F160" s="228"/>
      <c r="G160" s="198"/>
      <c r="H160" s="185"/>
      <c r="I160" s="186"/>
      <c r="J160" s="4"/>
      <c r="K160" s="168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0">
        <f>'Données projet'!D154</f>
        <v>26</v>
      </c>
      <c r="C161" s="186"/>
      <c r="D161" s="177">
        <f t="shared" si="10"/>
        <v>0</v>
      </c>
      <c r="E161" s="188"/>
      <c r="F161" s="228"/>
      <c r="G161" s="198"/>
      <c r="H161" s="185"/>
      <c r="I161" s="186"/>
      <c r="J161" s="4"/>
      <c r="K161" s="168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85</v>
      </c>
      <c r="B162" s="170">
        <f>'Données projet'!D155</f>
        <v>25</v>
      </c>
      <c r="C162" s="186"/>
      <c r="D162" s="177">
        <f t="shared" si="10"/>
        <v>0</v>
      </c>
      <c r="E162" s="188"/>
      <c r="F162" s="228"/>
      <c r="G162" s="198"/>
      <c r="H162" s="185"/>
      <c r="I162" s="186"/>
      <c r="J162" s="4"/>
      <c r="K162" s="168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90</v>
      </c>
      <c r="B163" s="170">
        <f>'Données projet'!D156</f>
        <v>24</v>
      </c>
      <c r="C163" s="186"/>
      <c r="D163" s="177">
        <f t="shared" si="10"/>
        <v>0</v>
      </c>
      <c r="E163" s="188"/>
      <c r="F163" s="228"/>
      <c r="G163" s="198"/>
      <c r="H163" s="185"/>
      <c r="I163" s="186"/>
      <c r="J163" s="4"/>
      <c r="K163" s="168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95</v>
      </c>
      <c r="B164" s="170">
        <f>'Données projet'!D157</f>
        <v>23</v>
      </c>
      <c r="C164" s="186"/>
      <c r="D164" s="177">
        <f t="shared" si="10"/>
        <v>0</v>
      </c>
      <c r="E164" s="188"/>
      <c r="F164" s="228"/>
      <c r="G164" s="198"/>
      <c r="H164" s="185"/>
      <c r="I164" s="186"/>
      <c r="J164" s="4"/>
      <c r="K164" s="168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100</v>
      </c>
      <c r="B165" s="170">
        <f>'Données projet'!D158</f>
        <v>22</v>
      </c>
      <c r="C165" s="186"/>
      <c r="D165" s="177">
        <f t="shared" si="10"/>
        <v>0</v>
      </c>
      <c r="E165" s="188"/>
      <c r="F165" s="228"/>
      <c r="G165" s="198"/>
      <c r="H165" s="185"/>
      <c r="I165" s="186"/>
      <c r="J165" s="4"/>
      <c r="K165" s="168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105</v>
      </c>
      <c r="B166" s="170">
        <f>'Données projet'!D159</f>
        <v>21</v>
      </c>
      <c r="C166" s="186"/>
      <c r="D166" s="177">
        <f t="shared" si="10"/>
        <v>0</v>
      </c>
      <c r="E166" s="188"/>
      <c r="F166" s="228"/>
      <c r="G166" s="198"/>
      <c r="H166" s="185"/>
      <c r="I166" s="186"/>
      <c r="J166" s="4"/>
      <c r="K166" s="168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5"/>
      <c r="G167" s="198"/>
      <c r="H167" s="185"/>
      <c r="I167" s="186"/>
      <c r="J167" s="4"/>
      <c r="K167" s="168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5"/>
      <c r="G168" s="198"/>
      <c r="H168" s="185"/>
      <c r="I168" s="186"/>
      <c r="J168" s="4"/>
      <c r="K168" s="168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69" t="str">
        <f>IF('Données projet'!B14="","",'Données projet'!B14)</f>
        <v>Aulne glutineux</v>
      </c>
      <c r="C169" s="4"/>
      <c r="D169" s="4"/>
      <c r="E169" s="4"/>
      <c r="F169" s="225"/>
      <c r="G169" s="198"/>
      <c r="H169" s="185"/>
      <c r="I169" s="186"/>
      <c r="J169" s="4"/>
      <c r="K169" s="168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5"/>
      <c r="G170" s="198"/>
      <c r="H170" s="185"/>
      <c r="I170" s="186"/>
      <c r="J170" s="4"/>
      <c r="K170" s="168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6"/>
      <c r="G171" s="198"/>
      <c r="H171" s="185"/>
      <c r="I171" s="186"/>
      <c r="J171" s="4"/>
      <c r="K171" s="168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4" t="s">
        <v>132</v>
      </c>
      <c r="C172" s="193" t="s">
        <v>132</v>
      </c>
      <c r="D172" s="192" t="s">
        <v>132</v>
      </c>
      <c r="E172" s="261">
        <v>1671.57</v>
      </c>
      <c r="F172" s="226"/>
      <c r="G172" s="198"/>
      <c r="H172" s="185"/>
      <c r="I172" s="186"/>
      <c r="J172" s="4"/>
      <c r="K172" s="168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4" t="s">
        <v>132</v>
      </c>
      <c r="C173" s="193" t="s">
        <v>132</v>
      </c>
      <c r="D173" s="192" t="s">
        <v>132</v>
      </c>
      <c r="E173" s="188"/>
      <c r="F173" s="226"/>
      <c r="G173" s="23"/>
      <c r="H173" s="185"/>
      <c r="I173" s="186"/>
      <c r="J173" s="4"/>
      <c r="K173" s="168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4" t="s">
        <v>132</v>
      </c>
      <c r="C174" s="193" t="s">
        <v>132</v>
      </c>
      <c r="D174" s="192" t="s">
        <v>132</v>
      </c>
      <c r="E174" s="188"/>
      <c r="F174" s="226"/>
      <c r="G174" s="23"/>
      <c r="H174" s="185"/>
      <c r="I174" s="186"/>
      <c r="J174" s="4"/>
      <c r="K174" s="168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4" t="s">
        <v>132</v>
      </c>
      <c r="C175" s="193" t="s">
        <v>132</v>
      </c>
      <c r="D175" s="192" t="s">
        <v>132</v>
      </c>
      <c r="E175" s="188"/>
      <c r="F175" s="226"/>
      <c r="G175" s="23"/>
      <c r="H175" s="185"/>
      <c r="I175" s="186"/>
      <c r="J175" s="4"/>
      <c r="K175" s="168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4" t="s">
        <v>132</v>
      </c>
      <c r="C176" s="193" t="s">
        <v>132</v>
      </c>
      <c r="D176" s="192" t="s">
        <v>132</v>
      </c>
      <c r="E176" s="188"/>
      <c r="F176" s="226"/>
      <c r="G176" s="23"/>
      <c r="H176" s="185"/>
      <c r="I176" s="186"/>
      <c r="J176" s="4"/>
      <c r="K176" s="168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4" t="s">
        <v>132</v>
      </c>
      <c r="C177" s="193" t="s">
        <v>132</v>
      </c>
      <c r="D177" s="192" t="s">
        <v>132</v>
      </c>
      <c r="E177" s="188"/>
      <c r="F177" s="226"/>
      <c r="G177" s="200"/>
      <c r="H177" s="185"/>
      <c r="I177" s="186"/>
      <c r="J177" s="4"/>
      <c r="K177" s="168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5">
        <f>'Données projet'!A166</f>
        <v>10</v>
      </c>
      <c r="B178" s="176">
        <f>'Données projet'!D166</f>
        <v>0</v>
      </c>
      <c r="C178" s="188"/>
      <c r="D178" s="174">
        <f>B178*C178</f>
        <v>0</v>
      </c>
      <c r="E178" s="188"/>
      <c r="F178" s="227"/>
      <c r="G178" s="200"/>
      <c r="H178" s="185"/>
      <c r="I178" s="186"/>
      <c r="J178" s="4"/>
      <c r="K178" s="168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5">
        <f>'Données projet'!A167</f>
        <v>15</v>
      </c>
      <c r="B179" s="176">
        <f>'Données projet'!D167</f>
        <v>32</v>
      </c>
      <c r="C179" s="188">
        <v>13</v>
      </c>
      <c r="D179" s="174">
        <f t="shared" ref="D179:D197" si="11">B179*C179</f>
        <v>416</v>
      </c>
      <c r="E179" s="188"/>
      <c r="F179" s="227"/>
      <c r="G179" s="200"/>
      <c r="H179" s="185"/>
      <c r="I179" s="186"/>
      <c r="J179" s="4"/>
      <c r="K179" s="168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5">
        <f>'Données projet'!A168</f>
        <v>20</v>
      </c>
      <c r="B180" s="176">
        <f>'Données projet'!D168</f>
        <v>35</v>
      </c>
      <c r="C180" s="188">
        <v>13</v>
      </c>
      <c r="D180" s="174">
        <f t="shared" si="11"/>
        <v>455</v>
      </c>
      <c r="E180" s="188"/>
      <c r="F180" s="227"/>
      <c r="G180" s="200"/>
      <c r="H180" s="185"/>
      <c r="I180" s="186"/>
      <c r="J180" s="4"/>
      <c r="K180" s="168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5">
        <f>'Données projet'!A169</f>
        <v>25</v>
      </c>
      <c r="B181" s="176">
        <f>'Données projet'!D169</f>
        <v>35</v>
      </c>
      <c r="C181" s="188">
        <v>13</v>
      </c>
      <c r="D181" s="174">
        <f t="shared" si="11"/>
        <v>455</v>
      </c>
      <c r="E181" s="188"/>
      <c r="F181" s="227"/>
      <c r="G181" s="200"/>
      <c r="H181" s="185"/>
      <c r="I181" s="186"/>
      <c r="J181" s="4"/>
      <c r="K181" s="168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5">
        <f>'Données projet'!A170</f>
        <v>30</v>
      </c>
      <c r="B182" s="176">
        <f>'Données projet'!D170</f>
        <v>35</v>
      </c>
      <c r="C182" s="188">
        <v>13</v>
      </c>
      <c r="D182" s="174">
        <f t="shared" si="11"/>
        <v>455</v>
      </c>
      <c r="E182" s="188"/>
      <c r="F182" s="227"/>
      <c r="G182" s="200"/>
      <c r="H182" s="185"/>
      <c r="I182" s="186"/>
      <c r="J182" s="4"/>
      <c r="K182" s="168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5">
        <f>'Données projet'!A171</f>
        <v>35</v>
      </c>
      <c r="B183" s="176">
        <f>'Données projet'!D171</f>
        <v>35</v>
      </c>
      <c r="C183" s="188"/>
      <c r="D183" s="174">
        <f t="shared" si="11"/>
        <v>0</v>
      </c>
      <c r="E183" s="188"/>
      <c r="F183" s="227"/>
      <c r="G183" s="200"/>
      <c r="H183" s="185"/>
      <c r="I183" s="186"/>
      <c r="J183" s="4"/>
      <c r="K183" s="168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5">
        <f>'Données projet'!A172</f>
        <v>40</v>
      </c>
      <c r="B184" s="176">
        <f>'Données projet'!D172</f>
        <v>35</v>
      </c>
      <c r="C184" s="188"/>
      <c r="D184" s="174">
        <f t="shared" si="11"/>
        <v>0</v>
      </c>
      <c r="E184" s="188"/>
      <c r="F184" s="227"/>
      <c r="G184" s="201"/>
      <c r="H184" s="185"/>
      <c r="I184" s="186"/>
      <c r="J184" s="4"/>
      <c r="K184" s="168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5">
        <f>'Données projet'!A173</f>
        <v>45</v>
      </c>
      <c r="B185" s="176">
        <f>'Données projet'!D173</f>
        <v>24</v>
      </c>
      <c r="C185" s="188"/>
      <c r="D185" s="174">
        <f t="shared" si="11"/>
        <v>0</v>
      </c>
      <c r="E185" s="188"/>
      <c r="F185" s="227"/>
      <c r="G185" s="201"/>
      <c r="H185" s="185"/>
      <c r="I185" s="186"/>
      <c r="J185" s="4"/>
      <c r="K185" s="168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5">
        <f>'Données projet'!A174</f>
        <v>50</v>
      </c>
      <c r="B186" s="176">
        <f>'Données projet'!D174</f>
        <v>19</v>
      </c>
      <c r="C186" s="188"/>
      <c r="D186" s="174">
        <f t="shared" si="11"/>
        <v>0</v>
      </c>
      <c r="E186" s="188"/>
      <c r="F186" s="227"/>
      <c r="G186" s="201"/>
      <c r="H186" s="185"/>
      <c r="I186" s="186"/>
      <c r="J186" s="4"/>
      <c r="K186" s="168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5">
        <f>'Données projet'!A175</f>
        <v>55</v>
      </c>
      <c r="B187" s="176">
        <f>'Données projet'!D175</f>
        <v>16</v>
      </c>
      <c r="C187" s="188"/>
      <c r="D187" s="174">
        <f t="shared" si="11"/>
        <v>0</v>
      </c>
      <c r="E187" s="188"/>
      <c r="F187" s="227"/>
      <c r="G187" s="201"/>
      <c r="H187" s="185"/>
      <c r="I187" s="186"/>
      <c r="J187" s="4"/>
      <c r="K187" s="168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5">
        <f>'Données projet'!A176</f>
        <v>60</v>
      </c>
      <c r="B188" s="176">
        <f>'Données projet'!D176</f>
        <v>14</v>
      </c>
      <c r="C188" s="188"/>
      <c r="D188" s="174">
        <f t="shared" si="11"/>
        <v>0</v>
      </c>
      <c r="E188" s="188"/>
      <c r="F188" s="227"/>
      <c r="G188" s="201"/>
      <c r="H188" s="185"/>
      <c r="I188" s="186"/>
      <c r="J188" s="4"/>
      <c r="K188" s="168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5">
        <f>'Données projet'!A177</f>
        <v>65</v>
      </c>
      <c r="B189" s="176">
        <f>'Données projet'!D177</f>
        <v>13</v>
      </c>
      <c r="C189" s="188"/>
      <c r="D189" s="174">
        <f t="shared" si="11"/>
        <v>0</v>
      </c>
      <c r="E189" s="188"/>
      <c r="F189" s="227"/>
      <c r="G189" s="201"/>
      <c r="H189" s="185"/>
      <c r="I189" s="186"/>
      <c r="J189" s="4"/>
      <c r="K189" s="168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5">
        <f>'Données projet'!A178</f>
        <v>70</v>
      </c>
      <c r="B190" s="176">
        <f>'Données projet'!D178</f>
        <v>13</v>
      </c>
      <c r="C190" s="188"/>
      <c r="D190" s="174">
        <f t="shared" si="11"/>
        <v>0</v>
      </c>
      <c r="E190" s="188"/>
      <c r="F190" s="227"/>
      <c r="G190" s="201"/>
      <c r="H190" s="185"/>
      <c r="I190" s="186"/>
      <c r="J190" s="4"/>
      <c r="K190" s="168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5">
        <f>'Données projet'!A179</f>
        <v>75</v>
      </c>
      <c r="B191" s="176">
        <f>'Données projet'!D179</f>
        <v>12</v>
      </c>
      <c r="C191" s="188"/>
      <c r="D191" s="174">
        <f t="shared" si="11"/>
        <v>0</v>
      </c>
      <c r="E191" s="188"/>
      <c r="F191" s="227"/>
      <c r="G191" s="201"/>
      <c r="H191" s="185"/>
      <c r="I191" s="186"/>
      <c r="J191" s="4"/>
      <c r="K191" s="168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5">
        <f>'Données projet'!A180</f>
        <v>80</v>
      </c>
      <c r="B192" s="176">
        <f>'Données projet'!D180</f>
        <v>11</v>
      </c>
      <c r="C192" s="188"/>
      <c r="D192" s="174">
        <f t="shared" si="11"/>
        <v>0</v>
      </c>
      <c r="E192" s="188"/>
      <c r="F192" s="227"/>
      <c r="G192" s="201"/>
      <c r="H192" s="185"/>
      <c r="I192" s="186"/>
      <c r="J192" s="4"/>
      <c r="K192" s="168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5">
        <f>'Données projet'!A181</f>
        <v>0</v>
      </c>
      <c r="B193" s="176">
        <f>'Données projet'!D181</f>
        <v>0</v>
      </c>
      <c r="C193" s="188"/>
      <c r="D193" s="174">
        <f t="shared" si="11"/>
        <v>0</v>
      </c>
      <c r="E193" s="188"/>
      <c r="F193" s="227"/>
      <c r="G193" s="201"/>
      <c r="H193" s="185"/>
      <c r="I193" s="186"/>
      <c r="J193" s="4"/>
      <c r="K193" s="168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5">
        <f>'Données projet'!A182</f>
        <v>0</v>
      </c>
      <c r="B194" s="176">
        <f>'Données projet'!D182</f>
        <v>0</v>
      </c>
      <c r="C194" s="188"/>
      <c r="D194" s="174">
        <f t="shared" si="11"/>
        <v>0</v>
      </c>
      <c r="E194" s="188"/>
      <c r="F194" s="227"/>
      <c r="G194" s="201"/>
      <c r="H194" s="185"/>
      <c r="I194" s="186"/>
      <c r="J194" s="4"/>
      <c r="K194" s="168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5">
        <f>'Données projet'!A183</f>
        <v>0</v>
      </c>
      <c r="B195" s="176">
        <f>'Données projet'!D183</f>
        <v>0</v>
      </c>
      <c r="C195" s="188"/>
      <c r="D195" s="174">
        <f t="shared" si="11"/>
        <v>0</v>
      </c>
      <c r="E195" s="188"/>
      <c r="F195" s="227"/>
      <c r="G195" s="201"/>
      <c r="H195" s="185"/>
      <c r="I195" s="186"/>
      <c r="J195" s="4"/>
      <c r="K195" s="168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5">
        <f>'Données projet'!A184</f>
        <v>0</v>
      </c>
      <c r="B196" s="176">
        <f>'Données projet'!D184</f>
        <v>0</v>
      </c>
      <c r="C196" s="188"/>
      <c r="D196" s="174">
        <f t="shared" si="11"/>
        <v>0</v>
      </c>
      <c r="E196" s="188"/>
      <c r="F196" s="227"/>
      <c r="G196" s="201"/>
      <c r="H196" s="185"/>
      <c r="I196" s="186"/>
      <c r="J196" s="4"/>
      <c r="K196" s="168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5">
        <f>'Données projet'!A185</f>
        <v>0</v>
      </c>
      <c r="B197" s="176">
        <f>'Données projet'!D185</f>
        <v>0</v>
      </c>
      <c r="C197" s="188"/>
      <c r="D197" s="174">
        <f t="shared" si="11"/>
        <v>0</v>
      </c>
      <c r="E197" s="188"/>
      <c r="F197" s="227"/>
      <c r="G197" s="201"/>
      <c r="H197" s="185"/>
      <c r="I197" s="186"/>
      <c r="J197" s="4"/>
      <c r="K197" s="168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5"/>
      <c r="G198" s="201"/>
      <c r="H198" s="185"/>
      <c r="I198" s="186"/>
      <c r="J198" s="4"/>
      <c r="K198" s="168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5"/>
      <c r="G199" s="201"/>
      <c r="H199" s="185"/>
      <c r="I199" s="186"/>
      <c r="J199" s="4"/>
      <c r="K199" s="168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69" t="str">
        <f>IF('Données projet'!$B$15="","",'Données projet'!$B$15)</f>
        <v>Bouleau verruqueux</v>
      </c>
      <c r="C200" s="4"/>
      <c r="D200" s="4"/>
      <c r="E200" s="4"/>
      <c r="F200" s="225"/>
      <c r="G200" s="201"/>
      <c r="H200" s="185"/>
      <c r="I200" s="186"/>
      <c r="J200" s="4"/>
      <c r="K200" s="168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5"/>
      <c r="G201" s="201"/>
      <c r="H201" s="185"/>
      <c r="I201" s="186"/>
      <c r="J201" s="4"/>
      <c r="K201" s="168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6"/>
      <c r="G202" s="201"/>
      <c r="H202" s="185"/>
      <c r="I202" s="186"/>
      <c r="J202" s="4"/>
      <c r="K202" s="168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4" t="s">
        <v>132</v>
      </c>
      <c r="C203" s="193" t="s">
        <v>132</v>
      </c>
      <c r="D203" s="192" t="s">
        <v>132</v>
      </c>
      <c r="E203" s="261">
        <v>1680.27</v>
      </c>
      <c r="F203" s="226"/>
      <c r="G203" s="201"/>
      <c r="H203" s="185"/>
      <c r="I203" s="186"/>
      <c r="J203" s="4"/>
      <c r="K203" s="168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4" t="s">
        <v>132</v>
      </c>
      <c r="C204" s="193" t="s">
        <v>132</v>
      </c>
      <c r="D204" s="192" t="s">
        <v>132</v>
      </c>
      <c r="E204" s="188"/>
      <c r="F204" s="226"/>
      <c r="G204" s="23"/>
      <c r="H204" s="185"/>
      <c r="I204" s="186"/>
      <c r="J204" s="4"/>
      <c r="K204" s="168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4" t="s">
        <v>132</v>
      </c>
      <c r="C205" s="193" t="s">
        <v>132</v>
      </c>
      <c r="D205" s="192" t="s">
        <v>132</v>
      </c>
      <c r="E205" s="188"/>
      <c r="F205" s="226"/>
      <c r="G205" s="23"/>
      <c r="H205" s="185"/>
      <c r="I205" s="186"/>
      <c r="J205" s="4"/>
      <c r="K205" s="168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4" t="s">
        <v>132</v>
      </c>
      <c r="C206" s="193" t="s">
        <v>132</v>
      </c>
      <c r="D206" s="192" t="s">
        <v>132</v>
      </c>
      <c r="E206" s="188"/>
      <c r="F206" s="226"/>
      <c r="G206" s="23"/>
      <c r="H206" s="185"/>
      <c r="I206" s="186"/>
      <c r="J206" s="4"/>
      <c r="K206" s="168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4" t="s">
        <v>132</v>
      </c>
      <c r="C207" s="193" t="s">
        <v>132</v>
      </c>
      <c r="D207" s="192" t="s">
        <v>132</v>
      </c>
      <c r="E207" s="188"/>
      <c r="F207" s="226"/>
      <c r="G207" s="23"/>
      <c r="H207" s="185"/>
      <c r="I207" s="186"/>
      <c r="J207" s="4"/>
      <c r="K207" s="168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4" t="s">
        <v>132</v>
      </c>
      <c r="C208" s="193" t="s">
        <v>132</v>
      </c>
      <c r="D208" s="192" t="s">
        <v>132</v>
      </c>
      <c r="E208" s="188"/>
      <c r="F208" s="226"/>
      <c r="G208" s="200"/>
      <c r="H208" s="185"/>
      <c r="I208" s="186"/>
      <c r="J208" s="4"/>
      <c r="K208" s="168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5">
        <f>'Données projet'!A192</f>
        <v>10</v>
      </c>
      <c r="B209" s="176">
        <f>'Données projet'!D192</f>
        <v>0</v>
      </c>
      <c r="C209" s="188"/>
      <c r="D209" s="174">
        <f>B209*C209</f>
        <v>0</v>
      </c>
      <c r="E209" s="188"/>
      <c r="F209" s="227"/>
      <c r="G209" s="200"/>
      <c r="H209" s="185"/>
      <c r="I209" s="186"/>
      <c r="J209" s="4"/>
      <c r="K209" s="168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5">
        <f>'Données projet'!A193</f>
        <v>15</v>
      </c>
      <c r="B210" s="176">
        <f>'Données projet'!D193</f>
        <v>32</v>
      </c>
      <c r="C210" s="188">
        <v>13</v>
      </c>
      <c r="D210" s="174">
        <f t="shared" ref="D210:D228" si="12">B210*C210</f>
        <v>416</v>
      </c>
      <c r="E210" s="188"/>
      <c r="F210" s="227"/>
      <c r="G210" s="200"/>
      <c r="H210" s="185"/>
      <c r="I210" s="186"/>
      <c r="J210" s="4"/>
      <c r="K210" s="168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5">
        <f>'Données projet'!A194</f>
        <v>20</v>
      </c>
      <c r="B211" s="176">
        <f>'Données projet'!D194</f>
        <v>35</v>
      </c>
      <c r="C211" s="188">
        <v>13</v>
      </c>
      <c r="D211" s="174">
        <f t="shared" si="12"/>
        <v>455</v>
      </c>
      <c r="E211" s="188"/>
      <c r="F211" s="227"/>
      <c r="G211" s="200"/>
      <c r="H211" s="185"/>
      <c r="I211" s="186"/>
      <c r="J211" s="4"/>
      <c r="K211" s="168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5">
        <f>'Données projet'!A195</f>
        <v>25</v>
      </c>
      <c r="B212" s="176">
        <f>'Données projet'!D195</f>
        <v>35</v>
      </c>
      <c r="C212" s="188">
        <v>13</v>
      </c>
      <c r="D212" s="174">
        <f t="shared" si="12"/>
        <v>455</v>
      </c>
      <c r="E212" s="188"/>
      <c r="F212" s="227"/>
      <c r="G212" s="200"/>
      <c r="H212" s="185"/>
      <c r="I212" s="186"/>
      <c r="J212" s="4"/>
      <c r="K212" s="168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5">
        <f>'Données projet'!A196</f>
        <v>30</v>
      </c>
      <c r="B213" s="176">
        <f>'Données projet'!D196</f>
        <v>35</v>
      </c>
      <c r="C213" s="188">
        <v>13</v>
      </c>
      <c r="D213" s="174">
        <f t="shared" si="12"/>
        <v>455</v>
      </c>
      <c r="E213" s="188"/>
      <c r="F213" s="227"/>
      <c r="G213" s="200"/>
      <c r="H213" s="185"/>
      <c r="I213" s="186"/>
      <c r="J213" s="4"/>
      <c r="K213" s="168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5">
        <f>'Données projet'!A197</f>
        <v>35</v>
      </c>
      <c r="B214" s="176">
        <f>'Données projet'!D197</f>
        <v>35</v>
      </c>
      <c r="C214" s="188"/>
      <c r="D214" s="174">
        <f t="shared" si="12"/>
        <v>0</v>
      </c>
      <c r="E214" s="188"/>
      <c r="F214" s="227"/>
      <c r="G214" s="200"/>
      <c r="H214" s="185"/>
      <c r="I214" s="186"/>
      <c r="J214" s="4"/>
      <c r="K214" s="168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5">
        <f>'Données projet'!A198</f>
        <v>40</v>
      </c>
      <c r="B215" s="176">
        <f>'Données projet'!D198</f>
        <v>35</v>
      </c>
      <c r="C215" s="188"/>
      <c r="D215" s="174">
        <f t="shared" si="12"/>
        <v>0</v>
      </c>
      <c r="E215" s="188"/>
      <c r="F215" s="227"/>
      <c r="G215" s="201"/>
      <c r="H215" s="185"/>
      <c r="I215" s="186"/>
      <c r="J215" s="4"/>
      <c r="K215" s="168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5">
        <f>'Données projet'!A199</f>
        <v>45</v>
      </c>
      <c r="B216" s="176">
        <f>'Données projet'!D199</f>
        <v>24</v>
      </c>
      <c r="C216" s="188"/>
      <c r="D216" s="174">
        <f t="shared" si="12"/>
        <v>0</v>
      </c>
      <c r="E216" s="188"/>
      <c r="F216" s="227"/>
      <c r="G216" s="201"/>
      <c r="H216" s="185"/>
      <c r="I216" s="186"/>
      <c r="J216" s="4"/>
      <c r="K216" s="168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5">
        <f>'Données projet'!A200</f>
        <v>50</v>
      </c>
      <c r="B217" s="176">
        <f>'Données projet'!D200</f>
        <v>19</v>
      </c>
      <c r="C217" s="188"/>
      <c r="D217" s="174">
        <f t="shared" si="12"/>
        <v>0</v>
      </c>
      <c r="E217" s="188"/>
      <c r="F217" s="227"/>
      <c r="G217" s="201"/>
      <c r="H217" s="185"/>
      <c r="I217" s="186"/>
      <c r="J217" s="4"/>
      <c r="K217" s="168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5">
        <f>'Données projet'!A201</f>
        <v>55</v>
      </c>
      <c r="B218" s="176">
        <f>'Données projet'!D201</f>
        <v>16</v>
      </c>
      <c r="C218" s="188"/>
      <c r="D218" s="174">
        <f t="shared" si="12"/>
        <v>0</v>
      </c>
      <c r="E218" s="188"/>
      <c r="F218" s="227"/>
      <c r="G218" s="201"/>
      <c r="H218" s="185"/>
      <c r="I218" s="186"/>
      <c r="J218" s="4"/>
      <c r="K218" s="168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5">
        <f>'Données projet'!A202</f>
        <v>60</v>
      </c>
      <c r="B219" s="176">
        <f>'Données projet'!D202</f>
        <v>14</v>
      </c>
      <c r="C219" s="188"/>
      <c r="D219" s="174">
        <f t="shared" si="12"/>
        <v>0</v>
      </c>
      <c r="E219" s="188"/>
      <c r="F219" s="227"/>
      <c r="G219" s="201"/>
      <c r="H219" s="185"/>
      <c r="I219" s="186"/>
      <c r="J219" s="4"/>
      <c r="K219" s="168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5">
        <f>'Données projet'!A203</f>
        <v>65</v>
      </c>
      <c r="B220" s="176">
        <f>'Données projet'!D203</f>
        <v>13</v>
      </c>
      <c r="C220" s="188"/>
      <c r="D220" s="174">
        <f t="shared" si="12"/>
        <v>0</v>
      </c>
      <c r="E220" s="188"/>
      <c r="F220" s="227"/>
      <c r="G220" s="201"/>
      <c r="H220" s="4"/>
      <c r="I220" s="4"/>
      <c r="J220" s="4"/>
      <c r="K220" s="168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5">
        <f>'Données projet'!A204</f>
        <v>70</v>
      </c>
      <c r="B221" s="176">
        <f>'Données projet'!D204</f>
        <v>13</v>
      </c>
      <c r="C221" s="188"/>
      <c r="D221" s="174">
        <f t="shared" si="12"/>
        <v>0</v>
      </c>
      <c r="E221" s="188"/>
      <c r="F221" s="227"/>
      <c r="G221" s="201"/>
      <c r="H221" s="4"/>
      <c r="I221" s="4"/>
      <c r="J221" s="4"/>
      <c r="K221" s="168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5">
        <f>'Données projet'!A205</f>
        <v>75</v>
      </c>
      <c r="B222" s="176">
        <f>'Données projet'!D205</f>
        <v>12</v>
      </c>
      <c r="C222" s="188"/>
      <c r="D222" s="174">
        <f t="shared" si="12"/>
        <v>0</v>
      </c>
      <c r="E222" s="188"/>
      <c r="F222" s="227"/>
      <c r="G222" s="201"/>
      <c r="H222" s="4"/>
      <c r="I222" s="4"/>
      <c r="J222" s="4"/>
      <c r="K222" s="168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5">
        <f>'Données projet'!A206</f>
        <v>80</v>
      </c>
      <c r="B223" s="176">
        <f>'Données projet'!D206</f>
        <v>11</v>
      </c>
      <c r="C223" s="188"/>
      <c r="D223" s="174">
        <f t="shared" si="12"/>
        <v>0</v>
      </c>
      <c r="E223" s="188"/>
      <c r="F223" s="227"/>
      <c r="G223" s="201"/>
      <c r="H223" s="4"/>
      <c r="I223" s="4"/>
      <c r="J223" s="4"/>
      <c r="K223" s="168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5">
        <f>'Données projet'!A207</f>
        <v>0</v>
      </c>
      <c r="B224" s="176">
        <f>'Données projet'!D207</f>
        <v>0</v>
      </c>
      <c r="C224" s="188"/>
      <c r="D224" s="174">
        <f t="shared" si="12"/>
        <v>0</v>
      </c>
      <c r="E224" s="188"/>
      <c r="F224" s="227"/>
      <c r="G224" s="201"/>
      <c r="H224" s="4"/>
      <c r="I224" s="4"/>
      <c r="J224" s="4"/>
      <c r="K224" s="168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5">
        <f>'Données projet'!A208</f>
        <v>0</v>
      </c>
      <c r="B225" s="176">
        <f>'Données projet'!D208</f>
        <v>0</v>
      </c>
      <c r="C225" s="188"/>
      <c r="D225" s="174">
        <f t="shared" si="12"/>
        <v>0</v>
      </c>
      <c r="E225" s="188"/>
      <c r="F225" s="227"/>
      <c r="G225" s="201"/>
      <c r="H225" s="4"/>
      <c r="I225" s="4"/>
      <c r="J225" s="4"/>
      <c r="K225" s="168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5">
        <f>'Données projet'!A209</f>
        <v>0</v>
      </c>
      <c r="B226" s="176">
        <f>'Données projet'!D209</f>
        <v>0</v>
      </c>
      <c r="C226" s="188"/>
      <c r="D226" s="174">
        <f t="shared" si="12"/>
        <v>0</v>
      </c>
      <c r="E226" s="188"/>
      <c r="F226" s="227"/>
      <c r="G226" s="201"/>
      <c r="H226" s="4"/>
      <c r="I226" s="4"/>
      <c r="J226" s="4"/>
      <c r="K226" s="168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5">
        <f>'Données projet'!A210</f>
        <v>0</v>
      </c>
      <c r="B227" s="176">
        <f>'Données projet'!D210</f>
        <v>0</v>
      </c>
      <c r="C227" s="188"/>
      <c r="D227" s="174">
        <f t="shared" si="12"/>
        <v>0</v>
      </c>
      <c r="E227" s="188"/>
      <c r="F227" s="227"/>
      <c r="G227" s="201"/>
      <c r="H227" s="4"/>
      <c r="I227" s="4"/>
      <c r="J227" s="4"/>
      <c r="K227" s="168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5">
        <f>'Données projet'!A211</f>
        <v>0</v>
      </c>
      <c r="B228" s="176">
        <f>'Données projet'!D211</f>
        <v>0</v>
      </c>
      <c r="C228" s="188"/>
      <c r="D228" s="174">
        <f t="shared" si="12"/>
        <v>0</v>
      </c>
      <c r="E228" s="188"/>
      <c r="F228" s="227"/>
      <c r="G228" s="201"/>
      <c r="H228" s="4"/>
      <c r="I228" s="4"/>
      <c r="J228" s="4"/>
      <c r="K228" s="168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5"/>
      <c r="G229" s="201"/>
      <c r="H229" s="4"/>
      <c r="I229" s="4"/>
      <c r="J229" s="4"/>
      <c r="K229" s="168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5"/>
      <c r="G230" s="201"/>
      <c r="H230" s="4"/>
      <c r="I230" s="4"/>
      <c r="J230" s="4"/>
      <c r="K230" s="168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69" t="str">
        <f>IF('Données projet'!$B$16="","",'Données projet'!$B$16)</f>
        <v/>
      </c>
      <c r="C231" s="4"/>
      <c r="D231" s="4"/>
      <c r="E231" s="4"/>
      <c r="F231" s="225"/>
      <c r="G231" s="201"/>
      <c r="H231" s="4"/>
      <c r="I231" s="4"/>
      <c r="J231" s="4"/>
      <c r="K231" s="168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5"/>
      <c r="G232" s="201"/>
      <c r="H232" s="4"/>
      <c r="I232" s="4"/>
      <c r="J232" s="4"/>
      <c r="K232" s="168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6"/>
      <c r="G233" s="201"/>
      <c r="H233" s="4"/>
      <c r="I233" s="4"/>
      <c r="J233" s="4"/>
      <c r="K233" s="168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4" t="s">
        <v>132</v>
      </c>
      <c r="C234" s="193" t="s">
        <v>132</v>
      </c>
      <c r="D234" s="192" t="s">
        <v>132</v>
      </c>
      <c r="E234" s="188"/>
      <c r="F234" s="226"/>
      <c r="G234" s="201"/>
      <c r="H234" s="4"/>
      <c r="I234" s="4"/>
      <c r="J234" s="4"/>
      <c r="K234" s="168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4" t="s">
        <v>132</v>
      </c>
      <c r="C235" s="193" t="s">
        <v>132</v>
      </c>
      <c r="D235" s="192" t="s">
        <v>132</v>
      </c>
      <c r="E235" s="188"/>
      <c r="F235" s="226"/>
      <c r="G235" s="23"/>
      <c r="H235" s="4"/>
      <c r="I235" s="4"/>
      <c r="J235" s="4"/>
      <c r="K235" s="168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4" t="s">
        <v>132</v>
      </c>
      <c r="C236" s="193" t="s">
        <v>132</v>
      </c>
      <c r="D236" s="192" t="s">
        <v>132</v>
      </c>
      <c r="E236" s="188"/>
      <c r="F236" s="226"/>
      <c r="G236" s="23"/>
      <c r="H236" s="4"/>
      <c r="I236" s="4"/>
      <c r="J236" s="4"/>
      <c r="K236" s="168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4" t="s">
        <v>132</v>
      </c>
      <c r="C237" s="193" t="s">
        <v>132</v>
      </c>
      <c r="D237" s="192" t="s">
        <v>132</v>
      </c>
      <c r="E237" s="188"/>
      <c r="F237" s="226"/>
      <c r="G237" s="23"/>
      <c r="H237" s="4"/>
      <c r="I237" s="4"/>
      <c r="J237" s="4"/>
      <c r="K237" s="168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4" t="s">
        <v>132</v>
      </c>
      <c r="C238" s="193" t="s">
        <v>132</v>
      </c>
      <c r="D238" s="192" t="s">
        <v>132</v>
      </c>
      <c r="E238" s="188"/>
      <c r="F238" s="226"/>
      <c r="G238" s="23"/>
      <c r="H238" s="4"/>
      <c r="I238" s="4"/>
      <c r="J238" s="4"/>
      <c r="K238" s="168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4" t="s">
        <v>132</v>
      </c>
      <c r="C239" s="193" t="s">
        <v>132</v>
      </c>
      <c r="D239" s="192" t="s">
        <v>132</v>
      </c>
      <c r="E239" s="188"/>
      <c r="F239" s="226"/>
      <c r="G239" s="200"/>
      <c r="H239" s="4"/>
      <c r="I239" s="4"/>
      <c r="J239" s="4"/>
      <c r="K239" s="168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5">
        <f>'Données projet'!A218</f>
        <v>0</v>
      </c>
      <c r="B240" s="176">
        <f>'Données projet'!D218</f>
        <v>0</v>
      </c>
      <c r="C240" s="188"/>
      <c r="D240" s="174">
        <f>B240*C240</f>
        <v>0</v>
      </c>
      <c r="E240" s="188"/>
      <c r="F240" s="227"/>
      <c r="G240" s="200"/>
      <c r="H240" s="4"/>
      <c r="I240" s="4"/>
      <c r="J240" s="4"/>
      <c r="K240" s="168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5">
        <f>'Données projet'!A219</f>
        <v>0</v>
      </c>
      <c r="B241" s="176">
        <f>'Données projet'!D219</f>
        <v>0</v>
      </c>
      <c r="C241" s="188"/>
      <c r="D241" s="174">
        <f t="shared" ref="D241:D259" si="13">B241*C241</f>
        <v>0</v>
      </c>
      <c r="E241" s="188"/>
      <c r="F241" s="227"/>
      <c r="G241" s="200"/>
      <c r="H241" s="4"/>
      <c r="I241" s="4"/>
      <c r="J241" s="4"/>
      <c r="K241" s="168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5">
        <f>'Données projet'!A220</f>
        <v>0</v>
      </c>
      <c r="B242" s="176">
        <f>'Données projet'!D220</f>
        <v>0</v>
      </c>
      <c r="C242" s="188"/>
      <c r="D242" s="174">
        <f t="shared" si="13"/>
        <v>0</v>
      </c>
      <c r="E242" s="188"/>
      <c r="F242" s="227"/>
      <c r="G242" s="200"/>
      <c r="H242" s="4"/>
      <c r="I242" s="4"/>
      <c r="J242" s="4"/>
      <c r="K242" s="168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5">
        <f>'Données projet'!A221</f>
        <v>0</v>
      </c>
      <c r="B243" s="176">
        <f>'Données projet'!D221</f>
        <v>0</v>
      </c>
      <c r="C243" s="188"/>
      <c r="D243" s="174">
        <f t="shared" si="13"/>
        <v>0</v>
      </c>
      <c r="E243" s="188"/>
      <c r="F243" s="227"/>
      <c r="G243" s="200"/>
      <c r="H243" s="4"/>
      <c r="I243" s="4"/>
      <c r="J243" s="4"/>
      <c r="K243" s="168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5">
        <f>'Données projet'!A222</f>
        <v>0</v>
      </c>
      <c r="B244" s="176">
        <f>'Données projet'!D222</f>
        <v>0</v>
      </c>
      <c r="C244" s="188"/>
      <c r="D244" s="174">
        <f t="shared" si="13"/>
        <v>0</v>
      </c>
      <c r="E244" s="188"/>
      <c r="F244" s="227"/>
      <c r="G244" s="200"/>
      <c r="H244" s="4"/>
      <c r="I244" s="4"/>
      <c r="J244" s="4"/>
      <c r="K244" s="168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5">
        <f>'Données projet'!A223</f>
        <v>0</v>
      </c>
      <c r="B245" s="176">
        <f>'Données projet'!D223</f>
        <v>0</v>
      </c>
      <c r="C245" s="188"/>
      <c r="D245" s="174">
        <f t="shared" si="13"/>
        <v>0</v>
      </c>
      <c r="E245" s="188"/>
      <c r="F245" s="227"/>
      <c r="G245" s="200"/>
      <c r="H245" s="4"/>
      <c r="I245" s="4"/>
      <c r="J245" s="4"/>
      <c r="K245" s="168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5">
        <f>'Données projet'!A224</f>
        <v>0</v>
      </c>
      <c r="B246" s="176">
        <f>'Données projet'!D224</f>
        <v>0</v>
      </c>
      <c r="C246" s="188"/>
      <c r="D246" s="174">
        <f t="shared" si="13"/>
        <v>0</v>
      </c>
      <c r="E246" s="188"/>
      <c r="F246" s="227"/>
      <c r="G246" s="201"/>
      <c r="H246" s="4"/>
      <c r="I246" s="4"/>
      <c r="J246" s="4"/>
      <c r="K246" s="168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5">
        <f>'Données projet'!A225</f>
        <v>0</v>
      </c>
      <c r="B247" s="176">
        <f>'Données projet'!D225</f>
        <v>0</v>
      </c>
      <c r="C247" s="188"/>
      <c r="D247" s="174">
        <f t="shared" si="13"/>
        <v>0</v>
      </c>
      <c r="E247" s="188"/>
      <c r="F247" s="227"/>
      <c r="G247" s="201"/>
      <c r="H247" s="4"/>
      <c r="I247" s="4"/>
      <c r="J247" s="4"/>
      <c r="K247" s="168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5">
        <f>'Données projet'!A226</f>
        <v>0</v>
      </c>
      <c r="B248" s="176">
        <f>'Données projet'!D226</f>
        <v>0</v>
      </c>
      <c r="C248" s="188"/>
      <c r="D248" s="174">
        <f t="shared" si="13"/>
        <v>0</v>
      </c>
      <c r="E248" s="188"/>
      <c r="F248" s="227"/>
      <c r="G248" s="201"/>
      <c r="H248" s="4"/>
      <c r="I248" s="4"/>
      <c r="J248" s="4"/>
      <c r="K248" s="168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5">
        <f>'Données projet'!A227</f>
        <v>0</v>
      </c>
      <c r="B249" s="176">
        <f>'Données projet'!D227</f>
        <v>0</v>
      </c>
      <c r="C249" s="188"/>
      <c r="D249" s="174">
        <f t="shared" si="13"/>
        <v>0</v>
      </c>
      <c r="E249" s="188"/>
      <c r="F249" s="227"/>
      <c r="G249" s="201"/>
      <c r="H249" s="4"/>
      <c r="I249" s="4"/>
      <c r="J249" s="4"/>
      <c r="K249" s="168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5">
        <f>'Données projet'!A228</f>
        <v>0</v>
      </c>
      <c r="B250" s="176">
        <f>'Données projet'!D228</f>
        <v>0</v>
      </c>
      <c r="C250" s="188"/>
      <c r="D250" s="174">
        <f t="shared" si="13"/>
        <v>0</v>
      </c>
      <c r="E250" s="188"/>
      <c r="F250" s="227"/>
      <c r="G250" s="201"/>
      <c r="H250" s="4"/>
      <c r="I250" s="4"/>
      <c r="J250" s="4"/>
      <c r="K250" s="168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5">
        <f>'Données projet'!A229</f>
        <v>0</v>
      </c>
      <c r="B251" s="176">
        <f>'Données projet'!D229</f>
        <v>0</v>
      </c>
      <c r="C251" s="188"/>
      <c r="D251" s="174">
        <f t="shared" si="13"/>
        <v>0</v>
      </c>
      <c r="E251" s="188"/>
      <c r="F251" s="227"/>
      <c r="G251" s="201"/>
      <c r="H251" s="4"/>
      <c r="I251" s="4"/>
      <c r="J251" s="4"/>
      <c r="K251" s="168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5">
        <f>'Données projet'!A230</f>
        <v>0</v>
      </c>
      <c r="B252" s="176">
        <f>'Données projet'!D230</f>
        <v>0</v>
      </c>
      <c r="C252" s="188"/>
      <c r="D252" s="174">
        <f t="shared" si="13"/>
        <v>0</v>
      </c>
      <c r="E252" s="188"/>
      <c r="F252" s="227"/>
      <c r="G252" s="201"/>
      <c r="H252" s="4"/>
      <c r="I252" s="4"/>
      <c r="J252" s="4"/>
      <c r="K252" s="168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5">
        <f>'Données projet'!A231</f>
        <v>0</v>
      </c>
      <c r="B253" s="176">
        <f>'Données projet'!D231</f>
        <v>0</v>
      </c>
      <c r="C253" s="188"/>
      <c r="D253" s="174">
        <f t="shared" si="13"/>
        <v>0</v>
      </c>
      <c r="E253" s="188"/>
      <c r="F253" s="227"/>
      <c r="G253" s="201"/>
      <c r="H253" s="4"/>
      <c r="I253" s="4"/>
      <c r="J253" s="4"/>
      <c r="K253" s="168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5">
        <f>'Données projet'!A232</f>
        <v>0</v>
      </c>
      <c r="B254" s="176">
        <f>'Données projet'!D232</f>
        <v>0</v>
      </c>
      <c r="C254" s="188"/>
      <c r="D254" s="174">
        <f t="shared" si="13"/>
        <v>0</v>
      </c>
      <c r="E254" s="188"/>
      <c r="F254" s="227"/>
      <c r="G254" s="201"/>
      <c r="H254" s="4"/>
      <c r="I254" s="4"/>
      <c r="J254" s="4"/>
      <c r="K254" s="168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5">
        <f>'Données projet'!A233</f>
        <v>0</v>
      </c>
      <c r="B255" s="176">
        <f>'Données projet'!D233</f>
        <v>0</v>
      </c>
      <c r="C255" s="188"/>
      <c r="D255" s="174">
        <f t="shared" si="13"/>
        <v>0</v>
      </c>
      <c r="E255" s="188"/>
      <c r="F255" s="227"/>
      <c r="G255" s="201"/>
      <c r="H255" s="4"/>
      <c r="I255" s="4"/>
      <c r="J255" s="4"/>
      <c r="K255" s="168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5">
        <f>'Données projet'!A234</f>
        <v>0</v>
      </c>
      <c r="B256" s="176">
        <f>'Données projet'!D234</f>
        <v>0</v>
      </c>
      <c r="C256" s="188"/>
      <c r="D256" s="174">
        <f t="shared" si="13"/>
        <v>0</v>
      </c>
      <c r="E256" s="188"/>
      <c r="F256" s="227"/>
      <c r="G256" s="201"/>
      <c r="H256" s="4"/>
      <c r="I256" s="4"/>
      <c r="J256" s="4"/>
      <c r="K256" s="168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5">
        <f>'Données projet'!A235</f>
        <v>0</v>
      </c>
      <c r="B257" s="176">
        <f>'Données projet'!D235</f>
        <v>0</v>
      </c>
      <c r="C257" s="188"/>
      <c r="D257" s="174">
        <f t="shared" si="13"/>
        <v>0</v>
      </c>
      <c r="E257" s="188"/>
      <c r="F257" s="227"/>
      <c r="G257" s="201"/>
      <c r="H257" s="4"/>
      <c r="I257" s="4"/>
      <c r="J257" s="4"/>
      <c r="K257" s="168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5">
        <f>'Données projet'!A236</f>
        <v>0</v>
      </c>
      <c r="B258" s="176">
        <f>'Données projet'!D236</f>
        <v>0</v>
      </c>
      <c r="C258" s="188"/>
      <c r="D258" s="174">
        <f t="shared" si="13"/>
        <v>0</v>
      </c>
      <c r="E258" s="188"/>
      <c r="F258" s="227"/>
      <c r="G258" s="201"/>
      <c r="H258" s="4"/>
      <c r="I258" s="4"/>
      <c r="J258" s="4"/>
      <c r="K258" s="168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5">
        <f>'Données projet'!A237</f>
        <v>0</v>
      </c>
      <c r="B259" s="176">
        <f>'Données projet'!D237</f>
        <v>0</v>
      </c>
      <c r="C259" s="188"/>
      <c r="D259" s="174">
        <f t="shared" si="13"/>
        <v>0</v>
      </c>
      <c r="E259" s="188"/>
      <c r="F259" s="227"/>
      <c r="G259" s="201"/>
      <c r="H259" s="4"/>
      <c r="I259" s="4"/>
      <c r="J259" s="4"/>
      <c r="K259" s="168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5"/>
      <c r="G260" s="201"/>
      <c r="H260" s="4"/>
      <c r="I260" s="4"/>
      <c r="J260" s="4"/>
      <c r="K260" s="168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5"/>
      <c r="G261" s="201"/>
      <c r="H261" s="4"/>
      <c r="I261" s="4"/>
      <c r="J261" s="4"/>
      <c r="K261" s="168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69" t="str">
        <f>IF('Données projet'!$B$17="","",'Données projet'!$B$17)</f>
        <v/>
      </c>
      <c r="C262" s="4"/>
      <c r="D262" s="4"/>
      <c r="E262" s="4"/>
      <c r="F262" s="225"/>
      <c r="G262" s="201"/>
      <c r="H262" s="4"/>
      <c r="I262" s="4"/>
      <c r="J262" s="4"/>
      <c r="K262" s="168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5"/>
      <c r="G263" s="201"/>
      <c r="H263" s="4"/>
      <c r="I263" s="4"/>
      <c r="J263" s="4"/>
      <c r="K263" s="168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6"/>
      <c r="G264" s="201"/>
      <c r="H264" s="4"/>
      <c r="I264" s="4"/>
      <c r="J264" s="4"/>
      <c r="K264" s="168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4" t="s">
        <v>132</v>
      </c>
      <c r="C265" s="193" t="s">
        <v>132</v>
      </c>
      <c r="D265" s="192" t="s">
        <v>132</v>
      </c>
      <c r="E265" s="188"/>
      <c r="F265" s="226"/>
      <c r="G265" s="201"/>
      <c r="H265" s="4"/>
      <c r="I265" s="4"/>
      <c r="J265" s="4"/>
      <c r="K265" s="168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4" t="s">
        <v>132</v>
      </c>
      <c r="C266" s="193" t="s">
        <v>132</v>
      </c>
      <c r="D266" s="192" t="s">
        <v>132</v>
      </c>
      <c r="E266" s="188"/>
      <c r="F266" s="226"/>
      <c r="G266" s="23"/>
      <c r="H266" s="4"/>
      <c r="I266" s="4"/>
      <c r="J266" s="4"/>
      <c r="K266" s="168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4" t="s">
        <v>132</v>
      </c>
      <c r="C267" s="193" t="s">
        <v>132</v>
      </c>
      <c r="D267" s="192" t="s">
        <v>132</v>
      </c>
      <c r="E267" s="188"/>
      <c r="F267" s="226"/>
      <c r="G267" s="23"/>
      <c r="H267" s="4"/>
      <c r="I267" s="4"/>
      <c r="J267" s="4"/>
      <c r="K267" s="168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4" t="s">
        <v>132</v>
      </c>
      <c r="C268" s="193" t="s">
        <v>132</v>
      </c>
      <c r="D268" s="192" t="s">
        <v>132</v>
      </c>
      <c r="E268" s="188"/>
      <c r="F268" s="226"/>
      <c r="G268" s="23"/>
      <c r="H268" s="4"/>
      <c r="I268" s="4"/>
      <c r="J268" s="4"/>
      <c r="K268" s="168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4" t="s">
        <v>132</v>
      </c>
      <c r="C269" s="193" t="s">
        <v>132</v>
      </c>
      <c r="D269" s="192" t="s">
        <v>132</v>
      </c>
      <c r="E269" s="188"/>
      <c r="F269" s="226"/>
      <c r="G269" s="23"/>
      <c r="H269" s="4"/>
      <c r="I269" s="4"/>
      <c r="J269" s="4"/>
      <c r="K269" s="168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4" t="s">
        <v>132</v>
      </c>
      <c r="C270" s="193" t="s">
        <v>132</v>
      </c>
      <c r="D270" s="192" t="s">
        <v>132</v>
      </c>
      <c r="E270" s="188"/>
      <c r="F270" s="226"/>
      <c r="G270" s="200"/>
      <c r="H270" s="4"/>
      <c r="I270" s="4"/>
      <c r="J270" s="4"/>
      <c r="K270" s="168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5">
        <f>'Données projet'!A244</f>
        <v>0</v>
      </c>
      <c r="B271" s="176">
        <f>'Données projet'!D244</f>
        <v>0</v>
      </c>
      <c r="C271" s="188"/>
      <c r="D271" s="174">
        <f>B271*C271</f>
        <v>0</v>
      </c>
      <c r="E271" s="188"/>
      <c r="F271" s="227"/>
      <c r="G271" s="200"/>
      <c r="H271" s="4"/>
      <c r="I271" s="4"/>
      <c r="J271" s="4"/>
      <c r="K271" s="168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5">
        <f>'Données projet'!A245</f>
        <v>0</v>
      </c>
      <c r="B272" s="176">
        <f>'Données projet'!D245</f>
        <v>0</v>
      </c>
      <c r="C272" s="188"/>
      <c r="D272" s="174">
        <f t="shared" ref="D272:D290" si="14">B272*C272</f>
        <v>0</v>
      </c>
      <c r="E272" s="188"/>
      <c r="F272" s="227"/>
      <c r="G272" s="200"/>
      <c r="H272" s="4"/>
      <c r="I272" s="4"/>
      <c r="J272" s="4"/>
      <c r="K272" s="168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5">
        <f>'Données projet'!A246</f>
        <v>0</v>
      </c>
      <c r="B273" s="176">
        <f>'Données projet'!D246</f>
        <v>0</v>
      </c>
      <c r="C273" s="188"/>
      <c r="D273" s="174">
        <f t="shared" si="14"/>
        <v>0</v>
      </c>
      <c r="E273" s="188"/>
      <c r="F273" s="227"/>
      <c r="G273" s="200"/>
      <c r="H273" s="4"/>
      <c r="I273" s="4"/>
      <c r="J273" s="4"/>
      <c r="K273" s="168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5">
        <f>'Données projet'!A247</f>
        <v>0</v>
      </c>
      <c r="B274" s="176">
        <f>'Données projet'!D247</f>
        <v>0</v>
      </c>
      <c r="C274" s="188"/>
      <c r="D274" s="174">
        <f t="shared" si="14"/>
        <v>0</v>
      </c>
      <c r="E274" s="188"/>
      <c r="F274" s="227"/>
      <c r="G274" s="200"/>
      <c r="H274" s="4"/>
      <c r="I274" s="4"/>
      <c r="J274" s="4"/>
      <c r="K274" s="168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5">
        <f>'Données projet'!A248</f>
        <v>0</v>
      </c>
      <c r="B275" s="176">
        <f>'Données projet'!D248</f>
        <v>0</v>
      </c>
      <c r="C275" s="188"/>
      <c r="D275" s="174">
        <f t="shared" si="14"/>
        <v>0</v>
      </c>
      <c r="E275" s="188"/>
      <c r="F275" s="227"/>
      <c r="G275" s="200"/>
      <c r="H275" s="4"/>
      <c r="I275" s="4"/>
      <c r="J275" s="4"/>
      <c r="K275" s="168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5">
        <f>'Données projet'!A249</f>
        <v>0</v>
      </c>
      <c r="B276" s="176">
        <f>'Données projet'!D249</f>
        <v>0</v>
      </c>
      <c r="C276" s="188"/>
      <c r="D276" s="174">
        <f t="shared" si="14"/>
        <v>0</v>
      </c>
      <c r="E276" s="188"/>
      <c r="F276" s="227"/>
      <c r="G276" s="200"/>
      <c r="H276" s="4"/>
      <c r="I276" s="4"/>
      <c r="J276" s="4"/>
      <c r="K276" s="168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5">
        <f>'Données projet'!A250</f>
        <v>0</v>
      </c>
      <c r="B277" s="176">
        <f>'Données projet'!D250</f>
        <v>0</v>
      </c>
      <c r="C277" s="188"/>
      <c r="D277" s="174">
        <f t="shared" si="14"/>
        <v>0</v>
      </c>
      <c r="E277" s="188"/>
      <c r="F277" s="227"/>
      <c r="G277" s="201"/>
      <c r="H277" s="4"/>
      <c r="I277" s="4"/>
      <c r="J277" s="4"/>
      <c r="K277" s="168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5">
        <f>'Données projet'!A251</f>
        <v>0</v>
      </c>
      <c r="B278" s="176">
        <f>'Données projet'!D251</f>
        <v>0</v>
      </c>
      <c r="C278" s="188"/>
      <c r="D278" s="174">
        <f t="shared" si="14"/>
        <v>0</v>
      </c>
      <c r="E278" s="188"/>
      <c r="F278" s="227"/>
      <c r="G278" s="201"/>
      <c r="H278" s="4"/>
      <c r="I278" s="4"/>
      <c r="J278" s="4"/>
      <c r="K278" s="168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5">
        <f>'Données projet'!A252</f>
        <v>0</v>
      </c>
      <c r="B279" s="176">
        <f>'Données projet'!D252</f>
        <v>0</v>
      </c>
      <c r="C279" s="188"/>
      <c r="D279" s="174">
        <f t="shared" si="14"/>
        <v>0</v>
      </c>
      <c r="E279" s="188"/>
      <c r="F279" s="227"/>
      <c r="G279" s="201"/>
      <c r="H279" s="4"/>
      <c r="I279" s="4"/>
      <c r="J279" s="4"/>
      <c r="K279" s="168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5">
        <f>'Données projet'!A253</f>
        <v>0</v>
      </c>
      <c r="B280" s="176">
        <f>'Données projet'!D253</f>
        <v>0</v>
      </c>
      <c r="C280" s="188"/>
      <c r="D280" s="174">
        <f t="shared" si="14"/>
        <v>0</v>
      </c>
      <c r="E280" s="188"/>
      <c r="F280" s="227"/>
      <c r="G280" s="201"/>
      <c r="H280" s="4"/>
      <c r="I280" s="4"/>
      <c r="J280" s="4"/>
      <c r="K280" s="168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5">
        <f>'Données projet'!A254</f>
        <v>0</v>
      </c>
      <c r="B281" s="176">
        <f>'Données projet'!D254</f>
        <v>0</v>
      </c>
      <c r="C281" s="188"/>
      <c r="D281" s="174">
        <f t="shared" si="14"/>
        <v>0</v>
      </c>
      <c r="E281" s="188"/>
      <c r="F281" s="227"/>
      <c r="G281" s="201"/>
      <c r="H281" s="4"/>
      <c r="I281" s="4"/>
      <c r="J281" s="4"/>
      <c r="K281" s="168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5">
        <f>'Données projet'!A255</f>
        <v>0</v>
      </c>
      <c r="B282" s="176">
        <f>'Données projet'!D255</f>
        <v>0</v>
      </c>
      <c r="C282" s="188"/>
      <c r="D282" s="174">
        <f t="shared" si="14"/>
        <v>0</v>
      </c>
      <c r="E282" s="188"/>
      <c r="F282" s="227"/>
      <c r="G282" s="201"/>
      <c r="H282" s="4"/>
      <c r="I282" s="4"/>
      <c r="J282" s="4"/>
      <c r="K282" s="168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5">
        <f>'Données projet'!A256</f>
        <v>0</v>
      </c>
      <c r="B283" s="176">
        <f>'Données projet'!D256</f>
        <v>0</v>
      </c>
      <c r="C283" s="188"/>
      <c r="D283" s="174">
        <f t="shared" si="14"/>
        <v>0</v>
      </c>
      <c r="E283" s="188"/>
      <c r="F283" s="227"/>
      <c r="G283" s="201"/>
      <c r="H283" s="4"/>
      <c r="I283" s="4"/>
      <c r="J283" s="4"/>
      <c r="K283" s="168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5">
        <f>'Données projet'!A257</f>
        <v>0</v>
      </c>
      <c r="B284" s="176">
        <f>'Données projet'!D257</f>
        <v>0</v>
      </c>
      <c r="C284" s="188"/>
      <c r="D284" s="174">
        <f t="shared" si="14"/>
        <v>0</v>
      </c>
      <c r="E284" s="188"/>
      <c r="F284" s="227"/>
      <c r="G284" s="201"/>
      <c r="H284" s="4"/>
      <c r="I284" s="4"/>
      <c r="J284" s="4"/>
      <c r="K284" s="168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5">
        <f>'Données projet'!A258</f>
        <v>0</v>
      </c>
      <c r="B285" s="176">
        <f>'Données projet'!D258</f>
        <v>0</v>
      </c>
      <c r="C285" s="188"/>
      <c r="D285" s="174">
        <f t="shared" si="14"/>
        <v>0</v>
      </c>
      <c r="E285" s="188"/>
      <c r="F285" s="227"/>
      <c r="G285" s="201"/>
      <c r="H285" s="4"/>
      <c r="I285" s="4"/>
      <c r="J285" s="4"/>
      <c r="K285" s="168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5">
        <f>'Données projet'!A259</f>
        <v>0</v>
      </c>
      <c r="B286" s="176">
        <f>'Données projet'!D259</f>
        <v>0</v>
      </c>
      <c r="C286" s="188"/>
      <c r="D286" s="174">
        <f t="shared" si="14"/>
        <v>0</v>
      </c>
      <c r="E286" s="188"/>
      <c r="F286" s="227"/>
      <c r="G286" s="201"/>
      <c r="H286" s="4"/>
      <c r="I286" s="4"/>
      <c r="J286" s="4"/>
      <c r="K286" s="168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5">
        <f>'Données projet'!A260</f>
        <v>0</v>
      </c>
      <c r="B287" s="176">
        <f>'Données projet'!D260</f>
        <v>0</v>
      </c>
      <c r="C287" s="188"/>
      <c r="D287" s="174">
        <f t="shared" si="14"/>
        <v>0</v>
      </c>
      <c r="E287" s="188"/>
      <c r="F287" s="227"/>
      <c r="G287" s="201"/>
      <c r="H287" s="4"/>
      <c r="I287" s="4"/>
      <c r="J287" s="4"/>
      <c r="K287" s="168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5">
        <f>'Données projet'!A261</f>
        <v>0</v>
      </c>
      <c r="B288" s="176">
        <f>'Données projet'!D261</f>
        <v>0</v>
      </c>
      <c r="C288" s="188"/>
      <c r="D288" s="174">
        <f t="shared" si="14"/>
        <v>0</v>
      </c>
      <c r="E288" s="188"/>
      <c r="F288" s="227"/>
      <c r="G288" s="201"/>
      <c r="H288" s="4"/>
      <c r="I288" s="4"/>
      <c r="J288" s="4"/>
      <c r="K288" s="168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5">
        <f>'Données projet'!A262</f>
        <v>0</v>
      </c>
      <c r="B289" s="176">
        <f>'Données projet'!D262</f>
        <v>0</v>
      </c>
      <c r="C289" s="188"/>
      <c r="D289" s="174">
        <f t="shared" si="14"/>
        <v>0</v>
      </c>
      <c r="E289" s="188"/>
      <c r="F289" s="227"/>
      <c r="G289" s="201"/>
      <c r="H289" s="4"/>
      <c r="I289" s="4"/>
      <c r="J289" s="4"/>
      <c r="K289" s="168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5">
        <f>'Données projet'!A263</f>
        <v>0</v>
      </c>
      <c r="B290" s="176">
        <f>'Données projet'!D263</f>
        <v>0</v>
      </c>
      <c r="C290" s="188"/>
      <c r="D290" s="174">
        <f t="shared" si="14"/>
        <v>0</v>
      </c>
      <c r="E290" s="188"/>
      <c r="F290" s="227"/>
      <c r="G290" s="201"/>
      <c r="H290" s="4"/>
      <c r="I290" s="4"/>
      <c r="J290" s="4"/>
      <c r="K290" s="168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5"/>
      <c r="G291" s="201"/>
      <c r="H291" s="4"/>
      <c r="I291" s="4"/>
      <c r="J291" s="4"/>
      <c r="K291" s="168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5"/>
      <c r="G292" s="201"/>
      <c r="H292" s="4"/>
      <c r="I292" s="4"/>
      <c r="J292" s="4"/>
      <c r="K292" s="168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69" t="str">
        <f>IF('Données projet'!$B$18="","",'Données projet'!$B$18)</f>
        <v/>
      </c>
      <c r="C293" s="4"/>
      <c r="D293" s="4"/>
      <c r="E293" s="4"/>
      <c r="F293" s="225"/>
      <c r="G293" s="201"/>
      <c r="H293" s="4"/>
      <c r="I293" s="4"/>
      <c r="J293" s="4"/>
      <c r="K293" s="168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5"/>
      <c r="G294" s="201"/>
      <c r="H294" s="4"/>
      <c r="I294" s="4"/>
      <c r="J294" s="4"/>
      <c r="K294" s="168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6"/>
      <c r="G295" s="201"/>
      <c r="H295" s="4"/>
      <c r="I295" s="4"/>
      <c r="J295" s="4"/>
      <c r="K295" s="168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4" t="s">
        <v>132</v>
      </c>
      <c r="C296" s="193" t="s">
        <v>132</v>
      </c>
      <c r="D296" s="192" t="s">
        <v>132</v>
      </c>
      <c r="E296" s="188"/>
      <c r="F296" s="226"/>
      <c r="G296" s="201"/>
      <c r="H296" s="4"/>
      <c r="I296" s="4"/>
      <c r="J296" s="4"/>
      <c r="K296" s="168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4" t="s">
        <v>132</v>
      </c>
      <c r="C297" s="193" t="s">
        <v>132</v>
      </c>
      <c r="D297" s="192" t="s">
        <v>132</v>
      </c>
      <c r="E297" s="188"/>
      <c r="F297" s="226"/>
      <c r="G297" s="23"/>
      <c r="H297" s="4"/>
      <c r="I297" s="4"/>
      <c r="J297" s="4"/>
      <c r="K297" s="168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4" t="s">
        <v>132</v>
      </c>
      <c r="C298" s="193" t="s">
        <v>132</v>
      </c>
      <c r="D298" s="192" t="s">
        <v>132</v>
      </c>
      <c r="E298" s="188"/>
      <c r="F298" s="226"/>
      <c r="G298" s="23"/>
      <c r="H298" s="4"/>
      <c r="I298" s="4"/>
      <c r="J298" s="4"/>
      <c r="K298" s="168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4" t="s">
        <v>132</v>
      </c>
      <c r="C299" s="193" t="s">
        <v>132</v>
      </c>
      <c r="D299" s="192" t="s">
        <v>132</v>
      </c>
      <c r="E299" s="188"/>
      <c r="F299" s="226"/>
      <c r="G299" s="23"/>
      <c r="H299" s="4"/>
      <c r="I299" s="4"/>
      <c r="J299" s="4"/>
      <c r="K299" s="168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4" t="s">
        <v>132</v>
      </c>
      <c r="C300" s="193" t="s">
        <v>132</v>
      </c>
      <c r="D300" s="192" t="s">
        <v>132</v>
      </c>
      <c r="E300" s="188"/>
      <c r="F300" s="226"/>
      <c r="G300" s="23"/>
      <c r="H300" s="4"/>
      <c r="I300" s="4"/>
      <c r="J300" s="4"/>
      <c r="K300" s="168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4" t="s">
        <v>132</v>
      </c>
      <c r="C301" s="193" t="s">
        <v>132</v>
      </c>
      <c r="D301" s="192" t="s">
        <v>132</v>
      </c>
      <c r="E301" s="188"/>
      <c r="F301" s="226"/>
      <c r="G301" s="200"/>
      <c r="H301" s="4"/>
      <c r="I301" s="4"/>
      <c r="J301" s="4"/>
      <c r="K301" s="168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5">
        <f>'Données projet'!A270</f>
        <v>0</v>
      </c>
      <c r="B302" s="176">
        <f>'Données projet'!D270</f>
        <v>0</v>
      </c>
      <c r="C302" s="186"/>
      <c r="D302" s="177">
        <f>B302*C302</f>
        <v>0</v>
      </c>
      <c r="E302" s="188"/>
      <c r="F302" s="228"/>
      <c r="G302" s="200"/>
      <c r="H302" s="4"/>
      <c r="I302" s="4"/>
      <c r="J302" s="4"/>
      <c r="K302" s="168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5">
        <f>'Données projet'!A271</f>
        <v>0</v>
      </c>
      <c r="B303" s="176">
        <f>'Données projet'!D271</f>
        <v>0</v>
      </c>
      <c r="C303" s="186"/>
      <c r="D303" s="177">
        <f t="shared" ref="D303:D321" si="15">B303*C303</f>
        <v>0</v>
      </c>
      <c r="E303" s="188"/>
      <c r="F303" s="228"/>
      <c r="G303" s="200"/>
      <c r="H303" s="4"/>
      <c r="I303" s="4"/>
      <c r="J303" s="4"/>
      <c r="K303" s="168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5">
        <f>'Données projet'!A272</f>
        <v>0</v>
      </c>
      <c r="B304" s="176">
        <f>'Données projet'!D272</f>
        <v>0</v>
      </c>
      <c r="C304" s="186"/>
      <c r="D304" s="177">
        <f t="shared" si="15"/>
        <v>0</v>
      </c>
      <c r="E304" s="188"/>
      <c r="F304" s="228"/>
      <c r="G304" s="200"/>
      <c r="H304" s="4"/>
      <c r="I304" s="4"/>
      <c r="J304" s="4"/>
      <c r="K304" s="168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5">
        <f>'Données projet'!A273</f>
        <v>0</v>
      </c>
      <c r="B305" s="176">
        <f>'Données projet'!D273</f>
        <v>0</v>
      </c>
      <c r="C305" s="186"/>
      <c r="D305" s="177">
        <f t="shared" si="15"/>
        <v>0</v>
      </c>
      <c r="E305" s="188"/>
      <c r="F305" s="228"/>
      <c r="G305" s="200"/>
      <c r="H305" s="4"/>
      <c r="I305" s="4"/>
      <c r="J305" s="4"/>
      <c r="K305" s="168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5">
        <f>'Données projet'!A274</f>
        <v>0</v>
      </c>
      <c r="B306" s="176">
        <f>'Données projet'!D274</f>
        <v>0</v>
      </c>
      <c r="C306" s="186"/>
      <c r="D306" s="177">
        <f t="shared" si="15"/>
        <v>0</v>
      </c>
      <c r="E306" s="188"/>
      <c r="F306" s="228"/>
      <c r="G306" s="200"/>
      <c r="H306" s="4"/>
      <c r="I306" s="4"/>
      <c r="J306" s="4"/>
      <c r="K306" s="168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5">
        <f>'Données projet'!A275</f>
        <v>0</v>
      </c>
      <c r="B307" s="176">
        <f>'Données projet'!D275</f>
        <v>0</v>
      </c>
      <c r="C307" s="186"/>
      <c r="D307" s="177">
        <f t="shared" si="15"/>
        <v>0</v>
      </c>
      <c r="E307" s="188"/>
      <c r="F307" s="228"/>
      <c r="G307" s="200"/>
      <c r="H307" s="4"/>
      <c r="I307" s="4"/>
      <c r="J307" s="4"/>
      <c r="K307" s="168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5">
        <f>'Données projet'!A276</f>
        <v>0</v>
      </c>
      <c r="B308" s="176">
        <f>'Données projet'!D276</f>
        <v>0</v>
      </c>
      <c r="C308" s="186"/>
      <c r="D308" s="177">
        <f t="shared" si="15"/>
        <v>0</v>
      </c>
      <c r="E308" s="188"/>
      <c r="F308" s="228"/>
      <c r="G308" s="198"/>
      <c r="H308" s="4"/>
      <c r="I308" s="4"/>
      <c r="J308" s="4"/>
      <c r="K308" s="168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5">
        <f>'Données projet'!A277</f>
        <v>0</v>
      </c>
      <c r="B309" s="176">
        <f>'Données projet'!D277</f>
        <v>0</v>
      </c>
      <c r="C309" s="186"/>
      <c r="D309" s="177">
        <f t="shared" si="15"/>
        <v>0</v>
      </c>
      <c r="E309" s="188"/>
      <c r="F309" s="228"/>
      <c r="G309" s="198"/>
      <c r="H309" s="4"/>
      <c r="I309" s="4"/>
      <c r="J309" s="4"/>
      <c r="K309" s="168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5">
        <f>'Données projet'!A278</f>
        <v>0</v>
      </c>
      <c r="B310" s="176">
        <f>'Données projet'!D278</f>
        <v>0</v>
      </c>
      <c r="C310" s="186"/>
      <c r="D310" s="177">
        <f t="shared" si="15"/>
        <v>0</v>
      </c>
      <c r="E310" s="188"/>
      <c r="F310" s="228"/>
      <c r="G310" s="198"/>
      <c r="H310" s="4"/>
      <c r="I310" s="4"/>
      <c r="J310" s="4"/>
      <c r="K310" s="168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5">
        <f>'Données projet'!A279</f>
        <v>0</v>
      </c>
      <c r="B311" s="176">
        <f>'Données projet'!D279</f>
        <v>0</v>
      </c>
      <c r="C311" s="186"/>
      <c r="D311" s="177">
        <f t="shared" si="15"/>
        <v>0</v>
      </c>
      <c r="E311" s="188"/>
      <c r="F311" s="228"/>
      <c r="G311" s="198"/>
      <c r="H311" s="4"/>
      <c r="I311" s="4"/>
      <c r="J311" s="4"/>
      <c r="K311" s="168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5">
        <f>'Données projet'!A280</f>
        <v>0</v>
      </c>
      <c r="B312" s="176">
        <f>'Données projet'!D280</f>
        <v>0</v>
      </c>
      <c r="C312" s="186"/>
      <c r="D312" s="177">
        <f t="shared" si="15"/>
        <v>0</v>
      </c>
      <c r="E312" s="188"/>
      <c r="F312" s="228"/>
      <c r="G312" s="198"/>
      <c r="H312" s="4"/>
      <c r="I312" s="4"/>
      <c r="J312" s="4"/>
      <c r="K312" s="168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5">
        <f>'Données projet'!A281</f>
        <v>0</v>
      </c>
      <c r="B313" s="176">
        <f>'Données projet'!D281</f>
        <v>0</v>
      </c>
      <c r="C313" s="186"/>
      <c r="D313" s="177">
        <f t="shared" si="15"/>
        <v>0</v>
      </c>
      <c r="E313" s="188"/>
      <c r="F313" s="228"/>
      <c r="G313" s="198"/>
      <c r="H313" s="4"/>
      <c r="I313" s="4"/>
      <c r="J313" s="4"/>
      <c r="K313" s="168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5">
        <f>'Données projet'!A282</f>
        <v>0</v>
      </c>
      <c r="B314" s="176">
        <f>'Données projet'!D282</f>
        <v>0</v>
      </c>
      <c r="C314" s="186"/>
      <c r="D314" s="177">
        <f t="shared" si="15"/>
        <v>0</v>
      </c>
      <c r="E314" s="188"/>
      <c r="F314" s="228"/>
      <c r="G314" s="198"/>
      <c r="H314" s="4"/>
      <c r="I314" s="4"/>
      <c r="J314" s="4"/>
      <c r="K314" s="168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5">
        <f>'Données projet'!A283</f>
        <v>0</v>
      </c>
      <c r="B315" s="176">
        <f>'Données projet'!D283</f>
        <v>0</v>
      </c>
      <c r="C315" s="186"/>
      <c r="D315" s="177">
        <f t="shared" si="15"/>
        <v>0</v>
      </c>
      <c r="E315" s="188"/>
      <c r="F315" s="228"/>
      <c r="G315" s="198"/>
      <c r="H315" s="4"/>
      <c r="I315" s="4"/>
      <c r="J315" s="4"/>
      <c r="K315" s="168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5">
        <f>'Données projet'!A284</f>
        <v>0</v>
      </c>
      <c r="B316" s="176">
        <f>'Données projet'!D284</f>
        <v>0</v>
      </c>
      <c r="C316" s="186"/>
      <c r="D316" s="177">
        <f t="shared" si="15"/>
        <v>0</v>
      </c>
      <c r="E316" s="188"/>
      <c r="F316" s="228"/>
      <c r="G316" s="198"/>
      <c r="H316" s="4"/>
      <c r="I316" s="4"/>
      <c r="J316" s="4"/>
      <c r="K316" s="168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5">
        <f>'Données projet'!A285</f>
        <v>0</v>
      </c>
      <c r="B317" s="176">
        <f>'Données projet'!D285</f>
        <v>0</v>
      </c>
      <c r="C317" s="186"/>
      <c r="D317" s="177">
        <f t="shared" si="15"/>
        <v>0</v>
      </c>
      <c r="E317" s="188"/>
      <c r="F317" s="228"/>
      <c r="G317" s="198"/>
      <c r="H317" s="4"/>
      <c r="I317" s="4"/>
      <c r="J317" s="4"/>
      <c r="K317" s="168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5">
        <f>'Données projet'!A286</f>
        <v>0</v>
      </c>
      <c r="B318" s="176">
        <f>'Données projet'!D286</f>
        <v>0</v>
      </c>
      <c r="C318" s="186"/>
      <c r="D318" s="177">
        <f t="shared" si="15"/>
        <v>0</v>
      </c>
      <c r="E318" s="188"/>
      <c r="F318" s="228"/>
      <c r="G318" s="198"/>
      <c r="H318" s="4"/>
      <c r="I318" s="4"/>
      <c r="J318" s="4"/>
      <c r="K318" s="168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5">
        <f>'Données projet'!A287</f>
        <v>0</v>
      </c>
      <c r="B319" s="176">
        <f>'Données projet'!D287</f>
        <v>0</v>
      </c>
      <c r="C319" s="186"/>
      <c r="D319" s="177">
        <f t="shared" si="15"/>
        <v>0</v>
      </c>
      <c r="E319" s="188"/>
      <c r="F319" s="228"/>
      <c r="G319" s="198"/>
      <c r="H319" s="4"/>
      <c r="I319" s="4"/>
      <c r="J319" s="4"/>
      <c r="K319" s="168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5">
        <f>'Données projet'!A288</f>
        <v>0</v>
      </c>
      <c r="B320" s="176">
        <f>'Données projet'!D288</f>
        <v>0</v>
      </c>
      <c r="C320" s="186"/>
      <c r="D320" s="177">
        <f t="shared" si="15"/>
        <v>0</v>
      </c>
      <c r="E320" s="188"/>
      <c r="F320" s="228"/>
      <c r="G320" s="198"/>
      <c r="H320" s="4"/>
      <c r="I320" s="4"/>
      <c r="J320" s="4"/>
      <c r="K320" s="168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5">
        <f>'Données projet'!A289</f>
        <v>0</v>
      </c>
      <c r="B321" s="176">
        <f>'Données projet'!D289</f>
        <v>0</v>
      </c>
      <c r="C321" s="191"/>
      <c r="D321" s="177">
        <f t="shared" si="15"/>
        <v>0</v>
      </c>
      <c r="E321" s="188"/>
      <c r="F321" s="228"/>
      <c r="G321" s="198"/>
      <c r="H321" s="4"/>
      <c r="I321" s="4"/>
      <c r="J321" s="4"/>
      <c r="K321" s="168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198"/>
      <c r="H322" s="4"/>
      <c r="I322" s="4"/>
      <c r="J322" s="4"/>
      <c r="K322" s="168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198"/>
      <c r="H323" s="4"/>
      <c r="I323" s="4"/>
      <c r="J323" s="4"/>
      <c r="K323" s="168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198"/>
      <c r="H324" s="4"/>
      <c r="I324" s="4"/>
      <c r="J324" s="4"/>
      <c r="K324" s="168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198"/>
      <c r="H325" s="4"/>
      <c r="I325" s="4"/>
      <c r="J325" s="4"/>
      <c r="K325" s="168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198"/>
      <c r="H326" s="4"/>
      <c r="I326" s="4"/>
      <c r="J326" s="4"/>
      <c r="K326" s="168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198"/>
      <c r="H327" s="4"/>
      <c r="I327" s="4"/>
      <c r="J327" s="4"/>
      <c r="K327" s="168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2023-08-03T14:41:56Z</dcterms:modified>
</cp:coreProperties>
</file>