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4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Sabres\Belin Beliet 5 (33) CARLOBOIS LBC v3 plan 2 broyeur - BEL\Dossier déposé le 23 10 2023\"/>
    </mc:Choice>
  </mc:AlternateContent>
  <xr:revisionPtr revIDLastSave="0" documentId="13_ncr:1_{910D2F76-7CB3-4BB1-8661-BDC33DD0E699}" xr6:coauthVersionLast="36" xr6:coauthVersionMax="36" xr10:uidLastSave="{00000000-0000-0000-0000-000000000000}"/>
  <bookViews>
    <workbookView xWindow="0" yWindow="0" windowWidth="28800" windowHeight="12615" tabRatio="866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AH151" i="2" l="1" a="1"/>
  <c r="AH151" i="2" s="1"/>
  <c r="AH163" i="2" a="1"/>
  <c r="AH163" i="2" s="1"/>
  <c r="AH62" i="2" a="1"/>
  <c r="AH62" i="2" s="1"/>
  <c r="AH199" i="2" a="1"/>
  <c r="AH199" i="2" s="1"/>
  <c r="AH166" i="2" a="1"/>
  <c r="AH166" i="2" s="1"/>
  <c r="AH92" i="2" a="1"/>
  <c r="AH92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<sst xmlns="http://schemas.openxmlformats.org/spreadsheetml/2006/main" count="1171" uniqueCount="324">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</sst>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2.254535549090765</c:v>
                </c:pt>
                <c:pt idx="2">
                  <c:v>3.2784527239430776</c:v>
                </c:pt>
                <c:pt idx="3">
                  <c:v>4.7694737635358404</c:v>
                </c:pt>
                <c:pt idx="4">
                  <c:v>6.9415806155700679</c:v>
                </c:pt>
                <c:pt idx="5">
                  <c:v>10.107161787280178</c:v>
                </c:pt>
                <c:pt idx="6">
                  <c:v>14.722429499116073</c:v>
                </c:pt>
                <c:pt idx="7">
                  <c:v>21.45386643917448</c:v>
                </c:pt>
                <c:pt idx="8">
                  <c:v>31.275468345598899</c:v>
                </c:pt>
                <c:pt idx="9">
                  <c:v>45.61109624038076</c:v>
                </c:pt>
                <c:pt idx="10">
                  <c:v>66.542922379858922</c:v>
                </c:pt>
                <c:pt idx="11">
                  <c:v>97.116739768036425</c:v>
                </c:pt>
                <c:pt idx="12">
                  <c:v>141.78926461478019</c:v>
                </c:pt>
                <c:pt idx="13">
                  <c:v>124.5611931900976</c:v>
                </c:pt>
                <c:pt idx="14">
                  <c:v>151.68524513992836</c:v>
                </c:pt>
                <c:pt idx="15">
                  <c:v>178.69346731764236</c:v>
                </c:pt>
                <c:pt idx="16">
                  <c:v>205.60586751976882</c:v>
                </c:pt>
                <c:pt idx="17">
                  <c:v>232.43676367300134</c:v>
                </c:pt>
                <c:pt idx="18">
                  <c:v>202.50498404059022</c:v>
                </c:pt>
                <c:pt idx="19">
                  <c:v>228.05603340567458</c:v>
                </c:pt>
                <c:pt idx="20">
                  <c:v>253.54155170818649</c:v>
                </c:pt>
                <c:pt idx="21">
                  <c:v>278.96905083089689</c:v>
                </c:pt>
                <c:pt idx="22">
                  <c:v>304.34456023906222</c:v>
                </c:pt>
                <c:pt idx="23">
                  <c:v>253.83081383722325</c:v>
                </c:pt>
                <c:pt idx="24">
                  <c:v>275.18403886927132</c:v>
                </c:pt>
                <c:pt idx="25">
                  <c:v>296.50005111063956</c:v>
                </c:pt>
                <c:pt idx="26">
                  <c:v>317.78190098794829</c:v>
                </c:pt>
                <c:pt idx="27">
                  <c:v>339.03219699741027</c:v>
                </c:pt>
                <c:pt idx="28">
                  <c:v>360.25319399788003</c:v>
                </c:pt>
                <c:pt idx="29">
                  <c:v>381.44685959482405</c:v>
                </c:pt>
                <c:pt idx="30">
                  <c:v>402.61492499148613</c:v>
                </c:pt>
                <c:pt idx="31">
                  <c:v>1.978932943548152E-12</c:v>
                </c:pt>
                <c:pt idx="32">
                  <c:v>1.978932943548152E-12</c:v>
                </c:pt>
                <c:pt idx="33">
                  <c:v>1.978932943548152E-12</c:v>
                </c:pt>
                <c:pt idx="34">
                  <c:v>1.978932943548152E-12</c:v>
                </c:pt>
                <c:pt idx="35">
                  <c:v>1.978932943548152E-12</c:v>
                </c:pt>
                <c:pt idx="36">
                  <c:v>1.978932943548152E-12</c:v>
                </c:pt>
                <c:pt idx="37">
                  <c:v>1.978932943548152E-12</c:v>
                </c:pt>
                <c:pt idx="38">
                  <c:v>1.978932943548152E-12</c:v>
                </c:pt>
                <c:pt idx="39">
                  <c:v>1.978932943548152E-12</c:v>
                </c:pt>
                <c:pt idx="40">
                  <c:v>1.978932943548152E-12</c:v>
                </c:pt>
                <c:pt idx="41">
                  <c:v>1.978932943548152E-12</c:v>
                </c:pt>
                <c:pt idx="42">
                  <c:v>1.978932943548152E-12</c:v>
                </c:pt>
                <c:pt idx="43">
                  <c:v>1.978932943548152E-12</c:v>
                </c:pt>
                <c:pt idx="44">
                  <c:v>1.978932943548152E-12</c:v>
                </c:pt>
                <c:pt idx="45">
                  <c:v>1.978932943548152E-12</c:v>
                </c:pt>
                <c:pt idx="46">
                  <c:v>1.978932943548152E-12</c:v>
                </c:pt>
                <c:pt idx="47">
                  <c:v>1.978932943548152E-12</c:v>
                </c:pt>
                <c:pt idx="48">
                  <c:v>1.978932943548152E-12</c:v>
                </c:pt>
                <c:pt idx="49">
                  <c:v>1.978932943548152E-12</c:v>
                </c:pt>
                <c:pt idx="50">
                  <c:v>1.978932943548152E-12</c:v>
                </c:pt>
                <c:pt idx="51">
                  <c:v>1.978932943548152E-12</c:v>
                </c:pt>
                <c:pt idx="52">
                  <c:v>1.978932943548152E-12</c:v>
                </c:pt>
                <c:pt idx="53">
                  <c:v>1.978932943548152E-12</c:v>
                </c:pt>
                <c:pt idx="54">
                  <c:v>1.978932943548152E-12</c:v>
                </c:pt>
                <c:pt idx="55">
                  <c:v>1.978932943548152E-12</c:v>
                </c:pt>
                <c:pt idx="56">
                  <c:v>1.978932943548152E-12</c:v>
                </c:pt>
                <c:pt idx="57">
                  <c:v>1.978932943548152E-12</c:v>
                </c:pt>
                <c:pt idx="58">
                  <c:v>1.978932943548152E-12</c:v>
                </c:pt>
                <c:pt idx="59">
                  <c:v>1.978932943548152E-12</c:v>
                </c:pt>
                <c:pt idx="60">
                  <c:v>1.978932943548152E-12</c:v>
                </c:pt>
                <c:pt idx="61">
                  <c:v>1.978932943548152E-12</c:v>
                </c:pt>
                <c:pt idx="62">
                  <c:v>1.978932943548152E-12</c:v>
                </c:pt>
                <c:pt idx="63">
                  <c:v>1.978932943548152E-12</c:v>
                </c:pt>
                <c:pt idx="64">
                  <c:v>1.978932943548152E-12</c:v>
                </c:pt>
                <c:pt idx="65">
                  <c:v>1.978932943548152E-12</c:v>
                </c:pt>
                <c:pt idx="66">
                  <c:v>1.978932943548152E-12</c:v>
                </c:pt>
                <c:pt idx="67">
                  <c:v>1.978932943548152E-12</c:v>
                </c:pt>
                <c:pt idx="68">
                  <c:v>1.978932943548152E-12</c:v>
                </c:pt>
                <c:pt idx="69">
                  <c:v>1.978932943548152E-12</c:v>
                </c:pt>
                <c:pt idx="70">
                  <c:v>1.978932943548152E-12</c:v>
                </c:pt>
                <c:pt idx="71">
                  <c:v>1.978932943548152E-12</c:v>
                </c:pt>
                <c:pt idx="72">
                  <c:v>1.978932943548152E-12</c:v>
                </c:pt>
                <c:pt idx="73">
                  <c:v>1.978932943548152E-12</c:v>
                </c:pt>
                <c:pt idx="74">
                  <c:v>1.978932943548152E-12</c:v>
                </c:pt>
                <c:pt idx="75">
                  <c:v>1.978932943548152E-12</c:v>
                </c:pt>
                <c:pt idx="76">
                  <c:v>1.978932943548152E-12</c:v>
                </c:pt>
                <c:pt idx="77">
                  <c:v>1.978932943548152E-12</c:v>
                </c:pt>
                <c:pt idx="78">
                  <c:v>1.978932943548152E-12</c:v>
                </c:pt>
                <c:pt idx="79">
                  <c:v>1.978932943548152E-12</c:v>
                </c:pt>
                <c:pt idx="80">
                  <c:v>1.978932943548152E-12</c:v>
                </c:pt>
                <c:pt idx="81">
                  <c:v>1.978932943548152E-12</c:v>
                </c:pt>
                <c:pt idx="82">
                  <c:v>1.978932943548152E-12</c:v>
                </c:pt>
                <c:pt idx="83">
                  <c:v>1.978932943548152E-12</c:v>
                </c:pt>
                <c:pt idx="84">
                  <c:v>1.978932943548152E-12</c:v>
                </c:pt>
                <c:pt idx="85">
                  <c:v>1.978932943548152E-12</c:v>
                </c:pt>
                <c:pt idx="86">
                  <c:v>1.978932943548152E-12</c:v>
                </c:pt>
                <c:pt idx="87">
                  <c:v>1.978932943548152E-12</c:v>
                </c:pt>
                <c:pt idx="88">
                  <c:v>1.978932943548152E-12</c:v>
                </c:pt>
                <c:pt idx="89">
                  <c:v>1.978932943548152E-12</c:v>
                </c:pt>
                <c:pt idx="90">
                  <c:v>1.978932943548152E-12</c:v>
                </c:pt>
                <c:pt idx="91">
                  <c:v>1.978932943548152E-12</c:v>
                </c:pt>
                <c:pt idx="92">
                  <c:v>1.978932943548152E-12</c:v>
                </c:pt>
                <c:pt idx="93">
                  <c:v>1.978932943548152E-12</c:v>
                </c:pt>
                <c:pt idx="94">
                  <c:v>1.978932943548152E-12</c:v>
                </c:pt>
                <c:pt idx="95">
                  <c:v>1.978932943548152E-12</c:v>
                </c:pt>
                <c:pt idx="96">
                  <c:v>1.978932943548152E-12</c:v>
                </c:pt>
                <c:pt idx="97">
                  <c:v>1.978932943548152E-12</c:v>
                </c:pt>
                <c:pt idx="98">
                  <c:v>1.978932943548152E-12</c:v>
                </c:pt>
                <c:pt idx="99">
                  <c:v>1.978932943548152E-12</c:v>
                </c:pt>
                <c:pt idx="100">
                  <c:v>1.978932943548152E-12</c:v>
                </c:pt>
                <c:pt idx="101">
                  <c:v>1.978932943548152E-12</c:v>
                </c:pt>
                <c:pt idx="102">
                  <c:v>1.978932943548152E-12</c:v>
                </c:pt>
                <c:pt idx="103">
                  <c:v>1.978932943548152E-12</c:v>
                </c:pt>
                <c:pt idx="104">
                  <c:v>1.978932943548152E-12</c:v>
                </c:pt>
                <c:pt idx="105">
                  <c:v>1.978932943548152E-12</c:v>
                </c:pt>
                <c:pt idx="106">
                  <c:v>1.978932943548152E-12</c:v>
                </c:pt>
                <c:pt idx="107">
                  <c:v>1.978932943548152E-12</c:v>
                </c:pt>
                <c:pt idx="108">
                  <c:v>1.978932943548152E-12</c:v>
                </c:pt>
                <c:pt idx="109">
                  <c:v>1.978932943548152E-12</c:v>
                </c:pt>
                <c:pt idx="110">
                  <c:v>1.978932943548152E-12</c:v>
                </c:pt>
                <c:pt idx="111">
                  <c:v>1.978932943548152E-12</c:v>
                </c:pt>
                <c:pt idx="112">
                  <c:v>1.978932943548152E-12</c:v>
                </c:pt>
                <c:pt idx="113">
                  <c:v>1.978932943548152E-12</c:v>
                </c:pt>
                <c:pt idx="114">
                  <c:v>1.978932943548152E-12</c:v>
                </c:pt>
                <c:pt idx="115">
                  <c:v>1.978932943548152E-12</c:v>
                </c:pt>
                <c:pt idx="116">
                  <c:v>1.978932943548152E-12</c:v>
                </c:pt>
                <c:pt idx="117">
                  <c:v>1.978932943548152E-12</c:v>
                </c:pt>
                <c:pt idx="118">
                  <c:v>1.978932943548152E-12</c:v>
                </c:pt>
                <c:pt idx="119">
                  <c:v>1.978932943548152E-12</c:v>
                </c:pt>
                <c:pt idx="120">
                  <c:v>1.978932943548152E-12</c:v>
                </c:pt>
                <c:pt idx="121">
                  <c:v>1.978932943548152E-12</c:v>
                </c:pt>
                <c:pt idx="122">
                  <c:v>1.978932943548152E-12</c:v>
                </c:pt>
                <c:pt idx="123">
                  <c:v>1.978932943548152E-12</c:v>
                </c:pt>
                <c:pt idx="124">
                  <c:v>1.978932943548152E-12</c:v>
                </c:pt>
                <c:pt idx="125">
                  <c:v>1.978932943548152E-12</c:v>
                </c:pt>
                <c:pt idx="126">
                  <c:v>1.978932943548152E-12</c:v>
                </c:pt>
                <c:pt idx="127">
                  <c:v>1.978932943548152E-12</c:v>
                </c:pt>
                <c:pt idx="128">
                  <c:v>1.978932943548152E-12</c:v>
                </c:pt>
                <c:pt idx="129">
                  <c:v>1.978932943548152E-12</c:v>
                </c:pt>
                <c:pt idx="130">
                  <c:v>1.978932943548152E-12</c:v>
                </c:pt>
                <c:pt idx="131">
                  <c:v>1.978932943548152E-12</c:v>
                </c:pt>
                <c:pt idx="132">
                  <c:v>1.978932943548152E-12</c:v>
                </c:pt>
                <c:pt idx="133">
                  <c:v>1.978932943548152E-12</c:v>
                </c:pt>
                <c:pt idx="134">
                  <c:v>1.978932943548152E-12</c:v>
                </c:pt>
                <c:pt idx="135">
                  <c:v>1.978932943548152E-12</c:v>
                </c:pt>
                <c:pt idx="136">
                  <c:v>1.978932943548152E-12</c:v>
                </c:pt>
                <c:pt idx="137">
                  <c:v>1.978932943548152E-12</c:v>
                </c:pt>
                <c:pt idx="138">
                  <c:v>1.978932943548152E-12</c:v>
                </c:pt>
                <c:pt idx="139">
                  <c:v>1.978932943548152E-12</c:v>
                </c:pt>
                <c:pt idx="140">
                  <c:v>1.978932943548152E-12</c:v>
                </c:pt>
                <c:pt idx="141">
                  <c:v>1.978932943548152E-12</c:v>
                </c:pt>
                <c:pt idx="142">
                  <c:v>1.978932943548152E-12</c:v>
                </c:pt>
                <c:pt idx="143">
                  <c:v>1.978932943548152E-12</c:v>
                </c:pt>
                <c:pt idx="144">
                  <c:v>1.978932943548152E-12</c:v>
                </c:pt>
                <c:pt idx="145">
                  <c:v>1.978932943548152E-12</c:v>
                </c:pt>
                <c:pt idx="146">
                  <c:v>1.978932943548152E-12</c:v>
                </c:pt>
                <c:pt idx="147">
                  <c:v>1.978932943548152E-12</c:v>
                </c:pt>
                <c:pt idx="148">
                  <c:v>1.978932943548152E-12</c:v>
                </c:pt>
                <c:pt idx="149">
                  <c:v>1.978932943548152E-12</c:v>
                </c:pt>
                <c:pt idx="150">
                  <c:v>1.978932943548152E-12</c:v>
                </c:pt>
                <c:pt idx="151">
                  <c:v>1.978932943548152E-12</c:v>
                </c:pt>
                <c:pt idx="152">
                  <c:v>1.978932943548152E-12</c:v>
                </c:pt>
                <c:pt idx="153">
                  <c:v>1.978932943548152E-12</c:v>
                </c:pt>
                <c:pt idx="154">
                  <c:v>1.978932943548152E-12</c:v>
                </c:pt>
                <c:pt idx="155">
                  <c:v>1.978932943548152E-12</c:v>
                </c:pt>
                <c:pt idx="156">
                  <c:v>1.978932943548152E-12</c:v>
                </c:pt>
                <c:pt idx="157">
                  <c:v>1.978932943548152E-12</c:v>
                </c:pt>
                <c:pt idx="158">
                  <c:v>1.978932943548152E-12</c:v>
                </c:pt>
                <c:pt idx="159">
                  <c:v>1.978932943548152E-12</c:v>
                </c:pt>
                <c:pt idx="160">
                  <c:v>1.978932943548152E-12</c:v>
                </c:pt>
                <c:pt idx="161">
                  <c:v>1.978932943548152E-12</c:v>
                </c:pt>
                <c:pt idx="162">
                  <c:v>1.978932943548152E-12</c:v>
                </c:pt>
                <c:pt idx="163">
                  <c:v>1.978932943548152E-12</c:v>
                </c:pt>
                <c:pt idx="164">
                  <c:v>1.978932943548152E-12</c:v>
                </c:pt>
                <c:pt idx="165">
                  <c:v>1.978932943548152E-12</c:v>
                </c:pt>
                <c:pt idx="166">
                  <c:v>1.978932943548152E-12</c:v>
                </c:pt>
                <c:pt idx="167">
                  <c:v>1.978932943548152E-12</c:v>
                </c:pt>
                <c:pt idx="168">
                  <c:v>1.978932943548152E-12</c:v>
                </c:pt>
                <c:pt idx="169">
                  <c:v>1.978932943548152E-12</c:v>
                </c:pt>
                <c:pt idx="170">
                  <c:v>1.978932943548152E-12</c:v>
                </c:pt>
                <c:pt idx="171">
                  <c:v>1.978932943548152E-12</c:v>
                </c:pt>
                <c:pt idx="172">
                  <c:v>1.978932943548152E-12</c:v>
                </c:pt>
                <c:pt idx="173">
                  <c:v>1.978932943548152E-12</c:v>
                </c:pt>
                <c:pt idx="174">
                  <c:v>1.978932943548152E-12</c:v>
                </c:pt>
                <c:pt idx="175">
                  <c:v>1.978932943548152E-12</c:v>
                </c:pt>
                <c:pt idx="176">
                  <c:v>1.978932943548152E-12</c:v>
                </c:pt>
                <c:pt idx="177">
                  <c:v>1.978932943548152E-12</c:v>
                </c:pt>
                <c:pt idx="178">
                  <c:v>1.978932943548152E-12</c:v>
                </c:pt>
                <c:pt idx="179">
                  <c:v>1.978932943548152E-12</c:v>
                </c:pt>
                <c:pt idx="180">
                  <c:v>1.978932943548152E-12</c:v>
                </c:pt>
                <c:pt idx="181">
                  <c:v>1.978932943548152E-12</c:v>
                </c:pt>
                <c:pt idx="182">
                  <c:v>1.978932943548152E-12</c:v>
                </c:pt>
                <c:pt idx="183">
                  <c:v>1.978932943548152E-12</c:v>
                </c:pt>
                <c:pt idx="184">
                  <c:v>1.978932943548152E-12</c:v>
                </c:pt>
                <c:pt idx="185">
                  <c:v>1.978932943548152E-12</c:v>
                </c:pt>
                <c:pt idx="186">
                  <c:v>1.978932943548152E-12</c:v>
                </c:pt>
                <c:pt idx="187">
                  <c:v>1.978932943548152E-12</c:v>
                </c:pt>
                <c:pt idx="188">
                  <c:v>1.978932943548152E-12</c:v>
                </c:pt>
                <c:pt idx="189">
                  <c:v>1.978932943548152E-12</c:v>
                </c:pt>
                <c:pt idx="190">
                  <c:v>1.978932943548152E-12</c:v>
                </c:pt>
                <c:pt idx="191">
                  <c:v>1.978932943548152E-12</c:v>
                </c:pt>
                <c:pt idx="192">
                  <c:v>1.978932943548152E-12</c:v>
                </c:pt>
                <c:pt idx="193">
                  <c:v>1.978932943548152E-12</c:v>
                </c:pt>
                <c:pt idx="194">
                  <c:v>1.978932943548152E-12</c:v>
                </c:pt>
                <c:pt idx="195">
                  <c:v>1.978932943548152E-12</c:v>
                </c:pt>
                <c:pt idx="196">
                  <c:v>1.978932943548152E-12</c:v>
                </c:pt>
                <c:pt idx="197">
                  <c:v>1.978932943548152E-12</c:v>
                </c:pt>
                <c:pt idx="198">
                  <c:v>1.978932943548152E-12</c:v>
                </c:pt>
                <c:pt idx="199">
                  <c:v>1.978932943548152E-12</c:v>
                </c:pt>
                <c:pt idx="200">
                  <c:v>1.978932943548152E-12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2.1827412805591249</c:v>
                </c:pt>
                <c:pt idx="2">
                  <c:v>3.072752466359074</c:v>
                </c:pt>
                <c:pt idx="3">
                  <c:v>4.3272468407963478</c:v>
                </c:pt>
                <c:pt idx="4">
                  <c:v>6.0960991203634167</c:v>
                </c:pt>
                <c:pt idx="5">
                  <c:v>8.5910457829428761</c:v>
                </c:pt>
                <c:pt idx="6">
                  <c:v>12.111308120410888</c:v>
                </c:pt>
                <c:pt idx="7">
                  <c:v>17.079862262962827</c:v>
                </c:pt>
                <c:pt idx="8">
                  <c:v>24.094793106242644</c:v>
                </c:pt>
                <c:pt idx="9">
                  <c:v>34.002022945399325</c:v>
                </c:pt>
                <c:pt idx="10">
                  <c:v>47.998335925397946</c:v>
                </c:pt>
                <c:pt idx="11">
                  <c:v>67.777352025416505</c:v>
                </c:pt>
                <c:pt idx="12">
                  <c:v>95.736402105530317</c:v>
                </c:pt>
                <c:pt idx="13">
                  <c:v>135.26977619819337</c:v>
                </c:pt>
                <c:pt idx="14">
                  <c:v>122.99225398355058</c:v>
                </c:pt>
                <c:pt idx="15">
                  <c:v>147.26006612469442</c:v>
                </c:pt>
                <c:pt idx="16">
                  <c:v>171.43215609711328</c:v>
                </c:pt>
                <c:pt idx="17">
                  <c:v>195.52394332084884</c:v>
                </c:pt>
                <c:pt idx="18">
                  <c:v>219.54672196983498</c:v>
                </c:pt>
                <c:pt idx="19">
                  <c:v>190.86670891760676</c:v>
                </c:pt>
                <c:pt idx="20">
                  <c:v>213.86965334974411</c:v>
                </c:pt>
                <c:pt idx="21">
                  <c:v>236.81560804160597</c:v>
                </c:pt>
                <c:pt idx="22">
                  <c:v>259.71087111615634</c:v>
                </c:pt>
                <c:pt idx="23">
                  <c:v>282.56053853494797</c:v>
                </c:pt>
                <c:pt idx="24">
                  <c:v>235.19675671623455</c:v>
                </c:pt>
                <c:pt idx="25">
                  <c:v>254.68019125492972</c:v>
                </c:pt>
                <c:pt idx="26">
                  <c:v>274.129893403339</c:v>
                </c:pt>
                <c:pt idx="27">
                  <c:v>293.54859261186851</c:v>
                </c:pt>
                <c:pt idx="28">
                  <c:v>312.93862766627666</c:v>
                </c:pt>
                <c:pt idx="29">
                  <c:v>332.30202385642195</c:v>
                </c:pt>
                <c:pt idx="30">
                  <c:v>351.64055120002314</c:v>
                </c:pt>
                <c:pt idx="31">
                  <c:v>369.4987981688775</c:v>
                </c:pt>
                <c:pt idx="32">
                  <c:v>387.33822121677053</c:v>
                </c:pt>
                <c:pt idx="33">
                  <c:v>405.15980898705612</c:v>
                </c:pt>
                <c:pt idx="34">
                  <c:v>422.96445608157745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topLeftCell="A28" zoomScale="90" zoomScaleNormal="90" workbookViewId="0">
      <selection activeCell="C11" sqref="C11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3" t="s">
        <v>190</v>
      </c>
      <c r="D1" s="293"/>
      <c r="E1" s="293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36.44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36</v>
      </c>
      <c r="C9" s="35">
        <v>0.19500000000000001</v>
      </c>
      <c r="D9" s="36">
        <f t="shared" ref="D9:D18" si="0">C9*$C$5</f>
        <v>7.1057999999999995</v>
      </c>
      <c r="E9" s="37">
        <v>30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 t="s">
        <v>36</v>
      </c>
      <c r="C10" s="35">
        <v>0.8</v>
      </c>
      <c r="D10" s="36">
        <f t="shared" si="0"/>
        <v>29.152000000000001</v>
      </c>
      <c r="E10" s="37">
        <v>34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0.99500000000000011</v>
      </c>
      <c r="D19" s="41">
        <f>SUM(D9:D18)</f>
        <v>36.257800000000003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0.2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0.15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Pin maritime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4" t="s">
        <v>186</v>
      </c>
      <c r="D34" s="294"/>
      <c r="E34" s="295" t="s">
        <v>187</v>
      </c>
      <c r="F34" s="296"/>
      <c r="G34" s="296"/>
      <c r="H34" s="297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12</v>
      </c>
      <c r="B36" s="63">
        <v>106</v>
      </c>
      <c r="C36" s="63">
        <v>1</v>
      </c>
      <c r="D36" s="63">
        <v>34</v>
      </c>
      <c r="E36" s="54"/>
      <c r="F36" s="54"/>
      <c r="G36" s="54">
        <v>1</v>
      </c>
      <c r="H36" s="54"/>
      <c r="I36" s="52">
        <f>IFERROR(B36/A36,"")</f>
        <v>8.8333333333333339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17</v>
      </c>
      <c r="B37" s="63">
        <v>176</v>
      </c>
      <c r="C37" s="63">
        <v>2</v>
      </c>
      <c r="D37" s="63">
        <v>43</v>
      </c>
      <c r="E37" s="54">
        <v>0.2</v>
      </c>
      <c r="F37" s="54"/>
      <c r="G37" s="54">
        <v>0.8</v>
      </c>
      <c r="H37" s="54"/>
      <c r="I37" s="56">
        <f t="shared" ref="I37:I55" si="1">IF(A37&lt;&gt;0,(B37-(B36-D36))/(A37-A36),"")</f>
        <v>20.8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22</v>
      </c>
      <c r="B38" s="63">
        <v>232</v>
      </c>
      <c r="C38" s="63">
        <v>3</v>
      </c>
      <c r="D38" s="63">
        <v>56</v>
      </c>
      <c r="E38" s="54">
        <v>0.4</v>
      </c>
      <c r="F38" s="54"/>
      <c r="G38" s="54">
        <v>0.6</v>
      </c>
      <c r="H38" s="54"/>
      <c r="I38" s="56">
        <f t="shared" si="1"/>
        <v>19.8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30</v>
      </c>
      <c r="B39" s="63">
        <v>309</v>
      </c>
      <c r="C39" s="63">
        <v>4</v>
      </c>
      <c r="D39" s="63">
        <v>309</v>
      </c>
      <c r="E39" s="54">
        <v>0.4</v>
      </c>
      <c r="F39" s="54">
        <v>0.4</v>
      </c>
      <c r="G39" s="54">
        <v>0.2</v>
      </c>
      <c r="H39" s="54"/>
      <c r="I39" s="52">
        <f t="shared" si="1"/>
        <v>16.625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/>
      <c r="B40" s="63"/>
      <c r="C40" s="63"/>
      <c r="D40" s="63"/>
      <c r="E40" s="54"/>
      <c r="F40" s="54"/>
      <c r="G40" s="54"/>
      <c r="H40" s="54"/>
      <c r="I40" s="52" t="str">
        <f t="shared" si="1"/>
        <v/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/>
      <c r="B41" s="63"/>
      <c r="C41" s="63"/>
      <c r="D41" s="63"/>
      <c r="E41" s="54"/>
      <c r="F41" s="54"/>
      <c r="G41" s="54"/>
      <c r="H41" s="54"/>
      <c r="I41" s="56" t="str">
        <f t="shared" si="1"/>
        <v/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/>
      <c r="B42" s="63"/>
      <c r="C42" s="63"/>
      <c r="D42" s="63"/>
      <c r="E42" s="54"/>
      <c r="F42" s="54"/>
      <c r="G42" s="54"/>
      <c r="H42" s="54"/>
      <c r="I42" s="56" t="str">
        <f t="shared" si="1"/>
        <v/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>Pin maritime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4" t="s">
        <v>186</v>
      </c>
      <c r="D60" s="294"/>
      <c r="E60" s="295" t="s">
        <v>187</v>
      </c>
      <c r="F60" s="296"/>
      <c r="G60" s="296"/>
      <c r="H60" s="297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>
        <v>13</v>
      </c>
      <c r="B62" s="63">
        <v>101</v>
      </c>
      <c r="C62" s="63">
        <v>1</v>
      </c>
      <c r="D62" s="63">
        <v>28</v>
      </c>
      <c r="E62" s="54"/>
      <c r="F62" s="54"/>
      <c r="G62" s="54">
        <v>1</v>
      </c>
      <c r="H62" s="54"/>
      <c r="I62" s="56">
        <f>IFERROR(B62/A62,"")</f>
        <v>7.7692307692307692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>
        <v>18</v>
      </c>
      <c r="B63" s="63">
        <v>166</v>
      </c>
      <c r="C63" s="63">
        <v>2</v>
      </c>
      <c r="D63" s="63">
        <v>40</v>
      </c>
      <c r="E63" s="54">
        <v>0.25</v>
      </c>
      <c r="F63" s="54"/>
      <c r="G63" s="54">
        <v>0.75</v>
      </c>
      <c r="H63" s="54"/>
      <c r="I63" s="52">
        <f>IF(A63&lt;&gt;0,(B63-(B62-D62))/(A63-A62),"")</f>
        <v>18.600000000000001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>
        <v>23</v>
      </c>
      <c r="B64" s="63">
        <v>215</v>
      </c>
      <c r="C64" s="63">
        <v>3</v>
      </c>
      <c r="D64" s="63">
        <v>52</v>
      </c>
      <c r="E64" s="54">
        <v>0.5</v>
      </c>
      <c r="F64" s="54"/>
      <c r="G64" s="54">
        <v>0.5</v>
      </c>
      <c r="H64" s="54"/>
      <c r="I64" s="52">
        <f>IF(A64&lt;&gt;0,(B64-(B63-D63))/(A64-A63),"")</f>
        <v>17.8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>
        <v>30</v>
      </c>
      <c r="B65" s="63">
        <v>269</v>
      </c>
      <c r="C65" s="63">
        <v>4</v>
      </c>
      <c r="D65" s="63">
        <v>0</v>
      </c>
      <c r="E65" s="54"/>
      <c r="F65" s="54"/>
      <c r="G65" s="54"/>
      <c r="H65" s="54"/>
      <c r="I65" s="52">
        <f>IF(A65&lt;&gt;0,(B65-(B64-D64))/(A65-A64),"")</f>
        <v>15.142857142857142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>
        <v>34</v>
      </c>
      <c r="B66" s="63">
        <v>325</v>
      </c>
      <c r="C66" s="63">
        <v>5</v>
      </c>
      <c r="D66" s="63">
        <v>325</v>
      </c>
      <c r="E66" s="54">
        <v>0.7</v>
      </c>
      <c r="F66" s="54"/>
      <c r="G66" s="54">
        <v>0.3</v>
      </c>
      <c r="H66" s="54"/>
      <c r="I66" s="52">
        <f t="shared" ref="I66:I81" si="2">IF(A66&lt;&gt;0,(B66-(B65-D65))/(A66-A65),"")</f>
        <v>14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/>
      <c r="B67" s="63"/>
      <c r="C67" s="63"/>
      <c r="D67" s="63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/>
      <c r="B68" s="63"/>
      <c r="C68" s="63"/>
      <c r="D68" s="6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4" t="s">
        <v>186</v>
      </c>
      <c r="D86" s="294"/>
      <c r="E86" s="295" t="s">
        <v>187</v>
      </c>
      <c r="F86" s="296"/>
      <c r="G86" s="296"/>
      <c r="H86" s="297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4" t="s">
        <v>186</v>
      </c>
      <c r="D112" s="294"/>
      <c r="E112" s="295" t="s">
        <v>187</v>
      </c>
      <c r="F112" s="296"/>
      <c r="G112" s="296"/>
      <c r="H112" s="297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4" t="s">
        <v>186</v>
      </c>
      <c r="D138" s="294"/>
      <c r="E138" s="295" t="s">
        <v>187</v>
      </c>
      <c r="F138" s="296"/>
      <c r="G138" s="296"/>
      <c r="H138" s="297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4" t="s">
        <v>186</v>
      </c>
      <c r="D164" s="294"/>
      <c r="E164" s="295" t="s">
        <v>187</v>
      </c>
      <c r="F164" s="296"/>
      <c r="G164" s="296"/>
      <c r="H164" s="297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4" t="s">
        <v>186</v>
      </c>
      <c r="D190" s="294"/>
      <c r="E190" s="295" t="s">
        <v>187</v>
      </c>
      <c r="F190" s="296"/>
      <c r="G190" s="296"/>
      <c r="H190" s="297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4" t="s">
        <v>186</v>
      </c>
      <c r="D216" s="294"/>
      <c r="E216" s="295" t="s">
        <v>187</v>
      </c>
      <c r="F216" s="296"/>
      <c r="G216" s="296"/>
      <c r="H216" s="297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4" t="s">
        <v>186</v>
      </c>
      <c r="D242" s="294"/>
      <c r="E242" s="295" t="s">
        <v>187</v>
      </c>
      <c r="F242" s="296"/>
      <c r="G242" s="296"/>
      <c r="H242" s="297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4" t="s">
        <v>186</v>
      </c>
      <c r="D268" s="294"/>
      <c r="E268" s="295" t="s">
        <v>187</v>
      </c>
      <c r="F268" s="296"/>
      <c r="G268" s="296"/>
      <c r="H268" s="297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G25" sqref="G25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0</v>
      </c>
      <c r="C8" s="52" t="s">
        <v>177</v>
      </c>
      <c r="D8" s="25"/>
      <c r="E8" s="114">
        <v>4</v>
      </c>
      <c r="F8" s="64">
        <v>1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1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36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0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Pin maritime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>Pin maritime</v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/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/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10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293.33333333333331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293.33333333333331</v>
      </c>
      <c r="S3" s="62">
        <f ca="1">AVERAGE(OFFSET($R$3,0,0,'Données projet'!$E$9+1,1))-AVERAGE(OFFSET($H$3,0,0,'Données projet'!$E$9+1,1))</f>
        <v>147.72913422715322</v>
      </c>
      <c r="T3" s="62">
        <f>IF('Données projet'!E9&gt;30,$R$33-$H$33,LOOKUP('Données projet'!$E$9,$A$3:$A$203,R3:R203)-LOOKUP('Données projet'!$E$9,$A$3:$A$203,$H$3:$H$203))</f>
        <v>361.07991692964799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293.33333333333331</v>
      </c>
      <c r="AN3" s="62">
        <f ca="1">AVERAGE(OFFSET($AM$3,0,0,'Données projet'!$E$10+1,1))-AVERAGE(OFFSET($H$3,0,0,'Données projet'!$E$10+1,1))</f>
        <v>151.58413719376074</v>
      </c>
      <c r="AO3" s="62">
        <f>IF('Données projet'!E10&gt;30,$AM$33-$H$33,LOOKUP('Données projet'!$E$10,$A$3:$A$203,AM3:AM203)-LOOKUP('Données projet'!$E$10,$A$3:$A$203,$H$3:$H$203))</f>
        <v>310.105543138185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0.59800000000000009</v>
      </c>
      <c r="D4" s="12">
        <f>IFERROR(EXP(-1.0587+0.8836*LN(C4)+0.284),0)</f>
        <v>0.29258040116091422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10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6.8746557282596896</v>
      </c>
      <c r="H4" s="70">
        <f t="shared" ref="H4:H67" si="1">(B4+E4+F4)*44/12+(C4+D4)*0.475*44/12</f>
        <v>294.8844275320219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8.8333333333333339</v>
      </c>
      <c r="N4" s="14">
        <f>IF('Données projet'!$A$36&gt;35,N3+M4-V3,IF(A4&lt;'Données projet'!$A$36,$K$205^A4,IF(A4='Données projet'!$A$36,'Données projet'!$B$36,N3+M4-V3)))</f>
        <v>1.4749438547769935</v>
      </c>
      <c r="O4" s="14">
        <f>N4*VLOOKUP('Données projet'!$B$9,Paramètres!$A$1:$I$89,3,0)*VLOOKUP('Données projet'!$B$9,Paramètres!$A$1:$I$89,5,0)</f>
        <v>0.88201642515664225</v>
      </c>
      <c r="P4" s="14">
        <f>EXP(-1.0587+0.8836*LN(O4)+0.284)</f>
        <v>0.4124537465701128</v>
      </c>
      <c r="Q4" s="22">
        <f t="shared" ref="Q4:Q34" si="2">(O4+P4)*0.475*44/12</f>
        <v>2.254535549090765</v>
      </c>
      <c r="R4" s="62">
        <f t="shared" si="0"/>
        <v>295.58786888242406</v>
      </c>
      <c r="S4" s="62">
        <f ca="1">AVERAGE(OFFSET($R$3,0,0,'Données projet'!$E$9+1,1))-AVERAGE(OFFSET($H$3,0,0,'Données projet'!$E$9+1,1))</f>
        <v>147.72913422715322</v>
      </c>
      <c r="T4" s="62">
        <f>$T$3</f>
        <v>361.07991692964799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7.7692307692307692</v>
      </c>
      <c r="AI4" s="14">
        <f>IF('Données projet'!$A$62&gt;35,AI3+AH4-AQ3,IF(A4&lt;'Données projet'!$A$62,$AF$205^A4,IF(A4='Données projet'!$A$62,'Données projet'!$B$62,AI3+AH4-AQ3)))</f>
        <v>1.4261938757879591</v>
      </c>
      <c r="AJ4" s="14">
        <f>AI4*VLOOKUP('Données projet'!$B$10,Paramètres!$A$1:$I$89,3,0)*VLOOKUP('Données projet'!$B$10,Paramètres!$A$1:$I$89,5,0)</f>
        <v>0.85286393772119951</v>
      </c>
      <c r="AK4" s="14">
        <f>EXP(-1.0587+0.8836*LN(AJ4)+0.284)</f>
        <v>0.40038464441801103</v>
      </c>
      <c r="AL4" s="22">
        <f t="shared" ref="AL4:AL67" si="4">(AJ4+AK4)*0.475*44/12</f>
        <v>2.1827412805591249</v>
      </c>
      <c r="AM4" s="62">
        <f t="shared" ref="AM4:AM67" si="5">AL4+(AD4+AE4)*44/12</f>
        <v>295.51607461389244</v>
      </c>
      <c r="AN4" s="62">
        <f ca="1">AVERAGE(OFFSET($AM$3,0,0,'Données projet'!$E$10+1,1))-AVERAGE(OFFSET($H$3,0,0,'Données projet'!$E$10+1,1))</f>
        <v>151.58413719376074</v>
      </c>
      <c r="AO4" s="62">
        <f>$AO$3</f>
        <v>310.105543138185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1.1960000000000002</v>
      </c>
      <c r="D5" s="12">
        <f t="shared" ref="D5:D68" si="32">IFERROR(EXP(-1.0587+0.8836*LN(C5)+0.284),0)</f>
        <v>0.53980305140256757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10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13.399181449423331</v>
      </c>
      <c r="H5" s="70">
        <f t="shared" si="1"/>
        <v>296.35652364785943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8.8333333333333339</v>
      </c>
      <c r="N5" s="14">
        <f>IF('Données projet'!$A$36&gt;35,N4+M5-V4,IF(A5&lt;'Données projet'!$A$36,$K$205^A5,IF(A5='Données projet'!$A$36,'Données projet'!$B$36,N4+M5-V4)))</f>
        <v>2.1754593747444169</v>
      </c>
      <c r="O5" s="14">
        <f>N5*VLOOKUP('Données projet'!$B$9,Paramètres!$A$1:$I$89,3,0)*VLOOKUP('Données projet'!$B$9,Paramètres!$A$1:$I$89,5,0)</f>
        <v>1.3009247060971614</v>
      </c>
      <c r="P5" s="14">
        <f t="shared" ref="P5:P68" si="33">EXP(-1.0587+0.8836*LN(O5)+0.284)</f>
        <v>0.58144049425293109</v>
      </c>
      <c r="Q5" s="22">
        <f t="shared" si="2"/>
        <v>3.2784527239430776</v>
      </c>
      <c r="R5" s="62">
        <f t="shared" si="0"/>
        <v>296.61178605727639</v>
      </c>
      <c r="S5" s="62">
        <f ca="1">AVERAGE(OFFSET($R$3,0,0,'Données projet'!$E$9+1,1))-AVERAGE(OFFSET($H$3,0,0,'Données projet'!$E$9+1,1))</f>
        <v>147.72913422715322</v>
      </c>
      <c r="T5" s="62">
        <f t="shared" ref="T5:T68" si="34">$T$3</f>
        <v>361.07991692964799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7.7692307692307692</v>
      </c>
      <c r="AI5" s="14">
        <f>IF('Données projet'!$A$62&gt;35,AI4+AH5-AQ4,IF(A5&lt;'Données projet'!$A$62,$AF$205^A5,IF(A5='Données projet'!$A$62,'Données projet'!$B$62,AI4+AH5-AQ4)))</f>
        <v>2.0340289713350805</v>
      </c>
      <c r="AJ5" s="14">
        <f>AI5*VLOOKUP('Données projet'!$B$10,Paramètres!$A$1:$I$89,3,0)*VLOOKUP('Données projet'!$B$10,Paramètres!$A$1:$I$89,5,0)</f>
        <v>1.2163493248583781</v>
      </c>
      <c r="AK5" s="14">
        <f t="shared" ref="AK5:AK68" si="35">EXP(-1.0587+0.8836*LN(AJ5)+0.284)</f>
        <v>0.54791046443869817</v>
      </c>
      <c r="AL5" s="22">
        <f t="shared" si="4"/>
        <v>3.072752466359074</v>
      </c>
      <c r="AM5" s="62">
        <f t="shared" si="5"/>
        <v>296.40608579969239</v>
      </c>
      <c r="AN5" s="62">
        <f ca="1">AVERAGE(OFFSET($AM$3,0,0,'Données projet'!$E$10+1,1))-AVERAGE(OFFSET($H$3,0,0,'Données projet'!$E$10+1,1))</f>
        <v>151.58413719376074</v>
      </c>
      <c r="AO5" s="62">
        <f t="shared" ref="AO5:AO68" si="36">$AO$3</f>
        <v>310.105543138185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1.7940000000000003</v>
      </c>
      <c r="D6" s="12">
        <f t="shared" si="32"/>
        <v>0.77237742491396744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10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19.810632753721858</v>
      </c>
      <c r="H6" s="70">
        <f t="shared" si="1"/>
        <v>297.80310734839179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8.8333333333333339</v>
      </c>
      <c r="N6" s="14">
        <f>IF('Données projet'!$A$36&gt;35,N5+M6-V5,IF(A6&lt;'Données projet'!$A$36,$K$205^A6,IF(A6='Données projet'!$A$36,'Données projet'!$B$36,N5+M6-V5)))</f>
        <v>3.2086804360962784</v>
      </c>
      <c r="O6" s="14">
        <f>N6*VLOOKUP('Données projet'!$B$9,Paramètres!$A$1:$I$89,3,0)*VLOOKUP('Données projet'!$B$9,Paramètres!$A$1:$I$89,5,0)</f>
        <v>1.9187909007855746</v>
      </c>
      <c r="P6" s="14">
        <f t="shared" si="33"/>
        <v>0.81966293473739615</v>
      </c>
      <c r="Q6" s="22">
        <f t="shared" si="2"/>
        <v>4.7694737635358404</v>
      </c>
      <c r="R6" s="62">
        <f t="shared" si="0"/>
        <v>298.10280709686913</v>
      </c>
      <c r="S6" s="62">
        <f ca="1">AVERAGE(OFFSET($R$3,0,0,'Données projet'!$E$9+1,1))-AVERAGE(OFFSET($H$3,0,0,'Données projet'!$E$9+1,1))</f>
        <v>147.72913422715322</v>
      </c>
      <c r="T6" s="62">
        <f t="shared" si="34"/>
        <v>361.07991692964799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7.7692307692307692</v>
      </c>
      <c r="AI6" s="14">
        <f>IF('Données projet'!$A$62&gt;35,AI5+AH6-AQ5,IF(A6&lt;'Données projet'!$A$62,$AF$205^A6,IF(A6='Données projet'!$A$62,'Données projet'!$B$62,AI5+AH6-AQ5)))</f>
        <v>2.9009196620933739</v>
      </c>
      <c r="AJ6" s="14">
        <f>AI6*VLOOKUP('Données projet'!$B$10,Paramètres!$A$1:$I$89,3,0)*VLOOKUP('Données projet'!$B$10,Paramètres!$A$1:$I$89,5,0)</f>
        <v>1.7347499579318377</v>
      </c>
      <c r="AK6" s="14">
        <f t="shared" si="35"/>
        <v>0.74979368271678282</v>
      </c>
      <c r="AL6" s="22">
        <f t="shared" si="4"/>
        <v>4.3272468407963478</v>
      </c>
      <c r="AM6" s="62">
        <f t="shared" si="5"/>
        <v>297.66058017412968</v>
      </c>
      <c r="AN6" s="62">
        <f ca="1">AVERAGE(OFFSET($AM$3,0,0,'Données projet'!$E$10+1,1))-AVERAGE(OFFSET($H$3,0,0,'Données projet'!$E$10+1,1))</f>
        <v>151.58413719376074</v>
      </c>
      <c r="AO6" s="62">
        <f t="shared" si="36"/>
        <v>310.105543138185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2.3920000000000003</v>
      </c>
      <c r="D7" s="12">
        <f t="shared" si="32"/>
        <v>0.99592225982103644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10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26.152382356513268</v>
      </c>
      <c r="H7" s="70">
        <f t="shared" si="1"/>
        <v>299.23396460252161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8.8333333333333339</v>
      </c>
      <c r="N7" s="14">
        <f>IF('Données projet'!$A$36&gt;35,N6+M7-V6,IF(A7&lt;'Données projet'!$A$36,$K$205^A7,IF(A7='Données projet'!$A$36,'Données projet'!$B$36,N6+M7-V6)))</f>
        <v>4.7326234911633689</v>
      </c>
      <c r="O7" s="14">
        <f>N7*VLOOKUP('Données projet'!$B$9,Paramètres!$A$1:$I$89,3,0)*VLOOKUP('Données projet'!$B$9,Paramètres!$A$1:$I$89,5,0)</f>
        <v>2.8301088477156946</v>
      </c>
      <c r="P7" s="14">
        <f t="shared" si="33"/>
        <v>1.1554876779704684</v>
      </c>
      <c r="Q7" s="22">
        <f t="shared" si="2"/>
        <v>6.9415806155700679</v>
      </c>
      <c r="R7" s="62">
        <f t="shared" si="0"/>
        <v>300.27491394890336</v>
      </c>
      <c r="S7" s="62">
        <f ca="1">AVERAGE(OFFSET($R$3,0,0,'Données projet'!$E$9+1,1))-AVERAGE(OFFSET($H$3,0,0,'Données projet'!$E$9+1,1))</f>
        <v>147.72913422715322</v>
      </c>
      <c r="T7" s="62">
        <f t="shared" si="34"/>
        <v>361.07991692964799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7.7692307692307692</v>
      </c>
      <c r="AI7" s="14">
        <f>IF('Données projet'!$A$62&gt;35,AI6+AH7-AQ6,IF(A7&lt;'Données projet'!$A$62,$AF$205^A7,IF(A7='Données projet'!$A$62,'Données projet'!$B$62,AI6+AH7-AQ6)))</f>
        <v>4.1372738562304461</v>
      </c>
      <c r="AJ7" s="14">
        <f>AI7*VLOOKUP('Données projet'!$B$10,Paramètres!$A$1:$I$89,3,0)*VLOOKUP('Données projet'!$B$10,Paramètres!$A$1:$I$89,5,0)</f>
        <v>2.474089766025807</v>
      </c>
      <c r="AK7" s="14">
        <f t="shared" si="35"/>
        <v>1.0260628389675426</v>
      </c>
      <c r="AL7" s="22">
        <f t="shared" si="4"/>
        <v>6.0960991203634167</v>
      </c>
      <c r="AM7" s="62">
        <f t="shared" si="5"/>
        <v>299.42943245369673</v>
      </c>
      <c r="AN7" s="62">
        <f ca="1">AVERAGE(OFFSET($AM$3,0,0,'Données projet'!$E$10+1,1))-AVERAGE(OFFSET($H$3,0,0,'Données projet'!$E$10+1,1))</f>
        <v>151.58413719376074</v>
      </c>
      <c r="AO7" s="62">
        <f t="shared" si="36"/>
        <v>310.105543138185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2.99</v>
      </c>
      <c r="D8" s="12">
        <f t="shared" si="32"/>
        <v>1.2129841524368585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10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32.444088194249439</v>
      </c>
      <c r="H8" s="70">
        <f t="shared" si="1"/>
        <v>300.65353073216085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8.8333333333333339</v>
      </c>
      <c r="N8" s="14">
        <f>IF('Données projet'!$A$36&gt;35,N7+M8-V7,IF(A8&lt;'Données projet'!$A$36,$K$205^A8,IF(A8='Données projet'!$A$36,'Données projet'!$B$36,N7+M8-V7)))</f>
        <v>6.9803539352646524</v>
      </c>
      <c r="O8" s="14">
        <f>N8*VLOOKUP('Données projet'!$B$9,Paramètres!$A$1:$I$89,3,0)*VLOOKUP('Données projet'!$B$9,Paramètres!$A$1:$I$89,5,0)</f>
        <v>4.1742516532882625</v>
      </c>
      <c r="P8" s="14">
        <f t="shared" si="33"/>
        <v>1.6289034398869595</v>
      </c>
      <c r="Q8" s="22">
        <f t="shared" si="2"/>
        <v>10.107161787280178</v>
      </c>
      <c r="R8" s="62">
        <f t="shared" si="0"/>
        <v>303.44049512061349</v>
      </c>
      <c r="S8" s="62">
        <f ca="1">AVERAGE(OFFSET($R$3,0,0,'Données projet'!$E$9+1,1))-AVERAGE(OFFSET($H$3,0,0,'Données projet'!$E$9+1,1))</f>
        <v>147.72913422715322</v>
      </c>
      <c r="T8" s="62">
        <f t="shared" si="34"/>
        <v>361.07991692964799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7.7692307692307692</v>
      </c>
      <c r="AI8" s="14">
        <f>IF('Données projet'!$A$62&gt;35,AI7+AH8-AQ7,IF(A8&lt;'Données projet'!$A$62,$AF$205^A8,IF(A8='Données projet'!$A$62,'Données projet'!$B$62,AI7+AH8-AQ7)))</f>
        <v>5.9005546362134957</v>
      </c>
      <c r="AJ8" s="14">
        <f>AI8*VLOOKUP('Données projet'!$B$10,Paramètres!$A$1:$I$89,3,0)*VLOOKUP('Données projet'!$B$10,Paramètres!$A$1:$I$89,5,0)</f>
        <v>3.5285316724556708</v>
      </c>
      <c r="AK8" s="14">
        <f t="shared" si="35"/>
        <v>1.404126193348852</v>
      </c>
      <c r="AL8" s="22">
        <f t="shared" si="4"/>
        <v>8.5910457829428761</v>
      </c>
      <c r="AM8" s="62">
        <f t="shared" si="5"/>
        <v>301.92437911627621</v>
      </c>
      <c r="AN8" s="62">
        <f ca="1">AVERAGE(OFFSET($AM$3,0,0,'Données projet'!$E$10+1,1))-AVERAGE(OFFSET($H$3,0,0,'Données projet'!$E$10+1,1))</f>
        <v>151.58413719376074</v>
      </c>
      <c r="AO8" s="62">
        <f t="shared" si="36"/>
        <v>310.105543138185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3.5880000000000001</v>
      </c>
      <c r="D9" s="12">
        <f t="shared" si="32"/>
        <v>1.4250157876217819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10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38.696963974624289</v>
      </c>
      <c r="H9" s="70">
        <f t="shared" si="1"/>
        <v>302.06433583010789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8.8333333333333339</v>
      </c>
      <c r="N9" s="14">
        <f>IF('Données projet'!$A$36&gt;35,N8+M9-V8,IF(A9&lt;'Données projet'!$A$36,$K$205^A9,IF(A9='Données projet'!$A$36,'Données projet'!$B$36,N8+M9-V8)))</f>
        <v>10.295630140987003</v>
      </c>
      <c r="O9" s="14">
        <f>N9*VLOOKUP('Données projet'!$B$9,Paramètres!$A$1:$I$89,3,0)*VLOOKUP('Données projet'!$B$9,Paramètres!$A$1:$I$89,5,0)</f>
        <v>6.1567868243102275</v>
      </c>
      <c r="P9" s="14">
        <f t="shared" si="33"/>
        <v>2.2962827445602434</v>
      </c>
      <c r="Q9" s="22">
        <f t="shared" si="2"/>
        <v>14.722429499116073</v>
      </c>
      <c r="R9" s="62">
        <f t="shared" si="0"/>
        <v>308.05576283244937</v>
      </c>
      <c r="S9" s="62">
        <f ca="1">AVERAGE(OFFSET($R$3,0,0,'Données projet'!$E$9+1,1))-AVERAGE(OFFSET($H$3,0,0,'Données projet'!$E$9+1,1))</f>
        <v>147.72913422715322</v>
      </c>
      <c r="T9" s="62">
        <f t="shared" si="34"/>
        <v>361.07991692964799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7.7692307692307692</v>
      </c>
      <c r="AI9" s="14">
        <f>IF('Données projet'!$A$62&gt;35,AI8+AH9-AQ8,IF(A9&lt;'Données projet'!$A$62,$AF$205^A9,IF(A9='Données projet'!$A$62,'Données projet'!$B$62,AI8+AH9-AQ8)))</f>
        <v>8.4153348859199362</v>
      </c>
      <c r="AJ9" s="14">
        <f>AI9*VLOOKUP('Données projet'!$B$10,Paramètres!$A$1:$I$89,3,0)*VLOOKUP('Données projet'!$B$10,Paramètres!$A$1:$I$89,5,0)</f>
        <v>5.0323702617801223</v>
      </c>
      <c r="AK9" s="14">
        <f t="shared" si="35"/>
        <v>1.9214908599868947</v>
      </c>
      <c r="AL9" s="22">
        <f t="shared" si="4"/>
        <v>12.111308120410888</v>
      </c>
      <c r="AM9" s="62">
        <f t="shared" si="5"/>
        <v>305.44464145374423</v>
      </c>
      <c r="AN9" s="62">
        <f ca="1">AVERAGE(OFFSET($AM$3,0,0,'Données projet'!$E$10+1,1))-AVERAGE(OFFSET($H$3,0,0,'Données projet'!$E$10+1,1))</f>
        <v>151.58413719376074</v>
      </c>
      <c r="AO9" s="62">
        <f t="shared" si="36"/>
        <v>310.105543138185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4.1859999999999999</v>
      </c>
      <c r="D10" s="12">
        <f t="shared" si="32"/>
        <v>1.6329536551363955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10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44.918238741403762</v>
      </c>
      <c r="H10" s="70">
        <f t="shared" si="1"/>
        <v>303.46801094936251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8.8333333333333339</v>
      </c>
      <c r="N10" s="14">
        <f>IF('Données projet'!$A$36&gt;35,N9+M10-V9,IF(A10&lt;'Données projet'!$A$36,$K$205^A10,IF(A10='Données projet'!$A$36,'Données projet'!$B$36,N9+M10-V9)))</f>
        <v>15.18547640750557</v>
      </c>
      <c r="O10" s="14">
        <f>N10*VLOOKUP('Données projet'!$B$9,Paramètres!$A$1:$I$89,3,0)*VLOOKUP('Données projet'!$B$9,Paramètres!$A$1:$I$89,5,0)</f>
        <v>9.080914891688332</v>
      </c>
      <c r="P10" s="14">
        <f t="shared" si="33"/>
        <v>3.2370945470721373</v>
      </c>
      <c r="Q10" s="22">
        <f t="shared" si="2"/>
        <v>21.45386643917448</v>
      </c>
      <c r="R10" s="62">
        <f t="shared" si="0"/>
        <v>314.78719977250779</v>
      </c>
      <c r="S10" s="62">
        <f ca="1">AVERAGE(OFFSET($R$3,0,0,'Données projet'!$E$9+1,1))-AVERAGE(OFFSET($H$3,0,0,'Données projet'!$E$9+1,1))</f>
        <v>147.72913422715322</v>
      </c>
      <c r="T10" s="62">
        <f t="shared" si="34"/>
        <v>361.07991692964799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7.7692307692307692</v>
      </c>
      <c r="AI10" s="14">
        <f>IF('Données projet'!$A$62&gt;35,AI9+AH10-AQ9,IF(A10&lt;'Données projet'!$A$62,$AF$205^A10,IF(A10='Données projet'!$A$62,'Données projet'!$B$62,AI9+AH10-AQ9)))</f>
        <v>12.001899077003776</v>
      </c>
      <c r="AJ10" s="14">
        <f>AI10*VLOOKUP('Données projet'!$B$10,Paramètres!$A$1:$I$89,3,0)*VLOOKUP('Données projet'!$B$10,Paramètres!$A$1:$I$89,5,0)</f>
        <v>7.1771356480482584</v>
      </c>
      <c r="AK10" s="14">
        <f t="shared" si="35"/>
        <v>2.6294838330787229</v>
      </c>
      <c r="AL10" s="22">
        <f t="shared" si="4"/>
        <v>17.079862262962827</v>
      </c>
      <c r="AM10" s="62">
        <f t="shared" si="5"/>
        <v>310.41319559629613</v>
      </c>
      <c r="AN10" s="62">
        <f ca="1">AVERAGE(OFFSET($AM$3,0,0,'Données projet'!$E$10+1,1))-AVERAGE(OFFSET($H$3,0,0,'Données projet'!$E$10+1,1))</f>
        <v>151.58413719376074</v>
      </c>
      <c r="AO10" s="62">
        <f t="shared" si="36"/>
        <v>310.105543138185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4.7839999999999998</v>
      </c>
      <c r="D11" s="12">
        <f t="shared" si="32"/>
        <v>1.8374500570715413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10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51.112947808973303</v>
      </c>
      <c r="H11" s="70">
        <f t="shared" si="1"/>
        <v>304.86569218273291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8.8333333333333339</v>
      </c>
      <c r="N11" s="14">
        <f>IF('Données projet'!$A$36&gt;35,N10+M11-V10,IF(A11&lt;'Données projet'!$A$36,$K$205^A11,IF(A11='Données projet'!$A$36,'Données projet'!$B$36,N10+M11-V10)))</f>
        <v>22.397725109111352</v>
      </c>
      <c r="O11" s="14">
        <f>N11*VLOOKUP('Données projet'!$B$9,Paramètres!$A$1:$I$89,3,0)*VLOOKUP('Données projet'!$B$9,Paramètres!$A$1:$I$89,5,0)</f>
        <v>13.39383961524859</v>
      </c>
      <c r="P11" s="14">
        <f t="shared" si="33"/>
        <v>4.5633670903584358</v>
      </c>
      <c r="Q11" s="22">
        <f t="shared" si="2"/>
        <v>31.275468345598899</v>
      </c>
      <c r="R11" s="62">
        <f t="shared" si="0"/>
        <v>324.6088016789322</v>
      </c>
      <c r="S11" s="62">
        <f ca="1">AVERAGE(OFFSET($R$3,0,0,'Données projet'!$E$9+1,1))-AVERAGE(OFFSET($H$3,0,0,'Données projet'!$E$9+1,1))</f>
        <v>147.72913422715322</v>
      </c>
      <c r="T11" s="62">
        <f t="shared" si="34"/>
        <v>361.07991692964799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7.7692307692307692</v>
      </c>
      <c r="AI11" s="14">
        <f>IF('Données projet'!$A$62&gt;35,AI10+AH11-AQ10,IF(A11&lt;'Données projet'!$A$62,$AF$205^A11,IF(A11='Données projet'!$A$62,'Données projet'!$B$62,AI10+AH11-AQ10)))</f>
        <v>17.117034961447946</v>
      </c>
      <c r="AJ11" s="14">
        <f>AI11*VLOOKUP('Données projet'!$B$10,Paramètres!$A$1:$I$89,3,0)*VLOOKUP('Données projet'!$B$10,Paramètres!$A$1:$I$89,5,0)</f>
        <v>10.235986906945872</v>
      </c>
      <c r="AK11" s="14">
        <f t="shared" si="35"/>
        <v>3.5983440631455994</v>
      </c>
      <c r="AL11" s="22">
        <f t="shared" si="4"/>
        <v>24.094793106242644</v>
      </c>
      <c r="AM11" s="62">
        <f t="shared" si="5"/>
        <v>317.42812643957598</v>
      </c>
      <c r="AN11" s="62">
        <f ca="1">AVERAGE(OFFSET($AM$3,0,0,'Données projet'!$E$10+1,1))-AVERAGE(OFFSET($H$3,0,0,'Données projet'!$E$10+1,1))</f>
        <v>151.58413719376074</v>
      </c>
      <c r="AO11" s="62">
        <f t="shared" si="36"/>
        <v>310.105543138185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5.3819999999999997</v>
      </c>
      <c r="D12" s="12">
        <f t="shared" si="32"/>
        <v>2.038984443761938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10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57.284792197460582</v>
      </c>
      <c r="H12" s="70">
        <f t="shared" si="1"/>
        <v>306.25821457288538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8.8333333333333339</v>
      </c>
      <c r="N12" s="14">
        <f>IF('Données projet'!$A$36&gt;35,N11+M12-V11,IF(A12&lt;'Données projet'!$A$36,$K$205^A12,IF(A12='Données projet'!$A$36,'Données projet'!$B$36,N11+M12-V11)))</f>
        <v>33.035387010668153</v>
      </c>
      <c r="O12" s="14">
        <f>N12*VLOOKUP('Données projet'!$B$9,Paramètres!$A$1:$I$89,3,0)*VLOOKUP('Données projet'!$B$9,Paramètres!$A$1:$I$89,5,0)</f>
        <v>19.755161432379555</v>
      </c>
      <c r="P12" s="14">
        <f t="shared" si="33"/>
        <v>6.433027796547198</v>
      </c>
      <c r="Q12" s="22">
        <f t="shared" si="2"/>
        <v>45.61109624038076</v>
      </c>
      <c r="R12" s="62">
        <f t="shared" si="0"/>
        <v>338.94442957371405</v>
      </c>
      <c r="S12" s="62">
        <f ca="1">AVERAGE(OFFSET($R$3,0,0,'Données projet'!$E$9+1,1))-AVERAGE(OFFSET($H$3,0,0,'Données projet'!$E$9+1,1))</f>
        <v>147.72913422715322</v>
      </c>
      <c r="T12" s="62">
        <f t="shared" si="34"/>
        <v>361.07991692964799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7.7692307692307692</v>
      </c>
      <c r="AI12" s="14">
        <f>IF('Données projet'!$A$62&gt;35,AI11+AH12-AQ11,IF(A12&lt;'Données projet'!$A$62,$AF$205^A12,IF(A12='Données projet'!$A$62,'Données projet'!$B$62,AI11+AH12-AQ11)))</f>
        <v>24.412210433665443</v>
      </c>
      <c r="AJ12" s="14">
        <f>AI12*VLOOKUP('Données projet'!$B$10,Paramètres!$A$1:$I$89,3,0)*VLOOKUP('Données projet'!$B$10,Paramètres!$A$1:$I$89,5,0)</f>
        <v>14.598501839331936</v>
      </c>
      <c r="AK12" s="14">
        <f t="shared" si="35"/>
        <v>4.9241907608973428</v>
      </c>
      <c r="AL12" s="22">
        <f t="shared" si="4"/>
        <v>34.002022945399325</v>
      </c>
      <c r="AM12" s="62">
        <f t="shared" si="5"/>
        <v>327.33535627873266</v>
      </c>
      <c r="AN12" s="62">
        <f ca="1">AVERAGE(OFFSET($AM$3,0,0,'Données projet'!$E$10+1,1))-AVERAGE(OFFSET($H$3,0,0,'Données projet'!$E$10+1,1))</f>
        <v>151.58413719376074</v>
      </c>
      <c r="AO12" s="62">
        <f t="shared" si="36"/>
        <v>310.105543138185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5.9799999999999995</v>
      </c>
      <c r="D13" s="12">
        <f t="shared" si="32"/>
        <v>2.2379234705753914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10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63.436602229003022</v>
      </c>
      <c r="H13" s="70">
        <f t="shared" si="1"/>
        <v>307.64621671125212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8.8333333333333339</v>
      </c>
      <c r="N13" s="14">
        <f>IF('Données projet'!$A$36&gt;35,N12+M13-V12,IF(A13&lt;'Données projet'!$A$36,$K$205^A13,IF(A13='Données projet'!$A$36,'Données projet'!$B$36,N12+M13-V12)))</f>
        <v>48.725341061564706</v>
      </c>
      <c r="O13" s="14">
        <f>N13*VLOOKUP('Données projet'!$B$9,Paramètres!$A$1:$I$89,3,0)*VLOOKUP('Données projet'!$B$9,Paramètres!$A$1:$I$89,5,0)</f>
        <v>29.137753954815693</v>
      </c>
      <c r="P13" s="14">
        <f t="shared" si="33"/>
        <v>9.0687086556296208</v>
      </c>
      <c r="Q13" s="22">
        <f t="shared" si="2"/>
        <v>66.542922379858922</v>
      </c>
      <c r="R13" s="62">
        <f t="shared" si="0"/>
        <v>359.87625571319222</v>
      </c>
      <c r="S13" s="62">
        <f ca="1">AVERAGE(OFFSET($R$3,0,0,'Données projet'!$E$9+1,1))-AVERAGE(OFFSET($H$3,0,0,'Données projet'!$E$9+1,1))</f>
        <v>147.72913422715322</v>
      </c>
      <c r="T13" s="62">
        <f t="shared" si="34"/>
        <v>361.07991692964799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7.7692307692307692</v>
      </c>
      <c r="AI13" s="14">
        <f>IF('Données projet'!$A$62&gt;35,AI12+AH13-AQ12,IF(A13&lt;'Données projet'!$A$62,$AF$205^A13,IF(A13='Données projet'!$A$62,'Données projet'!$B$62,AI12+AH13-AQ12)))</f>
        <v>34.816545014940573</v>
      </c>
      <c r="AJ13" s="14">
        <f>AI13*VLOOKUP('Données projet'!$B$10,Paramètres!$A$1:$I$89,3,0)*VLOOKUP('Données projet'!$B$10,Paramètres!$A$1:$I$89,5,0)</f>
        <v>20.820293918934464</v>
      </c>
      <c r="AK13" s="14">
        <f t="shared" si="35"/>
        <v>6.7385592439734481</v>
      </c>
      <c r="AL13" s="22">
        <f t="shared" si="4"/>
        <v>47.998335925397946</v>
      </c>
      <c r="AM13" s="62">
        <f t="shared" si="5"/>
        <v>341.33166925873127</v>
      </c>
      <c r="AN13" s="62">
        <f ca="1">AVERAGE(OFFSET($AM$3,0,0,'Données projet'!$E$10+1,1))-AVERAGE(OFFSET($H$3,0,0,'Données projet'!$E$10+1,1))</f>
        <v>151.58413719376074</v>
      </c>
      <c r="AO13" s="62">
        <f t="shared" si="36"/>
        <v>310.105543138185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6.5779999999999994</v>
      </c>
      <c r="D14" s="12">
        <f t="shared" si="32"/>
        <v>2.4345562183329115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10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69.570609404675096</v>
      </c>
      <c r="H14" s="70">
        <f t="shared" si="1"/>
        <v>309.03020208026311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8.8333333333333339</v>
      </c>
      <c r="N14" s="14">
        <f>IF('Données projet'!$A$36&gt;35,N13+M14-V13,IF(A14&lt;'Données projet'!$A$36,$K$205^A14,IF(A14='Données projet'!$A$36,'Données projet'!$B$36,N13+M14-V13)))</f>
        <v>71.867142370667978</v>
      </c>
      <c r="O14" s="14">
        <f>N14*VLOOKUP('Données projet'!$B$9,Paramètres!$A$1:$I$89,3,0)*VLOOKUP('Données projet'!$B$9,Paramètres!$A$1:$I$89,5,0)</f>
        <v>42.976551137659456</v>
      </c>
      <c r="P14" s="14">
        <f t="shared" si="33"/>
        <v>12.784256384658107</v>
      </c>
      <c r="Q14" s="22">
        <f t="shared" si="2"/>
        <v>97.116739768036425</v>
      </c>
      <c r="R14" s="62">
        <f t="shared" si="0"/>
        <v>390.45007310136975</v>
      </c>
      <c r="S14" s="62">
        <f ca="1">AVERAGE(OFFSET($R$3,0,0,'Données projet'!$E$9+1,1))-AVERAGE(OFFSET($H$3,0,0,'Données projet'!$E$9+1,1))</f>
        <v>147.72913422715322</v>
      </c>
      <c r="T14" s="62">
        <f t="shared" si="34"/>
        <v>361.07991692964799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7.7692307692307692</v>
      </c>
      <c r="AI14" s="14">
        <f>IF('Données projet'!$A$62&gt;35,AI13+AH14-AQ13,IF(A14&lt;'Données projet'!$A$62,$AF$205^A14,IF(A14='Données projet'!$A$62,'Données projet'!$B$62,AI13+AH14-AQ13)))</f>
        <v>49.65514327640404</v>
      </c>
      <c r="AJ14" s="14">
        <f>AI14*VLOOKUP('Données projet'!$B$10,Paramètres!$A$1:$I$89,3,0)*VLOOKUP('Données projet'!$B$10,Paramètres!$A$1:$I$89,5,0)</f>
        <v>29.693775679289619</v>
      </c>
      <c r="AK14" s="14">
        <f t="shared" si="35"/>
        <v>9.2214503640117265</v>
      </c>
      <c r="AL14" s="22">
        <f t="shared" si="4"/>
        <v>67.777352025416505</v>
      </c>
      <c r="AM14" s="62">
        <f t="shared" si="5"/>
        <v>361.11068535874983</v>
      </c>
      <c r="AN14" s="62">
        <f ca="1">AVERAGE(OFFSET($AM$3,0,0,'Données projet'!$E$10+1,1))-AVERAGE(OFFSET($H$3,0,0,'Données projet'!$E$10+1,1))</f>
        <v>151.58413719376074</v>
      </c>
      <c r="AO14" s="62">
        <f t="shared" si="36"/>
        <v>310.105543138185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7.1759999999999993</v>
      </c>
      <c r="D15" s="12">
        <f t="shared" si="32"/>
        <v>2.629116193028969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10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75.688616226890289</v>
      </c>
      <c r="H15" s="70">
        <f t="shared" si="1"/>
        <v>310.41057736952541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3">
        <f>VLOOKUP(A15,'Données projet'!$A$35:$I$55,2,0)</f>
        <v>106</v>
      </c>
      <c r="L15" s="13">
        <f>VLOOKUP(A15,'Données projet'!$A$35:$I$55,9,0)</f>
        <v>8.8333333333333339</v>
      </c>
      <c r="M15" s="13">
        <f t="array" ref="M15">INDEX(L:L,MIN(IF(ISNUMBER(L15:L211),ROW(L15:L211),"")))</f>
        <v>8.8333333333333339</v>
      </c>
      <c r="N15" s="14">
        <f>IF('Données projet'!$A$36&gt;35,N14+M15-V14,IF(A15&lt;'Données projet'!$A$36,$K$205^A15,IF(A15='Données projet'!$A$36,'Données projet'!$B$36,N14+M15-V14)))</f>
        <v>106</v>
      </c>
      <c r="O15" s="14">
        <f>N15*VLOOKUP('Données projet'!$B$9,Paramètres!$A$1:$I$89,3,0)*VLOOKUP('Données projet'!$B$9,Paramètres!$A$1:$I$89,5,0)</f>
        <v>63.388000000000012</v>
      </c>
      <c r="P15" s="14">
        <f t="shared" si="33"/>
        <v>18.022104085041263</v>
      </c>
      <c r="Q15" s="22">
        <f t="shared" si="2"/>
        <v>141.78926461478019</v>
      </c>
      <c r="R15" s="62">
        <f t="shared" si="0"/>
        <v>435.12259794811348</v>
      </c>
      <c r="S15" s="62">
        <f ca="1">AVERAGE(OFFSET($R$3,0,0,'Données projet'!$E$9+1,1))-AVERAGE(OFFSET($H$3,0,0,'Données projet'!$E$9+1,1))</f>
        <v>147.72913422715322</v>
      </c>
      <c r="T15" s="62">
        <f t="shared" si="34"/>
        <v>361.07991692964799</v>
      </c>
      <c r="U15" s="16">
        <f>IF(ISNA(VLOOKUP(A15,'Données projet'!$A$35:$I$55,3,0)),0,VLOOKUP(A15,'Données projet'!$A$35:$I$55,3,0))</f>
        <v>1</v>
      </c>
      <c r="V15" s="16">
        <f>IF(ISNA(VLOOKUP(A15,'Données projet'!$A$35:$I$55,4,0)),0,VLOOKUP(A15,'Données projet'!$A$35:$I$55,4,0))</f>
        <v>34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1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23.020547073308105</v>
      </c>
      <c r="AC15" s="24">
        <f t="shared" si="3"/>
        <v>23.020547073308105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7.7692307692307692</v>
      </c>
      <c r="AI15" s="14">
        <f>IF('Données projet'!$A$62&gt;35,AI14+AH15-AQ14,IF(A15&lt;'Données projet'!$A$62,$AF$205^A15,IF(A15='Données projet'!$A$62,'Données projet'!$B$62,AI14+AH15-AQ14)))</f>
        <v>70.81786124218111</v>
      </c>
      <c r="AJ15" s="14">
        <f>AI15*VLOOKUP('Données projet'!$B$10,Paramètres!$A$1:$I$89,3,0)*VLOOKUP('Données projet'!$B$10,Paramètres!$A$1:$I$89,5,0)</f>
        <v>42.349081022824308</v>
      </c>
      <c r="AK15" s="14">
        <f t="shared" si="35"/>
        <v>12.61918812867636</v>
      </c>
      <c r="AL15" s="22">
        <f t="shared" si="4"/>
        <v>95.736402105530317</v>
      </c>
      <c r="AM15" s="62">
        <f t="shared" si="5"/>
        <v>389.06973543886363</v>
      </c>
      <c r="AN15" s="62">
        <f ca="1">AVERAGE(OFFSET($AM$3,0,0,'Données projet'!$E$10+1,1))-AVERAGE(OFFSET($H$3,0,0,'Données projet'!$E$10+1,1))</f>
        <v>151.58413719376074</v>
      </c>
      <c r="AO15" s="62">
        <f t="shared" si="36"/>
        <v>310.105543138185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7.7739999999999991</v>
      </c>
      <c r="D16" s="12">
        <f t="shared" si="32"/>
        <v>2.8217957637427893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10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81.792107649944342</v>
      </c>
      <c r="H16" s="70">
        <f t="shared" si="1"/>
        <v>311.78767762185203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20.8</v>
      </c>
      <c r="N16" s="14">
        <f>IF('Données projet'!$A$36&gt;35,N15+M16-V15,IF(A16&lt;'Données projet'!$A$36,$K$205^A16,IF(A16='Données projet'!$A$36,'Données projet'!$B$36,N15+M16-V15)))</f>
        <v>92.8</v>
      </c>
      <c r="O16" s="14">
        <f>N16*VLOOKUP('Données projet'!$B$9,Paramètres!$A$1:$I$89,3,0)*VLOOKUP('Données projet'!$B$9,Paramètres!$A$1:$I$89,5,0)</f>
        <v>55.494400000000006</v>
      </c>
      <c r="P16" s="14">
        <f t="shared" si="33"/>
        <v>16.023988434505792</v>
      </c>
      <c r="Q16" s="22">
        <f t="shared" si="2"/>
        <v>124.5611931900976</v>
      </c>
      <c r="R16" s="62">
        <f t="shared" si="0"/>
        <v>417.8945265234309</v>
      </c>
      <c r="S16" s="62">
        <f ca="1">AVERAGE(OFFSET($R$3,0,0,'Données projet'!$E$9+1,1))-AVERAGE(OFFSET($H$3,0,0,'Données projet'!$E$9+1,1))</f>
        <v>147.72913422715322</v>
      </c>
      <c r="T16" s="62">
        <f t="shared" si="34"/>
        <v>361.07991692964799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16.277984942160291</v>
      </c>
      <c r="AC16" s="24">
        <f t="shared" si="3"/>
        <v>16.277984942160291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3">
        <f>VLOOKUP(A16,'Données projet'!$A$61:$I$81,2,0)</f>
        <v>101</v>
      </c>
      <c r="AG16" s="13">
        <f>VLOOKUP(A16,'Données projet'!$A$61:$I$81,9,0)</f>
        <v>7.7692307692307692</v>
      </c>
      <c r="AH16" s="13">
        <f t="array" ref="AH16">INDEX(AG:AG,MIN(IF(ISNUMBER(AG16:AG212),ROW(AG16:AG212),"")))</f>
        <v>7.7692307692307692</v>
      </c>
      <c r="AI16" s="14">
        <f>IF('Données projet'!$A$62&gt;35,AI15+AH16-AQ15,IF(A16&lt;'Données projet'!$A$62,$AF$205^A16,IF(A16='Données projet'!$A$62,'Données projet'!$B$62,AI15+AH16-AQ15)))</f>
        <v>101</v>
      </c>
      <c r="AJ16" s="14">
        <f>AI16*VLOOKUP('Données projet'!$B$10,Paramètres!$A$1:$I$89,3,0)*VLOOKUP('Données projet'!$B$10,Paramètres!$A$1:$I$89,5,0)</f>
        <v>60.398000000000003</v>
      </c>
      <c r="AK16" s="14">
        <f t="shared" si="35"/>
        <v>17.26885714728807</v>
      </c>
      <c r="AL16" s="22">
        <f t="shared" si="4"/>
        <v>135.26977619819337</v>
      </c>
      <c r="AM16" s="62">
        <f t="shared" si="5"/>
        <v>428.60310953152668</v>
      </c>
      <c r="AN16" s="62">
        <f ca="1">AVERAGE(OFFSET($AM$3,0,0,'Données projet'!$E$10+1,1))-AVERAGE(OFFSET($H$3,0,0,'Données projet'!$E$10+1,1))</f>
        <v>151.58413719376074</v>
      </c>
      <c r="AO16" s="62">
        <f t="shared" si="36"/>
        <v>310.105543138185</v>
      </c>
      <c r="AP16" s="16">
        <f>IF(ISNA(VLOOKUP(A16,'Données projet'!$A$61:$I$81,3,0)),0,VLOOKUP(A16,'Données projet'!$A$61:$I$81,3,0))</f>
        <v>1</v>
      </c>
      <c r="AQ16" s="16">
        <f>IF(ISNA(VLOOKUP(A16,'Données projet'!$A$61:$I$81,4,0)),0,VLOOKUP(A16,'Données projet'!$A$61:$I$81,4,0))</f>
        <v>28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1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18.958097589783147</v>
      </c>
      <c r="AX16" s="23">
        <f t="shared" si="6"/>
        <v>18.958097589783147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8.3719999999999999</v>
      </c>
      <c r="D17" s="12">
        <f t="shared" si="32"/>
        <v>3.0127560231104038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10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87.882327195939965</v>
      </c>
      <c r="H17" s="70">
        <f t="shared" si="1"/>
        <v>313.16178340691727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20.8</v>
      </c>
      <c r="N17" s="14">
        <f>IF('Données projet'!$A$36&gt;35,N16+M17-V16,IF(A17&lt;'Données projet'!$A$36,$K$205^A17,IF(A17='Données projet'!$A$36,'Données projet'!$B$36,N16+M17-V16)))</f>
        <v>113.6</v>
      </c>
      <c r="O17" s="14">
        <f>N17*VLOOKUP('Données projet'!$B$9,Paramètres!$A$1:$I$89,3,0)*VLOOKUP('Données projet'!$B$9,Paramètres!$A$1:$I$89,5,0)</f>
        <v>67.9328</v>
      </c>
      <c r="P17" s="14">
        <f t="shared" si="33"/>
        <v>19.159206778906245</v>
      </c>
      <c r="Q17" s="22">
        <f t="shared" si="2"/>
        <v>151.68524513992836</v>
      </c>
      <c r="R17" s="62">
        <f t="shared" si="0"/>
        <v>445.01857847326164</v>
      </c>
      <c r="S17" s="62">
        <f ca="1">AVERAGE(OFFSET($R$3,0,0,'Données projet'!$E$9+1,1))-AVERAGE(OFFSET($H$3,0,0,'Données projet'!$E$9+1,1))</f>
        <v>147.72913422715322</v>
      </c>
      <c r="T17" s="62">
        <f t="shared" si="34"/>
        <v>361.07991692964799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11.510273536654053</v>
      </c>
      <c r="AC17" s="24">
        <f t="shared" si="3"/>
        <v>11.510273536654053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18.600000000000001</v>
      </c>
      <c r="AI17" s="14">
        <f>IF('Données projet'!$A$62&gt;35,AI16+AH17-AQ16,IF(A17&lt;'Données projet'!$A$62,$AF$205^A17,IF(A17='Données projet'!$A$62,'Données projet'!$B$62,AI16+AH17-AQ16)))</f>
        <v>91.6</v>
      </c>
      <c r="AJ17" s="14">
        <f>AI17*VLOOKUP('Données projet'!$B$10,Paramètres!$A$1:$I$89,3,0)*VLOOKUP('Données projet'!$B$10,Paramètres!$A$1:$I$89,5,0)</f>
        <v>54.776799999999994</v>
      </c>
      <c r="AK17" s="14">
        <f t="shared" si="35"/>
        <v>15.840762095818524</v>
      </c>
      <c r="AL17" s="22">
        <f t="shared" si="4"/>
        <v>122.99225398355058</v>
      </c>
      <c r="AM17" s="62">
        <f t="shared" si="5"/>
        <v>416.32558731688391</v>
      </c>
      <c r="AN17" s="62">
        <f ca="1">AVERAGE(OFFSET($AM$3,0,0,'Données projet'!$E$10+1,1))-AVERAGE(OFFSET($H$3,0,0,'Données projet'!$E$10+1,1))</f>
        <v>151.58413719376074</v>
      </c>
      <c r="AO17" s="62">
        <f t="shared" si="36"/>
        <v>310.105543138185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13.405399364132007</v>
      </c>
      <c r="AX17" s="23">
        <f t="shared" si="6"/>
        <v>13.405399364132007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8.9700000000000006</v>
      </c>
      <c r="D18" s="12">
        <f t="shared" si="32"/>
        <v>3.2021337464957651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10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93.960330674704153</v>
      </c>
      <c r="H18" s="70">
        <f t="shared" si="1"/>
        <v>314.53313294181345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20.8</v>
      </c>
      <c r="N18" s="14">
        <f>IF('Données projet'!$A$36&gt;35,N17+M18-V17,IF(A18&lt;'Données projet'!$A$36,$K$205^A18,IF(A18='Données projet'!$A$36,'Données projet'!$B$36,N17+M18-V17)))</f>
        <v>134.4</v>
      </c>
      <c r="O18" s="14">
        <f>N18*VLOOKUP('Données projet'!$B$9,Paramètres!$A$1:$I$89,3,0)*VLOOKUP('Données projet'!$B$9,Paramètres!$A$1:$I$89,5,0)</f>
        <v>80.371200000000016</v>
      </c>
      <c r="P18" s="14">
        <f t="shared" si="33"/>
        <v>22.227919990990831</v>
      </c>
      <c r="Q18" s="22">
        <f t="shared" si="2"/>
        <v>178.69346731764236</v>
      </c>
      <c r="R18" s="62">
        <f t="shared" si="0"/>
        <v>472.0268006509757</v>
      </c>
      <c r="S18" s="62">
        <f ca="1">AVERAGE(OFFSET($R$3,0,0,'Données projet'!$E$9+1,1))-AVERAGE(OFFSET($H$3,0,0,'Données projet'!$E$9+1,1))</f>
        <v>147.72913422715322</v>
      </c>
      <c r="T18" s="62">
        <f t="shared" si="34"/>
        <v>361.07991692964799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8.1389924710801456</v>
      </c>
      <c r="AC18" s="24">
        <f t="shared" si="3"/>
        <v>8.1389924710801456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18.600000000000001</v>
      </c>
      <c r="AI18" s="14">
        <f>IF('Données projet'!$A$62&gt;35,AI17+AH18-AQ17,IF(A18&lt;'Données projet'!$A$62,$AF$205^A18,IF(A18='Données projet'!$A$62,'Données projet'!$B$62,AI17+AH18-AQ17)))</f>
        <v>110.19999999999999</v>
      </c>
      <c r="AJ18" s="14">
        <f>AI18*VLOOKUP('Données projet'!$B$10,Paramètres!$A$1:$I$89,3,0)*VLOOKUP('Données projet'!$B$10,Paramètres!$A$1:$I$89,5,0)</f>
        <v>65.899600000000007</v>
      </c>
      <c r="AK18" s="14">
        <f t="shared" si="35"/>
        <v>18.651634138580526</v>
      </c>
      <c r="AL18" s="22">
        <f t="shared" si="4"/>
        <v>147.26006612469442</v>
      </c>
      <c r="AM18" s="62">
        <f t="shared" si="5"/>
        <v>440.59339945802776</v>
      </c>
      <c r="AN18" s="62">
        <f ca="1">AVERAGE(OFFSET($AM$3,0,0,'Données projet'!$E$10+1,1))-AVERAGE(OFFSET($H$3,0,0,'Données projet'!$E$10+1,1))</f>
        <v>151.58413719376074</v>
      </c>
      <c r="AO18" s="62">
        <f t="shared" si="36"/>
        <v>310.105543138185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9.4790487948915754</v>
      </c>
      <c r="AX18" s="23">
        <f t="shared" si="6"/>
        <v>9.4790487948915754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9.5680000000000014</v>
      </c>
      <c r="D19" s="12">
        <f t="shared" si="32"/>
        <v>3.3900464408124646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10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100.02702515714888</v>
      </c>
      <c r="H19" s="70">
        <f t="shared" si="1"/>
        <v>315.90193088441504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20.8</v>
      </c>
      <c r="N19" s="14">
        <f>IF('Données projet'!$A$36&gt;35,N18+M19-V18,IF(A19&lt;'Données projet'!$A$36,$K$205^A19,IF(A19='Données projet'!$A$36,'Données projet'!$B$36,N18+M19-V18)))</f>
        <v>155.20000000000002</v>
      </c>
      <c r="O19" s="14">
        <f>N19*VLOOKUP('Données projet'!$B$9,Paramètres!$A$1:$I$89,3,0)*VLOOKUP('Données projet'!$B$9,Paramètres!$A$1:$I$89,5,0)</f>
        <v>92.809600000000017</v>
      </c>
      <c r="P19" s="14">
        <f t="shared" si="33"/>
        <v>25.241615800824192</v>
      </c>
      <c r="Q19" s="22">
        <f t="shared" si="2"/>
        <v>205.60586751976882</v>
      </c>
      <c r="R19" s="62">
        <f t="shared" si="0"/>
        <v>498.93920085310214</v>
      </c>
      <c r="S19" s="62">
        <f ca="1">AVERAGE(OFFSET($R$3,0,0,'Données projet'!$E$9+1,1))-AVERAGE(OFFSET($H$3,0,0,'Données projet'!$E$9+1,1))</f>
        <v>147.72913422715322</v>
      </c>
      <c r="T19" s="62">
        <f t="shared" si="34"/>
        <v>361.07991692964799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5.7551367683270263</v>
      </c>
      <c r="AC19" s="24">
        <f t="shared" si="3"/>
        <v>5.7551367683270263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18.600000000000001</v>
      </c>
      <c r="AI19" s="14">
        <f>IF('Données projet'!$A$62&gt;35,AI18+AH19-AQ18,IF(A19&lt;'Données projet'!$A$62,$AF$205^A19,IF(A19='Données projet'!$A$62,'Données projet'!$B$62,AI18+AH19-AQ18)))</f>
        <v>128.79999999999998</v>
      </c>
      <c r="AJ19" s="14">
        <f>AI19*VLOOKUP('Données projet'!$B$10,Paramètres!$A$1:$I$89,3,0)*VLOOKUP('Données projet'!$B$10,Paramètres!$A$1:$I$89,5,0)</f>
        <v>77.022400000000005</v>
      </c>
      <c r="AK19" s="14">
        <f t="shared" si="35"/>
        <v>21.407546084466961</v>
      </c>
      <c r="AL19" s="22">
        <f t="shared" si="4"/>
        <v>171.43215609711328</v>
      </c>
      <c r="AM19" s="62">
        <f t="shared" si="5"/>
        <v>464.76548943044656</v>
      </c>
      <c r="AN19" s="62">
        <f ca="1">AVERAGE(OFFSET($AM$3,0,0,'Données projet'!$E$10+1,1))-AVERAGE(OFFSET($H$3,0,0,'Données projet'!$E$10+1,1))</f>
        <v>151.58413719376074</v>
      </c>
      <c r="AO19" s="62">
        <f t="shared" si="36"/>
        <v>310.105543138185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6.7026996820660045</v>
      </c>
      <c r="AX19" s="23">
        <f t="shared" si="6"/>
        <v>6.7026996820660045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10.166000000000002</v>
      </c>
      <c r="D20" s="12">
        <f t="shared" si="32"/>
        <v>3.576596094420871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10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106.08319792184534</v>
      </c>
      <c r="H20" s="70">
        <f t="shared" si="1"/>
        <v>317.26835486444969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3">
        <f>VLOOKUP(A20,'Données projet'!$A$35:$I$55,2,0)</f>
        <v>176</v>
      </c>
      <c r="L20" s="13">
        <f>VLOOKUP(A20,'Données projet'!$A$35:$I$55,9,0)</f>
        <v>20.8</v>
      </c>
      <c r="M20" s="13">
        <f t="array" ref="M20">INDEX(L:L,MIN(IF(ISNUMBER(L20:L216),ROW(L20:L216),"")))</f>
        <v>20.8</v>
      </c>
      <c r="N20" s="14">
        <f>IF('Données projet'!$A$36&gt;35,N19+M20-V19,IF(A20&lt;'Données projet'!$A$36,$K$205^A20,IF(A20='Données projet'!$A$36,'Données projet'!$B$36,N19+M20-V19)))</f>
        <v>176.00000000000003</v>
      </c>
      <c r="O20" s="14">
        <f>N20*VLOOKUP('Données projet'!$B$9,Paramètres!$A$1:$I$89,3,0)*VLOOKUP('Données projet'!$B$9,Paramètres!$A$1:$I$89,5,0)</f>
        <v>105.24800000000003</v>
      </c>
      <c r="P20" s="14">
        <f t="shared" si="33"/>
        <v>28.208515027560551</v>
      </c>
      <c r="Q20" s="22">
        <f t="shared" si="2"/>
        <v>232.43676367300134</v>
      </c>
      <c r="R20" s="62">
        <f t="shared" si="0"/>
        <v>525.77009700633471</v>
      </c>
      <c r="S20" s="62">
        <f ca="1">AVERAGE(OFFSET($R$3,0,0,'Données projet'!$E$9+1,1))-AVERAGE(OFFSET($H$3,0,0,'Données projet'!$E$9+1,1))</f>
        <v>147.72913422715322</v>
      </c>
      <c r="T20" s="62">
        <f t="shared" si="34"/>
        <v>361.07991692964799</v>
      </c>
      <c r="U20" s="16">
        <f>IF(ISNA(VLOOKUP(A20,'Données projet'!$A$35:$I$55,3,0)),0,VLOOKUP(A20,'Données projet'!$A$35:$I$55,3,0))</f>
        <v>2</v>
      </c>
      <c r="V20" s="16">
        <f>IF(ISNA(VLOOKUP(A20,'Données projet'!$A$35:$I$55,4,0)),0,VLOOKUP(A20,'Données projet'!$A$35:$I$55,4,0))</f>
        <v>43</v>
      </c>
      <c r="W20" s="17">
        <f>IF(ISNA(VLOOKUP(A20,'Données projet'!$A$35:$I$55,5,0)),0%,VLOOKUP(A20,'Données projet'!$A$35:$I$55,5,0)*VLOOKUP('Données projet'!$B$9,Paramètres!$A$1:$I$89,7,0))</f>
        <v>9.0000000000000011E-2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0.8</v>
      </c>
      <c r="Z20" s="23">
        <f>EXP(-LN(2)/35)*Z19+(1-EXP(-LN(2)/35))/(LN(2)/35)*V20*W20*VLOOKUP('Données projet'!$B$9,Paramètres!$A$1:$I$89,3,0)*0.475*44/12</f>
        <v>3.0700150566455107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27.360873274416509</v>
      </c>
      <c r="AC20" s="24">
        <f t="shared" si="3"/>
        <v>30.430888331062018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18.600000000000001</v>
      </c>
      <c r="AI20" s="14">
        <f>IF('Données projet'!$A$62&gt;35,AI19+AH20-AQ19,IF(A20&lt;'Données projet'!$A$62,$AF$205^A20,IF(A20='Données projet'!$A$62,'Données projet'!$B$62,AI19+AH20-AQ19)))</f>
        <v>147.39999999999998</v>
      </c>
      <c r="AJ20" s="14">
        <f>AI20*VLOOKUP('Données projet'!$B$10,Paramètres!$A$1:$I$89,3,0)*VLOOKUP('Données projet'!$B$10,Paramètres!$A$1:$I$89,5,0)</f>
        <v>88.145199999999988</v>
      </c>
      <c r="AK20" s="14">
        <f t="shared" si="35"/>
        <v>24.117351189004136</v>
      </c>
      <c r="AL20" s="22">
        <f t="shared" si="4"/>
        <v>195.52394332084884</v>
      </c>
      <c r="AM20" s="62">
        <f t="shared" si="5"/>
        <v>488.85727665418216</v>
      </c>
      <c r="AN20" s="62">
        <f ca="1">AVERAGE(OFFSET($AM$3,0,0,'Données projet'!$E$10+1,1))-AVERAGE(OFFSET($H$3,0,0,'Données projet'!$E$10+1,1))</f>
        <v>151.58413719376074</v>
      </c>
      <c r="AO20" s="62">
        <f t="shared" si="36"/>
        <v>310.105543138185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4.7395243974457886</v>
      </c>
      <c r="AX20" s="23">
        <f t="shared" si="6"/>
        <v>4.7395243974457886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10.764000000000003</v>
      </c>
      <c r="D21" s="12">
        <f t="shared" si="32"/>
        <v>3.76187201923933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10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112.12953839412819</v>
      </c>
      <c r="H21" s="70">
        <f t="shared" si="1"/>
        <v>318.6325604335085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19.8</v>
      </c>
      <c r="N21" s="14">
        <f>IF('Données projet'!$A$36&gt;35,N20+M21-V20,IF(A21&lt;'Données projet'!$A$36,$K$205^A21,IF(A21='Données projet'!$A$36,'Données projet'!$B$36,N20+M21-V20)))</f>
        <v>152.80000000000004</v>
      </c>
      <c r="O21" s="14">
        <f>N21*VLOOKUP('Données projet'!$B$9,Paramètres!$A$1:$I$89,3,0)*VLOOKUP('Données projet'!$B$9,Paramètres!$A$1:$I$89,5,0)</f>
        <v>91.374400000000037</v>
      </c>
      <c r="P21" s="14">
        <f t="shared" si="33"/>
        <v>24.89640423383166</v>
      </c>
      <c r="Q21" s="22">
        <f t="shared" si="2"/>
        <v>202.50498404059022</v>
      </c>
      <c r="R21" s="62">
        <f t="shared" si="0"/>
        <v>495.83831737392353</v>
      </c>
      <c r="S21" s="62">
        <f ca="1">AVERAGE(OFFSET($R$3,0,0,'Données projet'!$E$9+1,1))-AVERAGE(OFFSET($H$3,0,0,'Données projet'!$E$9+1,1))</f>
        <v>147.72913422715322</v>
      </c>
      <c r="T21" s="62">
        <f t="shared" si="34"/>
        <v>361.07991692964799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3.0098139339089802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19.347059031525692</v>
      </c>
      <c r="AC21" s="24">
        <f t="shared" si="3"/>
        <v>22.356872965434672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3">
        <f>VLOOKUP(A21,'Données projet'!$A$61:$I$81,2,0)</f>
        <v>166</v>
      </c>
      <c r="AG21" s="13">
        <f>VLOOKUP(A21,'Données projet'!$A$61:$I$81,9,0)</f>
        <v>18.600000000000001</v>
      </c>
      <c r="AH21" s="13">
        <f t="array" ref="AH21">INDEX(AG:AG,MIN(IF(ISNUMBER(AG21:AG217),ROW(AG21:AG217),"")))</f>
        <v>18.600000000000001</v>
      </c>
      <c r="AI21" s="14">
        <f>IF('Données projet'!$A$62&gt;35,AI20+AH21-AQ20,IF(A21&lt;'Données projet'!$A$62,$AF$205^A21,IF(A21='Données projet'!$A$62,'Données projet'!$B$62,AI20+AH21-AQ20)))</f>
        <v>165.99999999999997</v>
      </c>
      <c r="AJ21" s="14">
        <f>AI21*VLOOKUP('Données projet'!$B$10,Paramètres!$A$1:$I$89,3,0)*VLOOKUP('Données projet'!$B$10,Paramètres!$A$1:$I$89,5,0)</f>
        <v>99.267999999999986</v>
      </c>
      <c r="AK21" s="14">
        <f t="shared" si="35"/>
        <v>26.78753414535981</v>
      </c>
      <c r="AL21" s="22">
        <f t="shared" si="4"/>
        <v>219.54672196983498</v>
      </c>
      <c r="AM21" s="62">
        <f t="shared" si="5"/>
        <v>512.88005530316832</v>
      </c>
      <c r="AN21" s="62">
        <f ca="1">AVERAGE(OFFSET($AM$3,0,0,'Données projet'!$E$10+1,1))-AVERAGE(OFFSET($H$3,0,0,'Données projet'!$E$10+1,1))</f>
        <v>151.58413719376074</v>
      </c>
      <c r="AO21" s="62">
        <f t="shared" si="36"/>
        <v>310.105543138185</v>
      </c>
      <c r="AP21" s="16">
        <f>IF(ISNA(VLOOKUP(A21,'Données projet'!$A$61:$I$81,3,0)),0,VLOOKUP(A21,'Données projet'!$A$61:$I$81,3,0))</f>
        <v>2</v>
      </c>
      <c r="AQ21" s="16">
        <f>IF(ISNA(VLOOKUP(A21,'Données projet'!$A$61:$I$81,4,0)),0,VLOOKUP(A21,'Données projet'!$A$61:$I$81,4,0))</f>
        <v>40</v>
      </c>
      <c r="AR21" s="17">
        <f>IF(ISNA(VLOOKUP(A21,'Données projet'!$A$61:$I$81,5,0)),0%,VLOOKUP(A21,'Données projet'!$A$61:$I$81,5,0)*VLOOKUP('Données projet'!$B$10,Paramètres!$A$1:$I$89,7,0))</f>
        <v>0.1125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0.75</v>
      </c>
      <c r="AU21" s="23">
        <f>EXP(-LN(2)/35)*AU20+(1-EXP(-LN(2)/35))/(LN(2)/35)*AQ21*AR21*VLOOKUP('Données projet'!$B$10,Paramètres!$A$1:$I$89,3,0)*0.475*44/12</f>
        <v>3.5697849495878025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23.663597258657802</v>
      </c>
      <c r="AX21" s="23">
        <f t="shared" si="6"/>
        <v>27.233382208245605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11.362000000000004</v>
      </c>
      <c r="D22" s="12">
        <f t="shared" si="32"/>
        <v>3.9459530431682608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10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118.16665507007083</v>
      </c>
      <c r="H22" s="70">
        <f t="shared" si="1"/>
        <v>319.99468488351806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19.8</v>
      </c>
      <c r="N22" s="14">
        <f>IF('Données projet'!$A$36&gt;35,N21+M22-V21,IF(A22&lt;'Données projet'!$A$36,$K$205^A22,IF(A22='Données projet'!$A$36,'Données projet'!$B$36,N21+M22-V21)))</f>
        <v>172.60000000000005</v>
      </c>
      <c r="O22" s="14">
        <f>N22*VLOOKUP('Données projet'!$B$9,Paramètres!$A$1:$I$89,3,0)*VLOOKUP('Données projet'!$B$9,Paramètres!$A$1:$I$89,5,0)</f>
        <v>103.21480000000004</v>
      </c>
      <c r="P22" s="14">
        <f t="shared" si="33"/>
        <v>27.726463199430338</v>
      </c>
      <c r="Q22" s="22">
        <f t="shared" si="2"/>
        <v>228.05603340567458</v>
      </c>
      <c r="R22" s="62">
        <f t="shared" si="0"/>
        <v>521.38936673900787</v>
      </c>
      <c r="S22" s="62">
        <f ca="1">AVERAGE(OFFSET($R$3,0,0,'Données projet'!$E$9+1,1))-AVERAGE(OFFSET($H$3,0,0,'Données projet'!$E$9+1,1))</f>
        <v>147.72913422715322</v>
      </c>
      <c r="T22" s="62">
        <f t="shared" si="34"/>
        <v>361.07991692964799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2.9507933184702542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13.680436637208256</v>
      </c>
      <c r="AC22" s="24">
        <f t="shared" si="3"/>
        <v>16.63122995567851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17.8</v>
      </c>
      <c r="AI22" s="14">
        <f>IF('Données projet'!$A$62&gt;35,AI21+AH22-AQ21,IF(A22&lt;'Données projet'!$A$62,$AF$205^A22,IF(A22='Données projet'!$A$62,'Données projet'!$B$62,AI21+AH22-AQ21)))</f>
        <v>143.79999999999998</v>
      </c>
      <c r="AJ22" s="14">
        <f>AI22*VLOOKUP('Données projet'!$B$10,Paramètres!$A$1:$I$89,3,0)*VLOOKUP('Données projet'!$B$10,Paramètres!$A$1:$I$89,5,0)</f>
        <v>85.992400000000004</v>
      </c>
      <c r="AK22" s="14">
        <f t="shared" si="35"/>
        <v>23.596141005324462</v>
      </c>
      <c r="AL22" s="22">
        <f t="shared" si="4"/>
        <v>190.86670891760676</v>
      </c>
      <c r="AM22" s="62">
        <f t="shared" si="5"/>
        <v>484.2000422509401</v>
      </c>
      <c r="AN22" s="62">
        <f ca="1">AVERAGE(OFFSET($AM$3,0,0,'Données projet'!$E$10+1,1))-AVERAGE(OFFSET($H$3,0,0,'Données projet'!$E$10+1,1))</f>
        <v>151.58413719376074</v>
      </c>
      <c r="AO22" s="62">
        <f t="shared" si="36"/>
        <v>310.105543138185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3.499783644080209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16.732690088864331</v>
      </c>
      <c r="AX22" s="23">
        <f t="shared" si="6"/>
        <v>20.232473732944541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11.960000000000004</v>
      </c>
      <c r="D23" s="12">
        <f t="shared" si="32"/>
        <v>4.1289092277839252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10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124.19508877587594</v>
      </c>
      <c r="H23" s="70">
        <f t="shared" si="1"/>
        <v>321.35485023839033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19.8</v>
      </c>
      <c r="N23" s="14">
        <f>IF('Données projet'!$A$36&gt;35,N22+M23-V22,IF(A23&lt;'Données projet'!$A$36,$K$205^A23,IF(A23='Données projet'!$A$36,'Données projet'!$B$36,N22+M23-V22)))</f>
        <v>192.40000000000006</v>
      </c>
      <c r="O23" s="14">
        <f>N23*VLOOKUP('Données projet'!$B$9,Paramètres!$A$1:$I$89,3,0)*VLOOKUP('Données projet'!$B$9,Paramètres!$A$1:$I$89,5,0)</f>
        <v>115.05520000000004</v>
      </c>
      <c r="P23" s="14">
        <f t="shared" si="33"/>
        <v>30.5188966745568</v>
      </c>
      <c r="Q23" s="22">
        <f t="shared" si="2"/>
        <v>253.54155170818649</v>
      </c>
      <c r="R23" s="62">
        <f t="shared" si="0"/>
        <v>546.87488504151975</v>
      </c>
      <c r="S23" s="62">
        <f ca="1">AVERAGE(OFFSET($R$3,0,0,'Données projet'!$E$9+1,1))-AVERAGE(OFFSET($H$3,0,0,'Données projet'!$E$9+1,1))</f>
        <v>147.72913422715322</v>
      </c>
      <c r="T23" s="62">
        <f t="shared" si="34"/>
        <v>361.07991692964799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2.8929300613012607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9.6735295157628478</v>
      </c>
      <c r="AC23" s="24">
        <f t="shared" si="3"/>
        <v>12.566459577064109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17.8</v>
      </c>
      <c r="AI23" s="14">
        <f>IF('Données projet'!$A$62&gt;35,AI22+AH23-AQ22,IF(A23&lt;'Données projet'!$A$62,$AF$205^A23,IF(A23='Données projet'!$A$62,'Données projet'!$B$62,AI22+AH23-AQ22)))</f>
        <v>161.6</v>
      </c>
      <c r="AJ23" s="14">
        <f>AI23*VLOOKUP('Données projet'!$B$10,Paramètres!$A$1:$I$89,3,0)*VLOOKUP('Données projet'!$B$10,Paramètres!$A$1:$I$89,5,0)</f>
        <v>96.636800000000008</v>
      </c>
      <c r="AK23" s="14">
        <f t="shared" si="35"/>
        <v>26.159173215164081</v>
      </c>
      <c r="AL23" s="22">
        <f t="shared" si="4"/>
        <v>213.86965334974411</v>
      </c>
      <c r="AM23" s="62">
        <f t="shared" si="5"/>
        <v>507.20298668307743</v>
      </c>
      <c r="AN23" s="62">
        <f ca="1">AVERAGE(OFFSET($AM$3,0,0,'Données projet'!$E$10+1,1))-AVERAGE(OFFSET($H$3,0,0,'Données projet'!$E$10+1,1))</f>
        <v>151.58413719376074</v>
      </c>
      <c r="AO23" s="62">
        <f t="shared" si="36"/>
        <v>310.105543138185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3.4311550214770392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11.831798629328903</v>
      </c>
      <c r="AX23" s="23">
        <f t="shared" si="6"/>
        <v>15.262953650805942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12.558000000000005</v>
      </c>
      <c r="D24" s="12">
        <f t="shared" si="32"/>
        <v>4.3108032327306534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10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130.21532320002615</v>
      </c>
      <c r="H24" s="70">
        <f t="shared" si="1"/>
        <v>322.71316563033923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19.8</v>
      </c>
      <c r="N24" s="14">
        <f>IF('Données projet'!$A$36&gt;35,N23+M24-V23,IF(A24&lt;'Données projet'!$A$36,$K$205^A24,IF(A24='Données projet'!$A$36,'Données projet'!$B$36,N23+M24-V23)))</f>
        <v>212.20000000000007</v>
      </c>
      <c r="O24" s="14">
        <f>N24*VLOOKUP('Données projet'!$B$9,Paramètres!$A$1:$I$89,3,0)*VLOOKUP('Données projet'!$B$9,Paramètres!$A$1:$I$89,5,0)</f>
        <v>126.89560000000006</v>
      </c>
      <c r="P24" s="14">
        <f t="shared" si="33"/>
        <v>33.278017701950326</v>
      </c>
      <c r="Q24" s="22">
        <f t="shared" si="2"/>
        <v>278.96905083089689</v>
      </c>
      <c r="R24" s="62">
        <f t="shared" si="0"/>
        <v>572.30238416423026</v>
      </c>
      <c r="S24" s="62">
        <f ca="1">AVERAGE(OFFSET($R$3,0,0,'Données projet'!$E$9+1,1))-AVERAGE(OFFSET($H$3,0,0,'Données projet'!$E$9+1,1))</f>
        <v>147.72913422715322</v>
      </c>
      <c r="T24" s="62">
        <f t="shared" si="34"/>
        <v>361.07991692964799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2.8362014673122493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6.8402183186041299</v>
      </c>
      <c r="AC24" s="24">
        <f t="shared" si="3"/>
        <v>9.6764197859163801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17.8</v>
      </c>
      <c r="AI24" s="14">
        <f>IF('Données projet'!$A$62&gt;35,AI23+AH24-AQ23,IF(A24&lt;'Données projet'!$A$62,$AF$205^A24,IF(A24='Données projet'!$A$62,'Données projet'!$B$62,AI23+AH24-AQ23)))</f>
        <v>179.4</v>
      </c>
      <c r="AJ24" s="14">
        <f>AI24*VLOOKUP('Données projet'!$B$10,Paramètres!$A$1:$I$89,3,0)*VLOOKUP('Données projet'!$B$10,Paramètres!$A$1:$I$89,5,0)</f>
        <v>107.2812</v>
      </c>
      <c r="AK24" s="14">
        <f t="shared" si="35"/>
        <v>28.68948404302737</v>
      </c>
      <c r="AL24" s="22">
        <f t="shared" si="4"/>
        <v>236.81560804160597</v>
      </c>
      <c r="AM24" s="62">
        <f t="shared" si="5"/>
        <v>530.14894137493934</v>
      </c>
      <c r="AN24" s="62">
        <f ca="1">AVERAGE(OFFSET($AM$3,0,0,'Données projet'!$E$10+1,1))-AVERAGE(OFFSET($H$3,0,0,'Données projet'!$E$10+1,1))</f>
        <v>151.58413719376074</v>
      </c>
      <c r="AO24" s="62">
        <f t="shared" si="36"/>
        <v>310.105543138185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3.3638721643037908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8.3663450444321654</v>
      </c>
      <c r="AX24" s="23">
        <f t="shared" si="6"/>
        <v>11.730217208735956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13.156000000000006</v>
      </c>
      <c r="D25" s="12">
        <f t="shared" si="32"/>
        <v>4.4916914128654328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10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136.22779336247004</v>
      </c>
      <c r="H25" s="70">
        <f t="shared" si="1"/>
        <v>324.0697292107406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3">
        <f>VLOOKUP(A25,'Données projet'!$A$35:$I$55,2,0)</f>
        <v>232</v>
      </c>
      <c r="L25" s="13">
        <f>VLOOKUP(A25,'Données projet'!$A$35:$I$55,9,0)</f>
        <v>19.8</v>
      </c>
      <c r="M25" s="13">
        <f t="array" ref="M25">INDEX(L:L,MIN(IF(ISNUMBER(L25:L221),ROW(L25:L221),"")))</f>
        <v>19.8</v>
      </c>
      <c r="N25" s="14">
        <f>IF('Données projet'!$A$36&gt;35,N24+M25-V24,IF(A25&lt;'Données projet'!$A$36,$K$205^A25,IF(A25='Données projet'!$A$36,'Données projet'!$B$36,N24+M25-V24)))</f>
        <v>232.00000000000009</v>
      </c>
      <c r="O25" s="14">
        <f>N25*VLOOKUP('Données projet'!$B$9,Paramètres!$A$1:$I$89,3,0)*VLOOKUP('Données projet'!$B$9,Paramètres!$A$1:$I$89,5,0)</f>
        <v>138.73600000000005</v>
      </c>
      <c r="P25" s="14">
        <f t="shared" si="33"/>
        <v>36.007288175538072</v>
      </c>
      <c r="Q25" s="22">
        <f t="shared" si="2"/>
        <v>304.34456023906222</v>
      </c>
      <c r="R25" s="62">
        <f t="shared" si="0"/>
        <v>597.67789357239553</v>
      </c>
      <c r="S25" s="62">
        <f ca="1">AVERAGE(OFFSET($R$3,0,0,'Données projet'!$E$9+1,1))-AVERAGE(OFFSET($H$3,0,0,'Données projet'!$E$9+1,1))</f>
        <v>147.72913422715322</v>
      </c>
      <c r="T25" s="62">
        <f t="shared" si="34"/>
        <v>361.07991692964799</v>
      </c>
      <c r="U25" s="16">
        <f>IF(ISNA(VLOOKUP(A25,'Données projet'!$A$35:$I$55,3,0)),0,VLOOKUP(A25,'Données projet'!$A$35:$I$55,3,0))</f>
        <v>3</v>
      </c>
      <c r="V25" s="16">
        <f>IF(ISNA(VLOOKUP(A25,'Données projet'!$A$35:$I$55,4,0)),0,VLOOKUP(A25,'Données projet'!$A$35:$I$55,4,0))</f>
        <v>56</v>
      </c>
      <c r="W25" s="17">
        <f>IF(ISNA(VLOOKUP(A25,'Données projet'!$A$35:$I$55,5,0)),0%,VLOOKUP(A25,'Données projet'!$A$35:$I$55,5,0)*VLOOKUP('Données projet'!$B$9,Paramètres!$A$1:$I$89,7,0))</f>
        <v>0.18000000000000002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0.6</v>
      </c>
      <c r="Z25" s="23">
        <f>EXP(-LN(2)/35)*Z24+(1-EXP(-LN(2)/35))/(LN(2)/35)*V25*W25*VLOOKUP('Données projet'!$B$9,Paramètres!$A$1:$I$89,3,0)*0.475*44/12</f>
        <v>10.776903573527015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27.586481865621199</v>
      </c>
      <c r="AC25" s="24">
        <f t="shared" si="3"/>
        <v>38.363385439148217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17.8</v>
      </c>
      <c r="AI25" s="14">
        <f>IF('Données projet'!$A$62&gt;35,AI24+AH25-AQ24,IF(A25&lt;'Données projet'!$A$62,$AF$205^A25,IF(A25='Données projet'!$A$62,'Données projet'!$B$62,AI24+AH25-AQ24)))</f>
        <v>197.20000000000002</v>
      </c>
      <c r="AJ25" s="14">
        <f>AI25*VLOOKUP('Données projet'!$B$10,Paramètres!$A$1:$I$89,3,0)*VLOOKUP('Données projet'!$B$10,Paramètres!$A$1:$I$89,5,0)</f>
        <v>117.92560000000003</v>
      </c>
      <c r="AK25" s="14">
        <f t="shared" si="35"/>
        <v>31.190689636070587</v>
      </c>
      <c r="AL25" s="22">
        <f t="shared" si="4"/>
        <v>259.71087111615634</v>
      </c>
      <c r="AM25" s="62">
        <f t="shared" si="5"/>
        <v>553.0442044494896</v>
      </c>
      <c r="AN25" s="62">
        <f ca="1">AVERAGE(OFFSET($AM$3,0,0,'Données projet'!$E$10+1,1))-AVERAGE(OFFSET($H$3,0,0,'Données projet'!$E$10+1,1))</f>
        <v>151.58413719376074</v>
      </c>
      <c r="AO25" s="62">
        <f t="shared" si="36"/>
        <v>310.105543138185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3.2979086829212192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5.9158993146644514</v>
      </c>
      <c r="AX25" s="23">
        <f t="shared" si="6"/>
        <v>9.2138079975856702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13.754000000000007</v>
      </c>
      <c r="D26" s="12">
        <f t="shared" si="32"/>
        <v>4.6716247102827966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10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142.23289250042868</v>
      </c>
      <c r="H26" s="70">
        <f t="shared" si="1"/>
        <v>325.42462970374254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16.625</v>
      </c>
      <c r="N26" s="14">
        <f>IF('Données projet'!$A$36&gt;35,N25+M26-V25,IF(A26&lt;'Données projet'!$A$36,$K$205^A26,IF(A26='Données projet'!$A$36,'Données projet'!$B$36,N25+M26-V25)))</f>
        <v>192.62500000000009</v>
      </c>
      <c r="O26" s="14">
        <f>N26*VLOOKUP('Données projet'!$B$9,Paramètres!$A$1:$I$89,3,0)*VLOOKUP('Données projet'!$B$9,Paramètres!$A$1:$I$89,5,0)</f>
        <v>115.18975000000006</v>
      </c>
      <c r="P26" s="14">
        <f t="shared" si="33"/>
        <v>30.550430193620951</v>
      </c>
      <c r="Q26" s="22">
        <f t="shared" si="2"/>
        <v>253.83081383722325</v>
      </c>
      <c r="R26" s="62">
        <f t="shared" si="0"/>
        <v>547.16414717055659</v>
      </c>
      <c r="S26" s="62">
        <f ca="1">AVERAGE(OFFSET($R$3,0,0,'Données projet'!$E$9+1,1))-AVERAGE(OFFSET($H$3,0,0,'Données projet'!$E$9+1,1))</f>
        <v>147.72913422715322</v>
      </c>
      <c r="T26" s="62">
        <f t="shared" si="34"/>
        <v>361.07991692964799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10.565575067712274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19.506588396260472</v>
      </c>
      <c r="AC26" s="24">
        <f t="shared" si="3"/>
        <v>30.072163463972746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3">
        <f>VLOOKUP(A26,'Données projet'!$A$61:$I$81,2,0)</f>
        <v>215</v>
      </c>
      <c r="AG26" s="13">
        <f>VLOOKUP(A26,'Données projet'!$A$61:$I$81,9,0)</f>
        <v>17.8</v>
      </c>
      <c r="AH26" s="13">
        <f t="array" ref="AH26">INDEX(AG:AG,MIN(IF(ISNUMBER(AG26:AG222),ROW(AG26:AG222),"")))</f>
        <v>17.8</v>
      </c>
      <c r="AI26" s="14">
        <f>IF('Données projet'!$A$62&gt;35,AI25+AH26-AQ25,IF(A26&lt;'Données projet'!$A$62,$AF$205^A26,IF(A26='Données projet'!$A$62,'Données projet'!$B$62,AI25+AH26-AQ25)))</f>
        <v>215.00000000000003</v>
      </c>
      <c r="AJ26" s="14">
        <f>AI26*VLOOKUP('Données projet'!$B$10,Paramètres!$A$1:$I$89,3,0)*VLOOKUP('Données projet'!$B$10,Paramètres!$A$1:$I$89,5,0)</f>
        <v>128.57000000000002</v>
      </c>
      <c r="AK26" s="14">
        <f t="shared" si="35"/>
        <v>33.665715905233277</v>
      </c>
      <c r="AL26" s="22">
        <f t="shared" si="4"/>
        <v>282.56053853494797</v>
      </c>
      <c r="AM26" s="62">
        <f t="shared" si="5"/>
        <v>575.89387186828128</v>
      </c>
      <c r="AN26" s="62">
        <f ca="1">AVERAGE(OFFSET($AM$3,0,0,'Données projet'!$E$10+1,1))-AVERAGE(OFFSET($H$3,0,0,'Données projet'!$E$10+1,1))</f>
        <v>151.58413719376074</v>
      </c>
      <c r="AO26" s="62">
        <f t="shared" si="36"/>
        <v>310.105543138185</v>
      </c>
      <c r="AP26" s="16">
        <f>IF(ISNA(VLOOKUP(A26,'Données projet'!$A$61:$I$81,3,0)),0,VLOOKUP(A26,'Données projet'!$A$61:$I$81,3,0))</f>
        <v>3</v>
      </c>
      <c r="AQ26" s="16">
        <f>IF(ISNA(VLOOKUP(A26,'Données projet'!$A$61:$I$81,4,0)),0,VLOOKUP(A26,'Données projet'!$A$61:$I$81,4,0))</f>
        <v>52</v>
      </c>
      <c r="AR26" s="17">
        <f>IF(ISNA(VLOOKUP(A26,'Données projet'!$A$61:$I$81,5,0)),0%,VLOOKUP(A26,'Données projet'!$A$61:$I$81,5,0)*VLOOKUP('Données projet'!$B$10,Paramètres!$A$1:$I$89,7,0))</f>
        <v>0.22500000000000001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0.5</v>
      </c>
      <c r="AU26" s="23">
        <f>EXP(-LN(2)/35)*AU25+(1-EXP(-LN(2)/35))/(LN(2)/35)*AQ26*AR26*VLOOKUP('Données projet'!$B$10,Paramètres!$A$1:$I$89,3,0)*0.475*44/12</f>
        <v>12.514679574103097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21.787120284157577</v>
      </c>
      <c r="AX26" s="23">
        <f t="shared" si="6"/>
        <v>34.301799858260672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14.352000000000007</v>
      </c>
      <c r="D27" s="12">
        <f t="shared" si="32"/>
        <v>4.8506493868275271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10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148.23097772287923</v>
      </c>
      <c r="H27" s="70">
        <f t="shared" si="1"/>
        <v>326.77794768205791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16.625</v>
      </c>
      <c r="N27" s="14">
        <f>IF('Données projet'!$A$36&gt;35,N26+M27-V26,IF(A27&lt;'Données projet'!$A$36,$K$205^A27,IF(A27='Données projet'!$A$36,'Données projet'!$B$36,N26+M27-V26)))</f>
        <v>209.25000000000009</v>
      </c>
      <c r="O27" s="14">
        <f>N27*VLOOKUP('Données projet'!$B$9,Paramètres!$A$1:$I$89,3,0)*VLOOKUP('Données projet'!$B$9,Paramètres!$A$1:$I$89,5,0)</f>
        <v>125.13150000000006</v>
      </c>
      <c r="P27" s="14">
        <f t="shared" si="33"/>
        <v>32.868905092404546</v>
      </c>
      <c r="Q27" s="22">
        <f t="shared" si="2"/>
        <v>275.18403886927132</v>
      </c>
      <c r="R27" s="62">
        <f t="shared" si="0"/>
        <v>568.51737220260463</v>
      </c>
      <c r="S27" s="62">
        <f ca="1">AVERAGE(OFFSET($R$3,0,0,'Données projet'!$E$9+1,1))-AVERAGE(OFFSET($H$3,0,0,'Données projet'!$E$9+1,1))</f>
        <v>147.72913422715322</v>
      </c>
      <c r="T27" s="62">
        <f t="shared" si="34"/>
        <v>361.07991692964799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10.358390584998899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13.793240932810601</v>
      </c>
      <c r="AC27" s="24">
        <f t="shared" si="3"/>
        <v>24.151631517809498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15.142857142857142</v>
      </c>
      <c r="AI27" s="14">
        <f>IF('Données projet'!$A$62&gt;35,AI26+AH27-AQ26,IF(A27&lt;'Données projet'!$A$62,$AF$205^A27,IF(A27='Données projet'!$A$62,'Données projet'!$B$62,AI26+AH27-AQ26)))</f>
        <v>178.14285714285717</v>
      </c>
      <c r="AJ27" s="14">
        <f>AI27*VLOOKUP('Données projet'!$B$10,Paramètres!$A$1:$I$89,3,0)*VLOOKUP('Données projet'!$B$10,Paramètres!$A$1:$I$89,5,0)</f>
        <v>106.5294285714286</v>
      </c>
      <c r="AK27" s="14">
        <f t="shared" si="35"/>
        <v>28.511771457031461</v>
      </c>
      <c r="AL27" s="22">
        <f t="shared" si="4"/>
        <v>235.19675671623455</v>
      </c>
      <c r="AM27" s="62">
        <f t="shared" si="5"/>
        <v>528.53009004956789</v>
      </c>
      <c r="AN27" s="62">
        <f ca="1">AVERAGE(OFFSET($AM$3,0,0,'Données projet'!$E$10+1,1))-AVERAGE(OFFSET($H$3,0,0,'Données projet'!$E$10+1,1))</f>
        <v>151.58413719376074</v>
      </c>
      <c r="AO27" s="62">
        <f t="shared" si="36"/>
        <v>310.105543138185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12.269274340855759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15.405820495454805</v>
      </c>
      <c r="AX27" s="23">
        <f t="shared" si="6"/>
        <v>27.675094836310564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14.950000000000008</v>
      </c>
      <c r="D28" s="12">
        <f t="shared" si="32"/>
        <v>5.02880763108175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10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154.22237469606969</v>
      </c>
      <c r="H28" s="70">
        <f t="shared" si="1"/>
        <v>328.12975662413402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16.625</v>
      </c>
      <c r="N28" s="14">
        <f>IF('Données projet'!$A$36&gt;35,N27+M28-V27,IF(A28&lt;'Données projet'!$A$36,$K$205^A28,IF(A28='Données projet'!$A$36,'Données projet'!$B$36,N27+M28-V27)))</f>
        <v>225.87500000000009</v>
      </c>
      <c r="O28" s="14">
        <f>N28*VLOOKUP('Données projet'!$B$9,Paramètres!$A$1:$I$89,3,0)*VLOOKUP('Données projet'!$B$9,Paramètres!$A$1:$I$89,5,0)</f>
        <v>135.07325000000006</v>
      </c>
      <c r="P28" s="14">
        <f t="shared" si="33"/>
        <v>35.166013795582487</v>
      </c>
      <c r="Q28" s="22">
        <f t="shared" si="2"/>
        <v>296.50005111063956</v>
      </c>
      <c r="R28" s="62">
        <f t="shared" si="0"/>
        <v>589.83338444397282</v>
      </c>
      <c r="S28" s="62">
        <f ca="1">AVERAGE(OFFSET($R$3,0,0,'Données projet'!$E$9+1,1))-AVERAGE(OFFSET($H$3,0,0,'Données projet'!$E$9+1,1))</f>
        <v>147.72913422715322</v>
      </c>
      <c r="T28" s="62">
        <f t="shared" si="34"/>
        <v>361.07991692964799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10.155268863621478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9.7532941981302379</v>
      </c>
      <c r="AC28" s="24">
        <f t="shared" si="3"/>
        <v>19.908563061751714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15.142857142857142</v>
      </c>
      <c r="AI28" s="14">
        <f>IF('Données projet'!$A$62&gt;35,AI27+AH28-AQ27,IF(A28&lt;'Données projet'!$A$62,$AF$205^A28,IF(A28='Données projet'!$A$62,'Données projet'!$B$62,AI27+AH28-AQ27)))</f>
        <v>193.28571428571431</v>
      </c>
      <c r="AJ28" s="14">
        <f>AI28*VLOOKUP('Données projet'!$B$10,Paramètres!$A$1:$I$89,3,0)*VLOOKUP('Données projet'!$B$10,Paramètres!$A$1:$I$89,5,0)</f>
        <v>115.58485714285716</v>
      </c>
      <c r="AK28" s="14">
        <f t="shared" si="35"/>
        <v>30.643003864758004</v>
      </c>
      <c r="AL28" s="22">
        <f t="shared" si="4"/>
        <v>254.68019125492972</v>
      </c>
      <c r="AM28" s="62">
        <f t="shared" si="5"/>
        <v>548.01352458826307</v>
      </c>
      <c r="AN28" s="62">
        <f ca="1">AVERAGE(OFFSET($AM$3,0,0,'Données projet'!$E$10+1,1))-AVERAGE(OFFSET($H$3,0,0,'Données projet'!$E$10+1,1))</f>
        <v>151.58413719376074</v>
      </c>
      <c r="AO28" s="62">
        <f t="shared" si="36"/>
        <v>310.105543138185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12.02868135454999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10.89356014207879</v>
      </c>
      <c r="AX28" s="23">
        <f t="shared" si="6"/>
        <v>22.922241496628779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15.548000000000009</v>
      </c>
      <c r="D29" s="12">
        <f t="shared" si="32"/>
        <v>5.2061380655003466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10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160.20738155824839</v>
      </c>
      <c r="H29" s="70">
        <f t="shared" si="1"/>
        <v>329.48012379741311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16.625</v>
      </c>
      <c r="N29" s="14">
        <f>IF('Données projet'!$A$36&gt;35,N28+M29-V28,IF(A29&lt;'Données projet'!$A$36,$K$205^A29,IF(A29='Données projet'!$A$36,'Données projet'!$B$36,N28+M29-V28)))</f>
        <v>242.50000000000009</v>
      </c>
      <c r="O29" s="14">
        <f>N29*VLOOKUP('Données projet'!$B$9,Paramètres!$A$1:$I$89,3,0)*VLOOKUP('Données projet'!$B$9,Paramètres!$A$1:$I$89,5,0)</f>
        <v>145.01500000000004</v>
      </c>
      <c r="P29" s="14">
        <f t="shared" si="33"/>
        <v>37.443507744276459</v>
      </c>
      <c r="Q29" s="22">
        <f t="shared" si="2"/>
        <v>317.78190098794829</v>
      </c>
      <c r="R29" s="62">
        <f t="shared" si="0"/>
        <v>611.1152343212816</v>
      </c>
      <c r="S29" s="62">
        <f ca="1">AVERAGE(OFFSET($R$3,0,0,'Données projet'!$E$9+1,1))-AVERAGE(OFFSET($H$3,0,0,'Données projet'!$E$9+1,1))</f>
        <v>147.72913422715322</v>
      </c>
      <c r="T29" s="62">
        <f t="shared" si="34"/>
        <v>361.07991692964799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9.956130235308251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6.8966204664053024</v>
      </c>
      <c r="AC29" s="24">
        <f t="shared" si="3"/>
        <v>16.852750701713553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15.142857142857142</v>
      </c>
      <c r="AI29" s="14">
        <f>IF('Données projet'!$A$62&gt;35,AI28+AH29-AQ28,IF(A29&lt;'Données projet'!$A$62,$AF$205^A29,IF(A29='Données projet'!$A$62,'Données projet'!$B$62,AI28+AH29-AQ28)))</f>
        <v>208.42857142857144</v>
      </c>
      <c r="AJ29" s="14">
        <f>AI29*VLOOKUP('Données projet'!$B$10,Paramètres!$A$1:$I$89,3,0)*VLOOKUP('Données projet'!$B$10,Paramètres!$A$1:$I$89,5,0)</f>
        <v>124.64028571428574</v>
      </c>
      <c r="AK29" s="14">
        <f t="shared" si="35"/>
        <v>32.754868392894572</v>
      </c>
      <c r="AL29" s="22">
        <f t="shared" si="4"/>
        <v>274.129893403339</v>
      </c>
      <c r="AM29" s="62">
        <f t="shared" si="5"/>
        <v>567.46322673667237</v>
      </c>
      <c r="AN29" s="62">
        <f ca="1">AVERAGE(OFFSET($AM$3,0,0,'Données projet'!$E$10+1,1))-AVERAGE(OFFSET($H$3,0,0,'Données projet'!$E$10+1,1))</f>
        <v>151.58413719376074</v>
      </c>
      <c r="AO29" s="62">
        <f t="shared" si="36"/>
        <v>310.105543138185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11.792806249958446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7.7029102477274032</v>
      </c>
      <c r="AX29" s="23">
        <f t="shared" si="6"/>
        <v>19.495716497685848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16.146000000000008</v>
      </c>
      <c r="D30" s="12">
        <f t="shared" si="32"/>
        <v>5.3826761733310189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10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166.1862722151869</v>
      </c>
      <c r="H30" s="70">
        <f t="shared" si="1"/>
        <v>330.82911100188483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16.625</v>
      </c>
      <c r="N30" s="14">
        <f>IF('Données projet'!$A$36&gt;35,N29+M30-V29,IF(A30&lt;'Données projet'!$A$36,$K$205^A30,IF(A30='Données projet'!$A$36,'Données projet'!$B$36,N29+M30-V29)))</f>
        <v>259.12500000000011</v>
      </c>
      <c r="O30" s="14">
        <f>N30*VLOOKUP('Données projet'!$B$9,Paramètres!$A$1:$I$89,3,0)*VLOOKUP('Données projet'!$B$9,Paramètres!$A$1:$I$89,5,0)</f>
        <v>154.95675000000008</v>
      </c>
      <c r="P30" s="14">
        <f t="shared" si="33"/>
        <v>39.702884639661342</v>
      </c>
      <c r="Q30" s="22">
        <f t="shared" si="2"/>
        <v>339.03219699741027</v>
      </c>
      <c r="R30" s="62">
        <f t="shared" si="0"/>
        <v>632.36553033074358</v>
      </c>
      <c r="S30" s="62">
        <f ca="1">AVERAGE(OFFSET($R$3,0,0,'Données projet'!$E$9+1,1))-AVERAGE(OFFSET($H$3,0,0,'Données projet'!$E$9+1,1))</f>
        <v>147.72913422715322</v>
      </c>
      <c r="T30" s="62">
        <f t="shared" si="34"/>
        <v>361.07991692964799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9.7608965940336763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4.8766470990651198</v>
      </c>
      <c r="AC30" s="24">
        <f t="shared" si="3"/>
        <v>14.637543693098795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15.142857142857142</v>
      </c>
      <c r="AI30" s="14">
        <f>IF('Données projet'!$A$62&gt;35,AI29+AH30-AQ29,IF(A30&lt;'Données projet'!$A$62,$AF$205^A30,IF(A30='Données projet'!$A$62,'Données projet'!$B$62,AI29+AH30-AQ29)))</f>
        <v>223.57142857142858</v>
      </c>
      <c r="AJ30" s="14">
        <f>AI30*VLOOKUP('Données projet'!$B$10,Paramètres!$A$1:$I$89,3,0)*VLOOKUP('Données projet'!$B$10,Paramètres!$A$1:$I$89,5,0)</f>
        <v>133.6957142857143</v>
      </c>
      <c r="AK30" s="14">
        <f t="shared" si="35"/>
        <v>34.848932189999701</v>
      </c>
      <c r="AL30" s="22">
        <f t="shared" si="4"/>
        <v>293.54859261186851</v>
      </c>
      <c r="AM30" s="62">
        <f t="shared" si="5"/>
        <v>586.88192594520183</v>
      </c>
      <c r="AN30" s="62">
        <f ca="1">AVERAGE(OFFSET($AM$3,0,0,'Données projet'!$E$10+1,1))-AVERAGE(OFFSET($H$3,0,0,'Données projet'!$E$10+1,1))</f>
        <v>151.58413719376074</v>
      </c>
      <c r="AO30" s="62">
        <f t="shared" si="36"/>
        <v>310.105543138185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11.561556512298333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5.4467800710393961</v>
      </c>
      <c r="AX30" s="23">
        <f t="shared" si="6"/>
        <v>17.00833658333773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16.744000000000007</v>
      </c>
      <c r="D31" s="12">
        <f t="shared" si="32"/>
        <v>5.5584546605089464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10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172.15929913375331</v>
      </c>
      <c r="H31" s="70">
        <f t="shared" si="1"/>
        <v>332.17677520038643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16.625</v>
      </c>
      <c r="N31" s="14">
        <f>IF('Données projet'!$A$36&gt;35,N30+M31-V30,IF(A31&lt;'Données projet'!$A$36,$K$205^A31,IF(A31='Données projet'!$A$36,'Données projet'!$B$36,N30+M31-V30)))</f>
        <v>275.75000000000011</v>
      </c>
      <c r="O31" s="14">
        <f>N31*VLOOKUP('Données projet'!$B$9,Paramètres!$A$1:$I$89,3,0)*VLOOKUP('Données projet'!$B$9,Paramètres!$A$1:$I$89,5,0)</f>
        <v>164.89850000000007</v>
      </c>
      <c r="P31" s="14">
        <f t="shared" si="33"/>
        <v>41.94543913753872</v>
      </c>
      <c r="Q31" s="22">
        <f t="shared" si="2"/>
        <v>360.25319399788003</v>
      </c>
      <c r="R31" s="62">
        <f t="shared" si="0"/>
        <v>653.58652733121335</v>
      </c>
      <c r="S31" s="62">
        <f ca="1">AVERAGE(OFFSET($R$3,0,0,'Données projet'!$E$9+1,1))-AVERAGE(OFFSET($H$3,0,0,'Données projet'!$E$9+1,1))</f>
        <v>147.72913422715322</v>
      </c>
      <c r="T31" s="62">
        <f t="shared" si="34"/>
        <v>361.07991692964799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9.5694913653837332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3.4483102332026516</v>
      </c>
      <c r="AC31" s="24">
        <f t="shared" si="3"/>
        <v>13.017801598586384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15.142857142857142</v>
      </c>
      <c r="AI31" s="14">
        <f>IF('Données projet'!$A$62&gt;35,AI30+AH31-AQ30,IF(A31&lt;'Données projet'!$A$62,$AF$205^A31,IF(A31='Données projet'!$A$62,'Données projet'!$B$62,AI30+AH31-AQ30)))</f>
        <v>238.71428571428572</v>
      </c>
      <c r="AJ31" s="14">
        <f>AI31*VLOOKUP('Données projet'!$B$10,Paramètres!$A$1:$I$89,3,0)*VLOOKUP('Données projet'!$B$10,Paramètres!$A$1:$I$89,5,0)</f>
        <v>142.75114285714287</v>
      </c>
      <c r="AK31" s="14">
        <f t="shared" si="35"/>
        <v>36.926538099571019</v>
      </c>
      <c r="AL31" s="22">
        <f t="shared" si="4"/>
        <v>312.93862766627666</v>
      </c>
      <c r="AM31" s="62">
        <f t="shared" si="5"/>
        <v>606.27196099960997</v>
      </c>
      <c r="AN31" s="62">
        <f ca="1">AVERAGE(OFFSET($AM$3,0,0,'Données projet'!$E$10+1,1))-AVERAGE(OFFSET($H$3,0,0,'Données projet'!$E$10+1,1))</f>
        <v>151.58413719376074</v>
      </c>
      <c r="AO31" s="62">
        <f t="shared" si="36"/>
        <v>310.105543138185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11.334841440945322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3.8514551238637025</v>
      </c>
      <c r="AX31" s="23">
        <f t="shared" si="6"/>
        <v>15.186296564809025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17.342000000000006</v>
      </c>
      <c r="D32" s="12">
        <f t="shared" si="32"/>
        <v>5.7335037643993987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10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178.12669572518837</v>
      </c>
      <c r="H32" s="70">
        <f t="shared" si="1"/>
        <v>333.52316905632892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16.625</v>
      </c>
      <c r="N32" s="14">
        <f>IF('Données projet'!$A$36&gt;35,N31+M32-V31,IF(A32&lt;'Données projet'!$A$36,$K$205^A32,IF(A32='Données projet'!$A$36,'Données projet'!$B$36,N31+M32-V31)))</f>
        <v>292.37500000000011</v>
      </c>
      <c r="O32" s="14">
        <f>N32*VLOOKUP('Données projet'!$B$9,Paramètres!$A$1:$I$89,3,0)*VLOOKUP('Données projet'!$B$9,Paramètres!$A$1:$I$89,5,0)</f>
        <v>174.84025000000008</v>
      </c>
      <c r="P32" s="14">
        <f t="shared" si="33"/>
        <v>44.172300963535264</v>
      </c>
      <c r="Q32" s="22">
        <f t="shared" si="2"/>
        <v>381.44685959482405</v>
      </c>
      <c r="R32" s="62">
        <f t="shared" si="0"/>
        <v>674.78019292815736</v>
      </c>
      <c r="S32" s="62">
        <f ca="1">AVERAGE(OFFSET($R$3,0,0,'Données projet'!$E$9+1,1))-AVERAGE(OFFSET($H$3,0,0,'Données projet'!$E$9+1,1))</f>
        <v>147.72913422715322</v>
      </c>
      <c r="T32" s="62">
        <f t="shared" si="34"/>
        <v>361.07991692964799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9.3818394765219537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2.4383235495325604</v>
      </c>
      <c r="AC32" s="24">
        <f t="shared" si="3"/>
        <v>11.820163026054514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15.142857142857142</v>
      </c>
      <c r="AI32" s="14">
        <f>IF('Données projet'!$A$62&gt;35,AI31+AH32-AQ31,IF(A32&lt;'Données projet'!$A$62,$AF$205^A32,IF(A32='Données projet'!$A$62,'Données projet'!$B$62,AI31+AH32-AQ31)))</f>
        <v>253.85714285714286</v>
      </c>
      <c r="AJ32" s="14">
        <f>AI32*VLOOKUP('Données projet'!$B$10,Paramètres!$A$1:$I$89,3,0)*VLOOKUP('Données projet'!$B$10,Paramètres!$A$1:$I$89,5,0)</f>
        <v>151.80657142857146</v>
      </c>
      <c r="AK32" s="14">
        <f t="shared" si="35"/>
        <v>38.988848967460292</v>
      </c>
      <c r="AL32" s="22">
        <f t="shared" si="4"/>
        <v>332.30202385642195</v>
      </c>
      <c r="AM32" s="62">
        <f t="shared" si="5"/>
        <v>625.63535718975527</v>
      </c>
      <c r="AN32" s="62">
        <f ca="1">AVERAGE(OFFSET($AM$3,0,0,'Données projet'!$E$10+1,1))-AVERAGE(OFFSET($H$3,0,0,'Données projet'!$E$10+1,1))</f>
        <v>151.58413719376074</v>
      </c>
      <c r="AO32" s="62">
        <f t="shared" si="36"/>
        <v>310.105543138185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11.112572113859004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2.7233900355196985</v>
      </c>
      <c r="AX32" s="23">
        <f t="shared" si="6"/>
        <v>13.835962149378702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17.940000000000005</v>
      </c>
      <c r="D33" s="12">
        <f t="shared" si="32"/>
        <v>5.907851518758747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10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184.08867839041844</v>
      </c>
      <c r="H33" s="70">
        <f t="shared" si="1"/>
        <v>334.86834139517146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309</v>
      </c>
      <c r="L33" s="13">
        <f>VLOOKUP(A33,'Données projet'!$A$35:$I$55,9,0)</f>
        <v>16.625</v>
      </c>
      <c r="M33" s="13">
        <f t="array" ref="M33">INDEX(L:L,MIN(IF(ISNUMBER(L33:L229),ROW(L33:L229),"")))</f>
        <v>16.625</v>
      </c>
      <c r="N33" s="14">
        <f>IF('Données projet'!$A$36&gt;35,N32+M33-V32,IF(A33&lt;'Données projet'!$A$36,$K$205^A33,IF(A33='Données projet'!$A$36,'Données projet'!$B$36,N32+M33-V32)))</f>
        <v>309.00000000000011</v>
      </c>
      <c r="O33" s="14">
        <f>N33*VLOOKUP('Données projet'!$B$9,Paramètres!$A$1:$I$89,3,0)*VLOOKUP('Données projet'!$B$9,Paramètres!$A$1:$I$89,5,0)</f>
        <v>184.7820000000001</v>
      </c>
      <c r="P33" s="14">
        <f t="shared" si="33"/>
        <v>46.384464109944147</v>
      </c>
      <c r="Q33" s="22">
        <f t="shared" si="2"/>
        <v>402.61492499148613</v>
      </c>
      <c r="R33" s="62">
        <f t="shared" si="0"/>
        <v>695.94825832481945</v>
      </c>
      <c r="S33" s="62">
        <f ca="1">AVERAGE(OFFSET($R$3,0,0,'Données projet'!$E$9+1,1))-AVERAGE(OFFSET($H$3,0,0,'Données projet'!$E$9+1,1))</f>
        <v>147.72913422715322</v>
      </c>
      <c r="T33" s="62">
        <f t="shared" si="34"/>
        <v>361.07991692964799</v>
      </c>
      <c r="U33" s="16">
        <f>IF(ISNA(VLOOKUP(A33,'Données projet'!$A$35:$I$55,3,0)),0,VLOOKUP(A33,'Données projet'!$A$35:$I$55,3,0))</f>
        <v>4</v>
      </c>
      <c r="V33" s="16">
        <f>IF(ISNA(VLOOKUP(A33,'Données projet'!$A$35:$I$55,4,0)),0,VLOOKUP(A33,'Données projet'!$A$35:$I$55,4,0))</f>
        <v>309</v>
      </c>
      <c r="W33" s="17">
        <f>IF(ISNA(VLOOKUP(A33,'Données projet'!$A$35:$I$55,5,0)),0%,VLOOKUP(A33,'Données projet'!$A$35:$I$55,5,0)*VLOOKUP('Données projet'!$B$9,Paramètres!$A$1:$I$89,7,0))</f>
        <v>0.18000000000000002</v>
      </c>
      <c r="X33" s="17">
        <f>IF(ISNA(VLOOKUP(A33,'Données projet'!$A$35:$I$55,6,0)),0%,VLOOKUP(A33,'Données projet'!$A$35:$I$55,6,0)*VLOOKUP('Données projet'!$B$9,Paramètres!$A$1:$I$89,7,0))</f>
        <v>0.18000000000000002</v>
      </c>
      <c r="Y33" s="17">
        <f>IF(ISNA(VLOOKUP(A33,'Données projet'!$A$35:$I$55,7,0)),0%,VLOOKUP(A33,'Données projet'!$A$35:$I$55,7,0))</f>
        <v>0.2</v>
      </c>
      <c r="Z33" s="23">
        <f>EXP(-LN(2)/35)*Z32+(1-EXP(-LN(2)/35))/(LN(2)/35)*V33*W33*VLOOKUP('Données projet'!$B$9,Paramètres!$A$1:$I$89,3,0)*0.475*44/12</f>
        <v>53.320409303649647</v>
      </c>
      <c r="AA33" s="23">
        <f>EXP(-LN(2)/25)*AA32+(1-EXP(-LN(2)/25))/(LN(2)/25)*Calculateur!V33*Calculateur!X33*VLOOKUP('Données projet'!$B$9,Paramètres!$A$1:$I$89,3,0)*0.475*44/12</f>
        <v>43.948814717135633</v>
      </c>
      <c r="AB33" s="23">
        <f>EXP(-LN(2)/2)*AB32+(1-EXP(-LN(2)/2))/(LN(2)/2)*V33*Y33*VLOOKUP('Données projet'!$B$9,Paramètres!$A$1:$I$89,3,0)*0.475*44/12</f>
        <v>43.567384796908406</v>
      </c>
      <c r="AC33" s="24">
        <f t="shared" si="3"/>
        <v>140.8366088176937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269</v>
      </c>
      <c r="AG33" s="13">
        <f>VLOOKUP(A33,'Données projet'!$A$61:$I$81,9,0)</f>
        <v>15.142857142857142</v>
      </c>
      <c r="AH33" s="13">
        <f t="array" ref="AH33">INDEX(AG:AG,MIN(IF(ISNUMBER(AG33:AG229),ROW(AG33:AG229),"")))</f>
        <v>15.142857142857142</v>
      </c>
      <c r="AI33" s="14">
        <f>IF('Données projet'!$A$62&gt;35,AI32+AH33-AQ32,IF(A33&lt;'Données projet'!$A$62,$AF$205^A33,IF(A33='Données projet'!$A$62,'Données projet'!$B$62,AI32+AH33-AQ32)))</f>
        <v>269</v>
      </c>
      <c r="AJ33" s="14">
        <f>AI33*VLOOKUP('Données projet'!$B$10,Paramètres!$A$1:$I$89,3,0)*VLOOKUP('Données projet'!$B$10,Paramètres!$A$1:$I$89,5,0)</f>
        <v>160.86200000000002</v>
      </c>
      <c r="AK33" s="14">
        <f t="shared" si="35"/>
        <v>41.03688107178359</v>
      </c>
      <c r="AL33" s="22">
        <f t="shared" si="4"/>
        <v>351.64055120002314</v>
      </c>
      <c r="AM33" s="62">
        <f t="shared" si="5"/>
        <v>644.97388453335645</v>
      </c>
      <c r="AN33" s="62">
        <f ca="1">AVERAGE(OFFSET($AM$3,0,0,'Données projet'!$E$10+1,1))-AVERAGE(OFFSET($H$3,0,0,'Données projet'!$E$10+1,1))</f>
        <v>151.58413719376074</v>
      </c>
      <c r="AO33" s="62">
        <f t="shared" si="36"/>
        <v>310.105543138185</v>
      </c>
      <c r="AP33" s="16">
        <f>IF(ISNA(VLOOKUP(A33,'Données projet'!$A$61:$I$81,3,0)),0,VLOOKUP(A33,'Données projet'!$A$61:$I$81,3,0))</f>
        <v>4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10.894661352705947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1.9257275619318515</v>
      </c>
      <c r="AX33" s="23">
        <f t="shared" si="6"/>
        <v>12.8203889146378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18.538000000000004</v>
      </c>
      <c r="D34" s="12">
        <f t="shared" si="32"/>
        <v>6.0815239823749314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10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190.04544828499948</v>
      </c>
      <c r="H34" s="70">
        <f t="shared" si="1"/>
        <v>336.21233760263635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0</v>
      </c>
      <c r="N34" s="14">
        <f>IF('Données projet'!$A$36&gt;35,N33+M34-V33,IF(A34&lt;'Données projet'!$A$36,$K$205^A34,IF(A34='Données projet'!$A$36,'Données projet'!$B$36,N33+M34-V33)))</f>
        <v>1.1368683772161603E-13</v>
      </c>
      <c r="O34" s="14">
        <f>N34*VLOOKUP('Données projet'!$B$9,Paramètres!$A$1:$I$89,3,0)*VLOOKUP('Données projet'!$B$9,Paramètres!$A$1:$I$89,5,0)</f>
        <v>6.7984728957526396E-14</v>
      </c>
      <c r="P34" s="14">
        <f t="shared" si="33"/>
        <v>1.0682447123141398E-12</v>
      </c>
      <c r="Q34" s="22">
        <f t="shared" si="2"/>
        <v>1.978932943548152E-12</v>
      </c>
      <c r="R34" s="62">
        <f t="shared" si="0"/>
        <v>293.3333333333353</v>
      </c>
      <c r="S34" s="62">
        <f ca="1">AVERAGE(OFFSET($R$3,0,0,'Données projet'!$E$9+1,1))-AVERAGE(OFFSET($H$3,0,0,'Données projet'!$E$9+1,1))</f>
        <v>147.72913422715322</v>
      </c>
      <c r="T34" s="62">
        <f t="shared" si="34"/>
        <v>361.07991692964799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52.274828599443445</v>
      </c>
      <c r="AA34" s="23">
        <f>EXP(-LN(2)/25)*AA33+(1-EXP(-LN(2)/25))/(LN(2)/25)*Calculateur!V34*Calculateur!X34*VLOOKUP('Données projet'!$B$9,Paramètres!$A$1:$I$89,3,0)*0.475*44/12</f>
        <v>42.74703206752784</v>
      </c>
      <c r="AB34" s="23">
        <f>EXP(-LN(2)/2)*AB33+(1-EXP(-LN(2)/2))/(LN(2)/2)*V34*Y34*VLOOKUP('Données projet'!$B$9,Paramètres!$A$1:$I$89,3,0)*0.475*44/12</f>
        <v>30.806793228457632</v>
      </c>
      <c r="AC34" s="24">
        <f t="shared" si="3"/>
        <v>125.82865389542893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14</v>
      </c>
      <c r="AI34" s="14">
        <f>IF('Données projet'!$A$62&gt;35,AI33+AH34-AQ33,IF(A34&lt;'Données projet'!$A$62,$AF$205^A34,IF(A34='Données projet'!$A$62,'Données projet'!$B$62,AI33+AH34-AQ33)))</f>
        <v>283</v>
      </c>
      <c r="AJ34" s="14">
        <f>AI34*VLOOKUP('Données projet'!$B$10,Paramètres!$A$1:$I$89,3,0)*VLOOKUP('Données projet'!$B$10,Paramètres!$A$1:$I$89,5,0)</f>
        <v>169.23400000000001</v>
      </c>
      <c r="AK34" s="14">
        <f t="shared" si="35"/>
        <v>42.918420001269354</v>
      </c>
      <c r="AL34" s="22">
        <f t="shared" si="4"/>
        <v>369.4987981688775</v>
      </c>
      <c r="AM34" s="62">
        <f t="shared" si="5"/>
        <v>662.83213150221081</v>
      </c>
      <c r="AN34" s="62">
        <f ca="1">AVERAGE(OFFSET($AM$3,0,0,'Données projet'!$E$10+1,1))-AVERAGE(OFFSET($H$3,0,0,'Données projet'!$E$10+1,1))</f>
        <v>151.58413719376074</v>
      </c>
      <c r="AO34" s="62">
        <f t="shared" si="36"/>
        <v>310.105543138185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10.681023688666661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1.3616950177598495</v>
      </c>
      <c r="AX34" s="23">
        <f t="shared" si="6"/>
        <v>12.042718706426511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19.136000000000003</v>
      </c>
      <c r="D35" s="12">
        <f t="shared" si="32"/>
        <v>6.2545454373771854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10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195.99719284992921</v>
      </c>
      <c r="H35" s="70">
        <f t="shared" si="1"/>
        <v>337.55519997009856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0</v>
      </c>
      <c r="N35" s="14">
        <f>IF('Données projet'!$A$36&gt;35,N34+M35-V34,IF(A35&lt;'Données projet'!$A$36,$K$205^A35,IF(A35='Données projet'!$A$36,'Données projet'!$B$36,N34+M35-V34)))</f>
        <v>1.1368683772161603E-13</v>
      </c>
      <c r="O35" s="14">
        <f>N35*VLOOKUP('Données projet'!$B$9,Paramètres!$A$1:$I$89,3,0)*VLOOKUP('Données projet'!$B$9,Paramètres!$A$1:$I$89,5,0)</f>
        <v>6.7984728957526396E-14</v>
      </c>
      <c r="P35" s="14">
        <f t="shared" si="33"/>
        <v>1.0682447123141398E-12</v>
      </c>
      <c r="Q35" s="22">
        <f t="shared" ref="Q35:Q66" si="53">(O35+P35)*0.475*44/12</f>
        <v>1.978932943548152E-12</v>
      </c>
      <c r="R35" s="62">
        <f t="shared" si="0"/>
        <v>293.3333333333353</v>
      </c>
      <c r="S35" s="62">
        <f ca="1">AVERAGE(OFFSET($R$3,0,0,'Données projet'!$E$9+1,1))-AVERAGE(OFFSET($H$3,0,0,'Données projet'!$E$9+1,1))</f>
        <v>147.72913422715322</v>
      </c>
      <c r="T35" s="62">
        <f t="shared" si="34"/>
        <v>361.07991692964799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51.249751095105474</v>
      </c>
      <c r="AA35" s="23">
        <f>EXP(-LN(2)/25)*AA34+(1-EXP(-LN(2)/25))/(LN(2)/25)*Calculateur!V35*Calculateur!X35*VLOOKUP('Données projet'!$B$9,Paramètres!$A$1:$I$89,3,0)*0.475*44/12</f>
        <v>41.578112227672577</v>
      </c>
      <c r="AB35" s="23">
        <f>EXP(-LN(2)/2)*AB34+(1-EXP(-LN(2)/2))/(LN(2)/2)*V35*Y35*VLOOKUP('Données projet'!$B$9,Paramètres!$A$1:$I$89,3,0)*0.475*44/12</f>
        <v>21.783692398454207</v>
      </c>
      <c r="AC35" s="24">
        <f t="shared" si="3"/>
        <v>114.61155572123226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14</v>
      </c>
      <c r="AI35" s="14">
        <f>IF('Données projet'!$A$62&gt;35,AI34+AH35-AQ34,IF(A35&lt;'Données projet'!$A$62,$AF$205^A35,IF(A35='Données projet'!$A$62,'Données projet'!$B$62,AI34+AH35-AQ34)))</f>
        <v>297</v>
      </c>
      <c r="AJ35" s="14">
        <f>AI35*VLOOKUP('Données projet'!$B$10,Paramètres!$A$1:$I$89,3,0)*VLOOKUP('Données projet'!$B$10,Paramètres!$A$1:$I$89,5,0)</f>
        <v>177.60600000000002</v>
      </c>
      <c r="AK35" s="14">
        <f t="shared" si="35"/>
        <v>44.789150937858665</v>
      </c>
      <c r="AL35" s="22">
        <f t="shared" si="4"/>
        <v>387.33822121677053</v>
      </c>
      <c r="AM35" s="62">
        <f t="shared" si="5"/>
        <v>680.67155455010379</v>
      </c>
      <c r="AN35" s="62">
        <f ca="1">AVERAGE(OFFSET($AM$3,0,0,'Données projet'!$E$10+1,1))-AVERAGE(OFFSET($H$3,0,0,'Données projet'!$E$10+1,1))</f>
        <v>151.58413719376074</v>
      </c>
      <c r="AO35" s="62">
        <f t="shared" si="36"/>
        <v>310.105543138185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10.471575328913076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0.96286378096592584</v>
      </c>
      <c r="AX35" s="23">
        <f t="shared" si="6"/>
        <v>11.434439109879001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19.734000000000002</v>
      </c>
      <c r="D36" s="12">
        <f t="shared" si="32"/>
        <v>6.4269385620606752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10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201.94408714573157</v>
      </c>
      <c r="H36" s="70">
        <f t="shared" si="1"/>
        <v>338.89696799558897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0</v>
      </c>
      <c r="N36" s="14">
        <f>IF('Données projet'!$A$36&gt;35,N35+M36-V35,IF(A36&lt;'Données projet'!$A$36,$K$205^A36,IF(A36='Données projet'!$A$36,'Données projet'!$B$36,N35+M36-V35)))</f>
        <v>1.1368683772161603E-13</v>
      </c>
      <c r="O36" s="14">
        <f>N36*VLOOKUP('Données projet'!$B$9,Paramètres!$A$1:$I$89,3,0)*VLOOKUP('Données projet'!$B$9,Paramètres!$A$1:$I$89,5,0)</f>
        <v>6.7984728957526396E-14</v>
      </c>
      <c r="P36" s="14">
        <f t="shared" si="33"/>
        <v>1.0682447123141398E-12</v>
      </c>
      <c r="Q36" s="22">
        <f t="shared" si="53"/>
        <v>1.978932943548152E-12</v>
      </c>
      <c r="R36" s="62">
        <f t="shared" si="0"/>
        <v>293.3333333333353</v>
      </c>
      <c r="S36" s="62">
        <f ca="1">AVERAGE(OFFSET($R$3,0,0,'Données projet'!$E$9+1,1))-AVERAGE(OFFSET($H$3,0,0,'Données projet'!$E$9+1,1))</f>
        <v>147.72913422715322</v>
      </c>
      <c r="T36" s="62">
        <f t="shared" si="34"/>
        <v>361.07991692964799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50.244774735392028</v>
      </c>
      <c r="AA36" s="23">
        <f>EXP(-LN(2)/25)*AA35+(1-EXP(-LN(2)/25))/(LN(2)/25)*Calculateur!V36*Calculateur!X36*VLOOKUP('Données projet'!$B$9,Paramètres!$A$1:$I$89,3,0)*0.475*44/12</f>
        <v>40.441156562308976</v>
      </c>
      <c r="AB36" s="23">
        <f>EXP(-LN(2)/2)*AB35+(1-EXP(-LN(2)/2))/(LN(2)/2)*V36*Y36*VLOOKUP('Données projet'!$B$9,Paramètres!$A$1:$I$89,3,0)*0.475*44/12</f>
        <v>15.403396614228818</v>
      </c>
      <c r="AC36" s="24">
        <f t="shared" si="3"/>
        <v>106.08932791192981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14</v>
      </c>
      <c r="AI36" s="14">
        <f>IF('Données projet'!$A$62&gt;35,AI35+AH36-AQ35,IF(A36&lt;'Données projet'!$A$62,$AF$205^A36,IF(A36='Données projet'!$A$62,'Données projet'!$B$62,AI35+AH36-AQ35)))</f>
        <v>311</v>
      </c>
      <c r="AJ36" s="14">
        <f>AI36*VLOOKUP('Données projet'!$B$10,Paramètres!$A$1:$I$89,3,0)*VLOOKUP('Données projet'!$B$10,Paramètres!$A$1:$I$89,5,0)</f>
        <v>185.97800000000001</v>
      </c>
      <c r="AK36" s="14">
        <f t="shared" si="35"/>
        <v>46.649641523668571</v>
      </c>
      <c r="AL36" s="22">
        <f t="shared" si="4"/>
        <v>405.15980898705612</v>
      </c>
      <c r="AM36" s="62">
        <f t="shared" si="5"/>
        <v>698.49314232038944</v>
      </c>
      <c r="AN36" s="62">
        <f ca="1">AVERAGE(OFFSET($AM$3,0,0,'Données projet'!$E$10+1,1))-AVERAGE(OFFSET($H$3,0,0,'Données projet'!$E$10+1,1))</f>
        <v>151.58413719376074</v>
      </c>
      <c r="AO36" s="62">
        <f t="shared" si="36"/>
        <v>310.105543138185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10.266234123743374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0.68084750887992485</v>
      </c>
      <c r="AX36" s="23">
        <f t="shared" si="6"/>
        <v>10.947081632623298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20.332000000000001</v>
      </c>
      <c r="D37" s="12">
        <f t="shared" si="32"/>
        <v>6.5987245821741247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10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207.88629502029153</v>
      </c>
      <c r="H37" s="70">
        <f t="shared" si="1"/>
        <v>340.2376786472866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0</v>
      </c>
      <c r="N37" s="14">
        <f>IF('Données projet'!$A$36&gt;35,N36+M37-V36,IF(A37&lt;'Données projet'!$A$36,$K$205^A37,IF(A37='Données projet'!$A$36,'Données projet'!$B$36,N36+M37-V36)))</f>
        <v>1.1368683772161603E-13</v>
      </c>
      <c r="O37" s="14">
        <f>N37*VLOOKUP('Données projet'!$B$9,Paramètres!$A$1:$I$89,3,0)*VLOOKUP('Données projet'!$B$9,Paramètres!$A$1:$I$89,5,0)</f>
        <v>6.7984728957526396E-14</v>
      </c>
      <c r="P37" s="14">
        <f t="shared" si="33"/>
        <v>1.0682447123141398E-12</v>
      </c>
      <c r="Q37" s="22">
        <f t="shared" si="53"/>
        <v>1.978932943548152E-12</v>
      </c>
      <c r="R37" s="62">
        <f t="shared" si="0"/>
        <v>293.3333333333353</v>
      </c>
      <c r="S37" s="62">
        <f ca="1">AVERAGE(OFFSET($R$3,0,0,'Données projet'!$E$9+1,1))-AVERAGE(OFFSET($H$3,0,0,'Données projet'!$E$9+1,1))</f>
        <v>147.72913422715322</v>
      </c>
      <c r="T37" s="62">
        <f t="shared" si="34"/>
        <v>361.07991692964799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49.259505349117511</v>
      </c>
      <c r="AA37" s="23">
        <f>EXP(-LN(2)/25)*AA36+(1-EXP(-LN(2)/25))/(LN(2)/25)*Calculateur!V37*Calculateur!X37*VLOOKUP('Données projet'!$B$9,Paramètres!$A$1:$I$89,3,0)*0.475*44/12</f>
        <v>39.335291009404642</v>
      </c>
      <c r="AB37" s="23">
        <f>EXP(-LN(2)/2)*AB36+(1-EXP(-LN(2)/2))/(LN(2)/2)*V37*Y37*VLOOKUP('Données projet'!$B$9,Paramètres!$A$1:$I$89,3,0)*0.475*44/12</f>
        <v>10.891846199227105</v>
      </c>
      <c r="AC37" s="24">
        <f t="shared" si="3"/>
        <v>99.486642557749263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>
        <f>VLOOKUP(A37,'Données projet'!$A$61:$I$81,2,0)</f>
        <v>325</v>
      </c>
      <c r="AG37" s="13">
        <f>VLOOKUP(A37,'Données projet'!$A$61:$I$81,9,0)</f>
        <v>14</v>
      </c>
      <c r="AH37" s="13">
        <f t="array" ref="AH37">INDEX(AG:AG,MIN(IF(ISNUMBER(AG37:AG233),ROW(AG37:AG233),"")))</f>
        <v>14</v>
      </c>
      <c r="AI37" s="14">
        <f>IF('Données projet'!$A$62&gt;35,AI36+AH37-AQ36,IF(A37&lt;'Données projet'!$A$62,$AF$205^A37,IF(A37='Données projet'!$A$62,'Données projet'!$B$62,AI36+AH37-AQ36)))</f>
        <v>325</v>
      </c>
      <c r="AJ37" s="14">
        <f>AI37*VLOOKUP('Données projet'!$B$10,Paramètres!$A$1:$I$89,3,0)*VLOOKUP('Données projet'!$B$10,Paramètres!$A$1:$I$89,5,0)</f>
        <v>194.35</v>
      </c>
      <c r="AK37" s="14">
        <f t="shared" si="35"/>
        <v>48.500405405690429</v>
      </c>
      <c r="AL37" s="22">
        <f t="shared" si="4"/>
        <v>422.96445608157745</v>
      </c>
      <c r="AM37" s="62">
        <f t="shared" si="5"/>
        <v>716.29778941491077</v>
      </c>
      <c r="AN37" s="62">
        <f ca="1">AVERAGE(OFFSET($AM$3,0,0,'Données projet'!$E$10+1,1))-AVERAGE(OFFSET($H$3,0,0,'Données projet'!$E$10+1,1))</f>
        <v>151.58413719376074</v>
      </c>
      <c r="AO37" s="62">
        <f t="shared" si="36"/>
        <v>310.105543138185</v>
      </c>
      <c r="AP37" s="16">
        <f>IF(ISNA(VLOOKUP(A37,'Données projet'!$A$61:$I$81,3,0)),0,VLOOKUP(A37,'Données projet'!$A$61:$I$81,3,0))</f>
        <v>5</v>
      </c>
      <c r="AQ37" s="16">
        <f>IF(ISNA(VLOOKUP(A37,'Données projet'!$A$61:$I$81,4,0)),0,VLOOKUP(A37,'Données projet'!$A$61:$I$81,4,0))</f>
        <v>325</v>
      </c>
      <c r="AR37" s="17">
        <f>IF(ISNA(VLOOKUP(A37,'Données projet'!$A$61:$I$81,5,0)),0%,VLOOKUP(A37,'Données projet'!$A$61:$I$81,5,0)*VLOOKUP('Données projet'!$B$10,Paramètres!$A$1:$I$89,7,0))</f>
        <v>0.315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0.3</v>
      </c>
      <c r="AU37" s="23">
        <f>EXP(-LN(2)/35)*AU36+(1-EXP(-LN(2)/35))/(LN(2)/35)*AQ37*AR37*VLOOKUP('Données projet'!$B$10,Paramètres!$A$1:$I$89,3,0)*0.475*44/12</f>
        <v>91.277527137483801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66.496235997763563</v>
      </c>
      <c r="AX37" s="23">
        <f t="shared" si="6"/>
        <v>157.77376313524735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20.93</v>
      </c>
      <c r="D38" s="12">
        <f t="shared" si="32"/>
        <v>6.7699234039087761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10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213.82397013543618</v>
      </c>
      <c r="H38" s="70">
        <f t="shared" si="1"/>
        <v>341.57736659514109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0</v>
      </c>
      <c r="N38" s="14">
        <f>IF('Données projet'!$A$36&gt;35,N37+M38-V37,IF(A38&lt;'Données projet'!$A$36,$K$205^A38,IF(A38='Données projet'!$A$36,'Données projet'!$B$36,N37+M38-V37)))</f>
        <v>1.1368683772161603E-13</v>
      </c>
      <c r="O38" s="14">
        <f>N38*VLOOKUP('Données projet'!$B$9,Paramètres!$A$1:$I$89,3,0)*VLOOKUP('Données projet'!$B$9,Paramètres!$A$1:$I$89,5,0)</f>
        <v>6.7984728957526396E-14</v>
      </c>
      <c r="P38" s="14">
        <f t="shared" si="33"/>
        <v>1.0682447123141398E-12</v>
      </c>
      <c r="Q38" s="22">
        <f t="shared" si="53"/>
        <v>1.978932943548152E-12</v>
      </c>
      <c r="R38" s="62">
        <f t="shared" si="0"/>
        <v>293.3333333333353</v>
      </c>
      <c r="S38" s="62">
        <f ca="1">AVERAGE(OFFSET($R$3,0,0,'Données projet'!$E$9+1,1))-AVERAGE(OFFSET($H$3,0,0,'Données projet'!$E$9+1,1))</f>
        <v>147.72913422715322</v>
      </c>
      <c r="T38" s="62">
        <f t="shared" si="34"/>
        <v>361.07991692964799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48.293556494552853</v>
      </c>
      <c r="AA38" s="23">
        <f>EXP(-LN(2)/25)*AA37+(1-EXP(-LN(2)/25))/(LN(2)/25)*Calculateur!V38*Calculateur!X38*VLOOKUP('Données projet'!$B$9,Paramètres!$A$1:$I$89,3,0)*0.475*44/12</f>
        <v>38.259665408199417</v>
      </c>
      <c r="AB38" s="23">
        <f>EXP(-LN(2)/2)*AB37+(1-EXP(-LN(2)/2))/(LN(2)/2)*V38*Y38*VLOOKUP('Données projet'!$B$9,Paramètres!$A$1:$I$89,3,0)*0.475*44/12</f>
        <v>7.7016983071144107</v>
      </c>
      <c r="AC38" s="24">
        <f t="shared" si="3"/>
        <v>94.254920209866683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IF('Données projet'!$A$62&gt;35,AI37+AH38-AQ37,IF(A38&lt;'Données projet'!$A$62,$AF$205^A38,IF(A38='Données projet'!$A$62,'Données projet'!$B$62,AI37+AH38-AQ37)))</f>
        <v>0</v>
      </c>
      <c r="AJ38" s="14">
        <f>AI38*VLOOKUP('Données projet'!$B$10,Paramètres!$A$1:$I$89,3,0)*VLOOKUP('Données projet'!$B$10,Paramètres!$A$1:$I$89,5,0)</f>
        <v>0</v>
      </c>
      <c r="AK38" s="14" t="e">
        <f t="shared" si="35"/>
        <v>#NUM!</v>
      </c>
      <c r="AL38" s="22" t="e">
        <f t="shared" si="4"/>
        <v>#NUM!</v>
      </c>
      <c r="AM38" s="62" t="e">
        <f t="shared" si="5"/>
        <v>#NUM!</v>
      </c>
      <c r="AN38" s="62">
        <f ca="1">AVERAGE(OFFSET($AM$3,0,0,'Données projet'!$E$10+1,1))-AVERAGE(OFFSET($H$3,0,0,'Données projet'!$E$10+1,1))</f>
        <v>151.58413719376074</v>
      </c>
      <c r="AO38" s="62">
        <f t="shared" si="36"/>
        <v>310.105543138185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89.487630504111962</v>
      </c>
      <c r="AV38" s="23">
        <f>EXP(-LN(2)/25)*AV37+(1-EXP(-LN(2)/25))/(LN(2)/25)*Calculateur!AQ38*Calculateur!AS38*VLOOKUP('Données projet'!$B$10,Paramètres!$A$1:$I$89,3,0)*0.475*44/12</f>
        <v>0</v>
      </c>
      <c r="AW38" s="23">
        <f>EXP(-LN(2)/2)*AW37+(1-EXP(-LN(2)/2))/(LN(2)/2)*AQ38*AT38*VLOOKUP('Données projet'!$B$10,Paramètres!$A$1:$I$89,3,0)*0.475*44/12</f>
        <v>47.019939397399625</v>
      </c>
      <c r="AX38" s="23">
        <f t="shared" si="6"/>
        <v>136.5075699015116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21.527999999999999</v>
      </c>
      <c r="D39" s="12">
        <f t="shared" si="32"/>
        <v>6.9405537312613585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10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219.75725687289471</v>
      </c>
      <c r="H39" s="70">
        <f t="shared" si="1"/>
        <v>342.91606441528018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0</v>
      </c>
      <c r="N39" s="14">
        <f>IF('Données projet'!$A$36&gt;35,N38+M39-V38,IF(A39&lt;'Données projet'!$A$36,$K$205^A39,IF(A39='Données projet'!$A$36,'Données projet'!$B$36,N38+M39-V38)))</f>
        <v>1.1368683772161603E-13</v>
      </c>
      <c r="O39" s="14">
        <f>N39*VLOOKUP('Données projet'!$B$9,Paramètres!$A$1:$I$89,3,0)*VLOOKUP('Données projet'!$B$9,Paramètres!$A$1:$I$89,5,0)</f>
        <v>6.7984728957526396E-14</v>
      </c>
      <c r="P39" s="14">
        <f t="shared" si="33"/>
        <v>1.0682447123141398E-12</v>
      </c>
      <c r="Q39" s="22">
        <f t="shared" si="53"/>
        <v>1.978932943548152E-12</v>
      </c>
      <c r="R39" s="62">
        <f t="shared" si="0"/>
        <v>293.3333333333353</v>
      </c>
      <c r="S39" s="62">
        <f ca="1">AVERAGE(OFFSET($R$3,0,0,'Données projet'!$E$9+1,1))-AVERAGE(OFFSET($H$3,0,0,'Données projet'!$E$9+1,1))</f>
        <v>147.72913422715322</v>
      </c>
      <c r="T39" s="62">
        <f t="shared" si="34"/>
        <v>361.07991692964799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47.346549307855575</v>
      </c>
      <c r="AA39" s="23">
        <f>EXP(-LN(2)/25)*AA38+(1-EXP(-LN(2)/25))/(LN(2)/25)*Calculateur!V39*Calculateur!X39*VLOOKUP('Données projet'!$B$9,Paramètres!$A$1:$I$89,3,0)*0.475*44/12</f>
        <v>37.213452845623841</v>
      </c>
      <c r="AB39" s="23">
        <f>EXP(-LN(2)/2)*AB38+(1-EXP(-LN(2)/2))/(LN(2)/2)*V39*Y39*VLOOKUP('Données projet'!$B$9,Paramètres!$A$1:$I$89,3,0)*0.475*44/12</f>
        <v>5.4459230996135535</v>
      </c>
      <c r="AC39" s="24">
        <f t="shared" si="3"/>
        <v>90.005925253092968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IF('Données projet'!$A$62&gt;35,AI38+AH39-AQ38,IF(A39&lt;'Données projet'!$A$62,$AF$205^A39,IF(A39='Données projet'!$A$62,'Données projet'!$B$62,AI38+AH39-AQ38)))</f>
        <v>0</v>
      </c>
      <c r="AJ39" s="14">
        <f>AI39*VLOOKUP('Données projet'!$B$10,Paramètres!$A$1:$I$89,3,0)*VLOOKUP('Données projet'!$B$10,Paramètres!$A$1:$I$89,5,0)</f>
        <v>0</v>
      </c>
      <c r="AK39" s="14" t="e">
        <f t="shared" si="35"/>
        <v>#NUM!</v>
      </c>
      <c r="AL39" s="22" t="e">
        <f t="shared" si="4"/>
        <v>#NUM!</v>
      </c>
      <c r="AM39" s="62" t="e">
        <f t="shared" si="5"/>
        <v>#NUM!</v>
      </c>
      <c r="AN39" s="62">
        <f ca="1">AVERAGE(OFFSET($AM$3,0,0,'Données projet'!$E$10+1,1))-AVERAGE(OFFSET($H$3,0,0,'Données projet'!$E$10+1,1))</f>
        <v>151.58413719376074</v>
      </c>
      <c r="AO39" s="62">
        <f t="shared" si="36"/>
        <v>310.105543138185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87.732832651991401</v>
      </c>
      <c r="AV39" s="23">
        <f>EXP(-LN(2)/25)*AV38+(1-EXP(-LN(2)/25))/(LN(2)/25)*Calculateur!AQ39*Calculateur!AS39*VLOOKUP('Données projet'!$B$10,Paramètres!$A$1:$I$89,3,0)*0.475*44/12</f>
        <v>0</v>
      </c>
      <c r="AW39" s="23">
        <f>EXP(-LN(2)/2)*AW38+(1-EXP(-LN(2)/2))/(LN(2)/2)*AQ39*AT39*VLOOKUP('Données projet'!$B$10,Paramètres!$A$1:$I$89,3,0)*0.475*44/12</f>
        <v>33.248117998881781</v>
      </c>
      <c r="AX39" s="23">
        <f t="shared" si="6"/>
        <v>120.98095065087318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22.125999999999998</v>
      </c>
      <c r="D40" s="12">
        <f t="shared" si="32"/>
        <v>7.1106331699901926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10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225.68629113676641</v>
      </c>
      <c r="H40" s="70">
        <f t="shared" si="1"/>
        <v>344.25380277106626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0</v>
      </c>
      <c r="N40" s="14">
        <f>IF('Données projet'!$A$36&gt;35,N39+M40-V39,IF(A40&lt;'Données projet'!$A$36,$K$205^A40,IF(A40='Données projet'!$A$36,'Données projet'!$B$36,N39+M40-V39)))</f>
        <v>1.1368683772161603E-13</v>
      </c>
      <c r="O40" s="14">
        <f>N40*VLOOKUP('Données projet'!$B$9,Paramètres!$A$1:$I$89,3,0)*VLOOKUP('Données projet'!$B$9,Paramètres!$A$1:$I$89,5,0)</f>
        <v>6.7984728957526396E-14</v>
      </c>
      <c r="P40" s="14">
        <f t="shared" si="33"/>
        <v>1.0682447123141398E-12</v>
      </c>
      <c r="Q40" s="22">
        <f t="shared" si="53"/>
        <v>1.978932943548152E-12</v>
      </c>
      <c r="R40" s="62">
        <f t="shared" si="0"/>
        <v>293.3333333333353</v>
      </c>
      <c r="S40" s="62">
        <f ca="1">AVERAGE(OFFSET($R$3,0,0,'Données projet'!$E$9+1,1))-AVERAGE(OFFSET($H$3,0,0,'Données projet'!$E$9+1,1))</f>
        <v>147.72913422715322</v>
      </c>
      <c r="T40" s="62">
        <f t="shared" si="34"/>
        <v>361.07991692964799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46.418112354472086</v>
      </c>
      <c r="AA40" s="23">
        <f>EXP(-LN(2)/25)*AA39+(1-EXP(-LN(2)/25))/(LN(2)/25)*Calculateur!V40*Calculateur!X40*VLOOKUP('Données projet'!$B$9,Paramètres!$A$1:$I$89,3,0)*0.475*44/12</f>
        <v>36.195849020589826</v>
      </c>
      <c r="AB40" s="23">
        <f>EXP(-LN(2)/2)*AB39+(1-EXP(-LN(2)/2))/(LN(2)/2)*V40*Y40*VLOOKUP('Données projet'!$B$9,Paramètres!$A$1:$I$89,3,0)*0.475*44/12</f>
        <v>3.8508491535572058</v>
      </c>
      <c r="AC40" s="24">
        <f t="shared" si="3"/>
        <v>86.464810528619111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IF('Données projet'!$A$62&gt;35,AI39+AH40-AQ39,IF(A40&lt;'Données projet'!$A$62,$AF$205^A40,IF(A40='Données projet'!$A$62,'Données projet'!$B$62,AI39+AH40-AQ39)))</f>
        <v>0</v>
      </c>
      <c r="AJ40" s="14">
        <f>AI40*VLOOKUP('Données projet'!$B$10,Paramètres!$A$1:$I$89,3,0)*VLOOKUP('Données projet'!$B$10,Paramètres!$A$1:$I$89,5,0)</f>
        <v>0</v>
      </c>
      <c r="AK40" s="14" t="e">
        <f t="shared" si="35"/>
        <v>#NUM!</v>
      </c>
      <c r="AL40" s="22" t="e">
        <f t="shared" si="4"/>
        <v>#NUM!</v>
      </c>
      <c r="AM40" s="62" t="e">
        <f t="shared" si="5"/>
        <v>#NUM!</v>
      </c>
      <c r="AN40" s="62">
        <f ca="1">AVERAGE(OFFSET($AM$3,0,0,'Données projet'!$E$10+1,1))-AVERAGE(OFFSET($H$3,0,0,'Données projet'!$E$10+1,1))</f>
        <v>151.58413719376074</v>
      </c>
      <c r="AO40" s="62">
        <f t="shared" si="36"/>
        <v>310.105543138185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86.012445315429929</v>
      </c>
      <c r="AV40" s="23">
        <f>EXP(-LN(2)/25)*AV39+(1-EXP(-LN(2)/25))/(LN(2)/25)*Calculateur!AQ40*Calculateur!AS40*VLOOKUP('Données projet'!$B$10,Paramètres!$A$1:$I$89,3,0)*0.475*44/12</f>
        <v>0</v>
      </c>
      <c r="AW40" s="23">
        <f>EXP(-LN(2)/2)*AW39+(1-EXP(-LN(2)/2))/(LN(2)/2)*AQ40*AT40*VLOOKUP('Données projet'!$B$10,Paramètres!$A$1:$I$89,3,0)*0.475*44/12</f>
        <v>23.509969698699813</v>
      </c>
      <c r="AX40" s="23">
        <f t="shared" si="6"/>
        <v>109.52241501412973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22.723999999999997</v>
      </c>
      <c r="D41" s="12">
        <f t="shared" si="32"/>
        <v>7.2801783200166916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10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231.6112010667955</v>
      </c>
      <c r="H41" s="70">
        <f t="shared" si="1"/>
        <v>345.59061057402903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0</v>
      </c>
      <c r="N41" s="14">
        <f>IF('Données projet'!$A$36&gt;35,N40+M41-V40,IF(A41&lt;'Données projet'!$A$36,$K$205^A41,IF(A41='Données projet'!$A$36,'Données projet'!$B$36,N40+M41-V40)))</f>
        <v>1.1368683772161603E-13</v>
      </c>
      <c r="O41" s="14">
        <f>N41*VLOOKUP('Données projet'!$B$9,Paramètres!$A$1:$I$89,3,0)*VLOOKUP('Données projet'!$B$9,Paramètres!$A$1:$I$89,5,0)</f>
        <v>6.7984728957526396E-14</v>
      </c>
      <c r="P41" s="14">
        <f t="shared" si="33"/>
        <v>1.0682447123141398E-12</v>
      </c>
      <c r="Q41" s="22">
        <f t="shared" si="53"/>
        <v>1.978932943548152E-12</v>
      </c>
      <c r="R41" s="62">
        <f t="shared" si="0"/>
        <v>293.3333333333353</v>
      </c>
      <c r="S41" s="62">
        <f ca="1">AVERAGE(OFFSET($R$3,0,0,'Données projet'!$E$9+1,1))-AVERAGE(OFFSET($H$3,0,0,'Données projet'!$E$9+1,1))</f>
        <v>147.72913422715322</v>
      </c>
      <c r="T41" s="62">
        <f t="shared" si="34"/>
        <v>361.07991692964799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45.507881483453822</v>
      </c>
      <c r="AA41" s="23">
        <f>EXP(-LN(2)/25)*AA40+(1-EXP(-LN(2)/25))/(LN(2)/25)*Calculateur!V41*Calculateur!X41*VLOOKUP('Données projet'!$B$9,Paramètres!$A$1:$I$89,3,0)*0.475*44/12</f>
        <v>35.206071625664826</v>
      </c>
      <c r="AB41" s="23">
        <f>EXP(-LN(2)/2)*AB40+(1-EXP(-LN(2)/2))/(LN(2)/2)*V41*Y41*VLOOKUP('Données projet'!$B$9,Paramètres!$A$1:$I$89,3,0)*0.475*44/12</f>
        <v>2.7229615498067772</v>
      </c>
      <c r="AC41" s="24">
        <f t="shared" si="3"/>
        <v>83.436914658925431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IF('Données projet'!$A$62&gt;35,AI40+AH41-AQ40,IF(A41&lt;'Données projet'!$A$62,$AF$205^A41,IF(A41='Données projet'!$A$62,'Données projet'!$B$62,AI40+AH41-AQ40)))</f>
        <v>0</v>
      </c>
      <c r="AJ41" s="14">
        <f>AI41*VLOOKUP('Données projet'!$B$10,Paramètres!$A$1:$I$89,3,0)*VLOOKUP('Données projet'!$B$10,Paramètres!$A$1:$I$89,5,0)</f>
        <v>0</v>
      </c>
      <c r="AK41" s="14" t="e">
        <f t="shared" si="35"/>
        <v>#NUM!</v>
      </c>
      <c r="AL41" s="22" t="e">
        <f t="shared" si="4"/>
        <v>#NUM!</v>
      </c>
      <c r="AM41" s="62" t="e">
        <f t="shared" si="5"/>
        <v>#NUM!</v>
      </c>
      <c r="AN41" s="62">
        <f ca="1">AVERAGE(OFFSET($AM$3,0,0,'Données projet'!$E$10+1,1))-AVERAGE(OFFSET($H$3,0,0,'Données projet'!$E$10+1,1))</f>
        <v>151.58413719376074</v>
      </c>
      <c r="AO41" s="62">
        <f t="shared" si="36"/>
        <v>310.105543138185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84.325793725205756</v>
      </c>
      <c r="AV41" s="23">
        <f>EXP(-LN(2)/25)*AV40+(1-EXP(-LN(2)/25))/(LN(2)/25)*Calculateur!AQ41*Calculateur!AS41*VLOOKUP('Données projet'!$B$10,Paramètres!$A$1:$I$89,3,0)*0.475*44/12</f>
        <v>0</v>
      </c>
      <c r="AW41" s="23">
        <f>EXP(-LN(2)/2)*AW40+(1-EXP(-LN(2)/2))/(LN(2)/2)*AQ41*AT41*VLOOKUP('Données projet'!$B$10,Paramètres!$A$1:$I$89,3,0)*0.475*44/12</f>
        <v>16.624058999440891</v>
      </c>
      <c r="AX41" s="23">
        <f t="shared" si="6"/>
        <v>100.94985272464665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23.321999999999996</v>
      </c>
      <c r="D42" s="12">
        <f t="shared" si="32"/>
        <v>7.4492048578268033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10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237.5321076744525</v>
      </c>
      <c r="H42" s="70">
        <f t="shared" si="1"/>
        <v>346.92651512738166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0</v>
      </c>
      <c r="N42" s="14">
        <f>IF('Données projet'!$A$36&gt;35,N41+M42-V41,IF(A42&lt;'Données projet'!$A$36,$K$205^A42,IF(A42='Données projet'!$A$36,'Données projet'!$B$36,N41+M42-V41)))</f>
        <v>1.1368683772161603E-13</v>
      </c>
      <c r="O42" s="14">
        <f>N42*VLOOKUP('Données projet'!$B$9,Paramètres!$A$1:$I$89,3,0)*VLOOKUP('Données projet'!$B$9,Paramètres!$A$1:$I$89,5,0)</f>
        <v>6.7984728957526396E-14</v>
      </c>
      <c r="P42" s="14">
        <f t="shared" si="33"/>
        <v>1.0682447123141398E-12</v>
      </c>
      <c r="Q42" s="22">
        <f t="shared" si="53"/>
        <v>1.978932943548152E-12</v>
      </c>
      <c r="R42" s="62">
        <f t="shared" si="0"/>
        <v>293.3333333333353</v>
      </c>
      <c r="S42" s="62">
        <f ca="1">AVERAGE(OFFSET($R$3,0,0,'Données projet'!$E$9+1,1))-AVERAGE(OFFSET($H$3,0,0,'Données projet'!$E$9+1,1))</f>
        <v>147.72913422715322</v>
      </c>
      <c r="T42" s="62">
        <f t="shared" si="34"/>
        <v>361.07991692964799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44.615499684630215</v>
      </c>
      <c r="AA42" s="23">
        <f>EXP(-LN(2)/25)*AA41+(1-EXP(-LN(2)/25))/(LN(2)/25)*Calculateur!V42*Calculateur!X42*VLOOKUP('Données projet'!$B$9,Paramètres!$A$1:$I$89,3,0)*0.475*44/12</f>
        <v>34.243359745654182</v>
      </c>
      <c r="AB42" s="23">
        <f>EXP(-LN(2)/2)*AB41+(1-EXP(-LN(2)/2))/(LN(2)/2)*V42*Y42*VLOOKUP('Données projet'!$B$9,Paramètres!$A$1:$I$89,3,0)*0.475*44/12</f>
        <v>1.9254245767786033</v>
      </c>
      <c r="AC42" s="24">
        <f t="shared" si="3"/>
        <v>80.784284007063007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0</v>
      </c>
      <c r="AJ42" s="14">
        <f>AI42*VLOOKUP('Données projet'!$B$10,Paramètres!$A$1:$I$89,3,0)*VLOOKUP('Données projet'!$B$10,Paramètres!$A$1:$I$89,5,0)</f>
        <v>0</v>
      </c>
      <c r="AK42" s="14" t="e">
        <f t="shared" si="35"/>
        <v>#NUM!</v>
      </c>
      <c r="AL42" s="22" t="e">
        <f t="shared" si="4"/>
        <v>#NUM!</v>
      </c>
      <c r="AM42" s="62" t="e">
        <f t="shared" si="5"/>
        <v>#NUM!</v>
      </c>
      <c r="AN42" s="62">
        <f ca="1">AVERAGE(OFFSET($AM$3,0,0,'Données projet'!$E$10+1,1))-AVERAGE(OFFSET($H$3,0,0,'Données projet'!$E$10+1,1))</f>
        <v>151.58413719376074</v>
      </c>
      <c r="AO42" s="62">
        <f t="shared" si="36"/>
        <v>310.105543138185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82.672216343909994</v>
      </c>
      <c r="AV42" s="23">
        <f>EXP(-LN(2)/25)*AV41+(1-EXP(-LN(2)/25))/(LN(2)/25)*Calculateur!AQ42*Calculateur!AS42*VLOOKUP('Données projet'!$B$10,Paramètres!$A$1:$I$89,3,0)*0.475*44/12</f>
        <v>0</v>
      </c>
      <c r="AW42" s="23">
        <f>EXP(-LN(2)/2)*AW41+(1-EXP(-LN(2)/2))/(LN(2)/2)*AQ42*AT42*VLOOKUP('Données projet'!$B$10,Paramètres!$A$1:$I$89,3,0)*0.475*44/12</f>
        <v>11.754984849349906</v>
      </c>
      <c r="AX42" s="23">
        <f t="shared" si="6"/>
        <v>94.427201193259904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23.919999999999995</v>
      </c>
      <c r="D43" s="12">
        <f t="shared" si="32"/>
        <v>7.6177276101832261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10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243.44912541194063</v>
      </c>
      <c r="H43" s="70">
        <f t="shared" si="1"/>
        <v>348.2615422544024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0</v>
      </c>
      <c r="N43" s="14">
        <f>IF('Données projet'!$A$36&gt;35,N42+M43-V42,IF(A43&lt;'Données projet'!$A$36,$K$205^A43,IF(A43='Données projet'!$A$36,'Données projet'!$B$36,N42+M43-V42)))</f>
        <v>1.1368683772161603E-13</v>
      </c>
      <c r="O43" s="14">
        <f>N43*VLOOKUP('Données projet'!$B$9,Paramètres!$A$1:$I$89,3,0)*VLOOKUP('Données projet'!$B$9,Paramètres!$A$1:$I$89,5,0)</f>
        <v>6.7984728957526396E-14</v>
      </c>
      <c r="P43" s="14">
        <f t="shared" si="33"/>
        <v>1.0682447123141398E-12</v>
      </c>
      <c r="Q43" s="22">
        <f t="shared" si="53"/>
        <v>1.978932943548152E-12</v>
      </c>
      <c r="R43" s="62">
        <f t="shared" si="0"/>
        <v>293.3333333333353</v>
      </c>
      <c r="S43" s="62">
        <f ca="1">AVERAGE(OFFSET($R$3,0,0,'Données projet'!$E$9+1,1))-AVERAGE(OFFSET($H$3,0,0,'Données projet'!$E$9+1,1))</f>
        <v>147.72913422715322</v>
      </c>
      <c r="T43" s="62">
        <f t="shared" si="34"/>
        <v>361.07991692964799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43.740616948582385</v>
      </c>
      <c r="AA43" s="23">
        <f>EXP(-LN(2)/25)*AA42+(1-EXP(-LN(2)/25))/(LN(2)/25)*Calculateur!V43*Calculateur!X43*VLOOKUP('Données projet'!$B$9,Paramètres!$A$1:$I$89,3,0)*0.475*44/12</f>
        <v>33.306973272629243</v>
      </c>
      <c r="AB43" s="23">
        <f>EXP(-LN(2)/2)*AB42+(1-EXP(-LN(2)/2))/(LN(2)/2)*V43*Y43*VLOOKUP('Données projet'!$B$9,Paramètres!$A$1:$I$89,3,0)*0.475*44/12</f>
        <v>1.3614807749033888</v>
      </c>
      <c r="AC43" s="24">
        <f t="shared" si="3"/>
        <v>78.40907099611502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0</v>
      </c>
      <c r="AJ43" s="14">
        <f>AI43*VLOOKUP('Données projet'!$B$10,Paramètres!$A$1:$I$89,3,0)*VLOOKUP('Données projet'!$B$10,Paramètres!$A$1:$I$89,5,0)</f>
        <v>0</v>
      </c>
      <c r="AK43" s="14" t="e">
        <f t="shared" si="35"/>
        <v>#NUM!</v>
      </c>
      <c r="AL43" s="22" t="e">
        <f t="shared" si="4"/>
        <v>#NUM!</v>
      </c>
      <c r="AM43" s="62" t="e">
        <f t="shared" si="5"/>
        <v>#NUM!</v>
      </c>
      <c r="AN43" s="62">
        <f ca="1">AVERAGE(OFFSET($AM$3,0,0,'Données projet'!$E$10+1,1))-AVERAGE(OFFSET($H$3,0,0,'Données projet'!$E$10+1,1))</f>
        <v>151.58413719376074</v>
      </c>
      <c r="AO43" s="62">
        <f t="shared" si="36"/>
        <v>310.105543138185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81.051064606478832</v>
      </c>
      <c r="AV43" s="23">
        <f>EXP(-LN(2)/25)*AV42+(1-EXP(-LN(2)/25))/(LN(2)/25)*Calculateur!AQ43*Calculateur!AS43*VLOOKUP('Données projet'!$B$10,Paramètres!$A$1:$I$89,3,0)*0.475*44/12</f>
        <v>0</v>
      </c>
      <c r="AW43" s="23">
        <f>EXP(-LN(2)/2)*AW42+(1-EXP(-LN(2)/2))/(LN(2)/2)*AQ43*AT43*VLOOKUP('Données projet'!$B$10,Paramètres!$A$1:$I$89,3,0)*0.475*44/12</f>
        <v>8.3120294997204454</v>
      </c>
      <c r="AX43" s="23">
        <f t="shared" si="6"/>
        <v>89.36309410619927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24.517999999999994</v>
      </c>
      <c r="D44" s="12">
        <f t="shared" si="32"/>
        <v>7.7857606202588796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10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249.36236268270008</v>
      </c>
      <c r="H44" s="70">
        <f t="shared" si="1"/>
        <v>349.59571641361754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0</v>
      </c>
      <c r="N44" s="14">
        <f>IF('Données projet'!$A$36&gt;35,N43+M44-V43,IF(A44&lt;'Données projet'!$A$36,$K$205^A44,IF(A44='Données projet'!$A$36,'Données projet'!$B$36,N43+M44-V43)))</f>
        <v>1.1368683772161603E-13</v>
      </c>
      <c r="O44" s="14">
        <f>N44*VLOOKUP('Données projet'!$B$9,Paramètres!$A$1:$I$89,3,0)*VLOOKUP('Données projet'!$B$9,Paramètres!$A$1:$I$89,5,0)</f>
        <v>6.7984728957526396E-14</v>
      </c>
      <c r="P44" s="14">
        <f t="shared" si="33"/>
        <v>1.0682447123141398E-12</v>
      </c>
      <c r="Q44" s="22">
        <f t="shared" si="53"/>
        <v>1.978932943548152E-12</v>
      </c>
      <c r="R44" s="62">
        <f t="shared" si="0"/>
        <v>293.3333333333353</v>
      </c>
      <c r="S44" s="62">
        <f ca="1">AVERAGE(OFFSET($R$3,0,0,'Données projet'!$E$9+1,1))-AVERAGE(OFFSET($H$3,0,0,'Données projet'!$E$9+1,1))</f>
        <v>147.72913422715322</v>
      </c>
      <c r="T44" s="62">
        <f t="shared" si="34"/>
        <v>361.07991692964799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42.882890129362679</v>
      </c>
      <c r="AA44" s="23">
        <f>EXP(-LN(2)/25)*AA43+(1-EXP(-LN(2)/25))/(LN(2)/25)*Calculateur!V44*Calculateur!X44*VLOOKUP('Données projet'!$B$9,Paramètres!$A$1:$I$89,3,0)*0.475*44/12</f>
        <v>32.396192336951593</v>
      </c>
      <c r="AB44" s="23">
        <f>EXP(-LN(2)/2)*AB43+(1-EXP(-LN(2)/2))/(LN(2)/2)*V44*Y44*VLOOKUP('Données projet'!$B$9,Paramètres!$A$1:$I$89,3,0)*0.475*44/12</f>
        <v>0.96271228838930178</v>
      </c>
      <c r="AC44" s="24">
        <f t="shared" si="3"/>
        <v>76.241794754703562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0</v>
      </c>
      <c r="AJ44" s="14">
        <f>AI44*VLOOKUP('Données projet'!$B$10,Paramètres!$A$1:$I$89,3,0)*VLOOKUP('Données projet'!$B$10,Paramètres!$A$1:$I$89,5,0)</f>
        <v>0</v>
      </c>
      <c r="AK44" s="14" t="e">
        <f t="shared" si="35"/>
        <v>#NUM!</v>
      </c>
      <c r="AL44" s="22" t="e">
        <f t="shared" si="4"/>
        <v>#NUM!</v>
      </c>
      <c r="AM44" s="62" t="e">
        <f t="shared" si="5"/>
        <v>#NUM!</v>
      </c>
      <c r="AN44" s="62">
        <f ca="1">AVERAGE(OFFSET($AM$3,0,0,'Données projet'!$E$10+1,1))-AVERAGE(OFFSET($H$3,0,0,'Données projet'!$E$10+1,1))</f>
        <v>151.58413719376074</v>
      </c>
      <c r="AO44" s="62">
        <f t="shared" si="36"/>
        <v>310.105543138185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79.46170266581376</v>
      </c>
      <c r="AV44" s="23">
        <f>EXP(-LN(2)/25)*AV43+(1-EXP(-LN(2)/25))/(LN(2)/25)*Calculateur!AQ44*Calculateur!AS44*VLOOKUP('Données projet'!$B$10,Paramètres!$A$1:$I$89,3,0)*0.475*44/12</f>
        <v>0</v>
      </c>
      <c r="AW44" s="23">
        <f>EXP(-LN(2)/2)*AW43+(1-EXP(-LN(2)/2))/(LN(2)/2)*AQ44*AT44*VLOOKUP('Données projet'!$B$10,Paramètres!$A$1:$I$89,3,0)*0.475*44/12</f>
        <v>5.8774924246749531</v>
      </c>
      <c r="AX44" s="23">
        <f t="shared" si="6"/>
        <v>85.339195090488715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25.115999999999993</v>
      </c>
      <c r="D45" s="12">
        <f t="shared" si="32"/>
        <v>7.9533172071366991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10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255.27192230070429</v>
      </c>
      <c r="H45" s="70">
        <f t="shared" si="1"/>
        <v>350.92906080242972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0</v>
      </c>
      <c r="N45" s="14">
        <f>IF('Données projet'!$A$36&gt;35,N44+M45-V44,IF(A45&lt;'Données projet'!$A$36,$K$205^A45,IF(A45='Données projet'!$A$36,'Données projet'!$B$36,N44+M45-V44)))</f>
        <v>1.1368683772161603E-13</v>
      </c>
      <c r="O45" s="14">
        <f>N45*VLOOKUP('Données projet'!$B$9,Paramètres!$A$1:$I$89,3,0)*VLOOKUP('Données projet'!$B$9,Paramètres!$A$1:$I$89,5,0)</f>
        <v>6.7984728957526396E-14</v>
      </c>
      <c r="P45" s="14">
        <f t="shared" si="33"/>
        <v>1.0682447123141398E-12</v>
      </c>
      <c r="Q45" s="22">
        <f t="shared" si="53"/>
        <v>1.978932943548152E-12</v>
      </c>
      <c r="R45" s="62">
        <f t="shared" si="0"/>
        <v>293.3333333333353</v>
      </c>
      <c r="S45" s="62">
        <f ca="1">AVERAGE(OFFSET($R$3,0,0,'Données projet'!$E$9+1,1))-AVERAGE(OFFSET($H$3,0,0,'Données projet'!$E$9+1,1))</f>
        <v>147.72913422715322</v>
      </c>
      <c r="T45" s="62">
        <f t="shared" si="34"/>
        <v>361.07991692964799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42.041982809906166</v>
      </c>
      <c r="AA45" s="23">
        <f>EXP(-LN(2)/25)*AA44+(1-EXP(-LN(2)/25))/(LN(2)/25)*Calculateur!V45*Calculateur!X45*VLOOKUP('Données projet'!$B$9,Paramètres!$A$1:$I$89,3,0)*0.475*44/12</f>
        <v>31.510316753855939</v>
      </c>
      <c r="AB45" s="23">
        <f>EXP(-LN(2)/2)*AB44+(1-EXP(-LN(2)/2))/(LN(2)/2)*V45*Y45*VLOOKUP('Données projet'!$B$9,Paramètres!$A$1:$I$89,3,0)*0.475*44/12</f>
        <v>0.68074038745169452</v>
      </c>
      <c r="AC45" s="24">
        <f t="shared" si="3"/>
        <v>74.233039951213797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0</v>
      </c>
      <c r="AJ45" s="14">
        <f>AI45*VLOOKUP('Données projet'!$B$10,Paramètres!$A$1:$I$89,3,0)*VLOOKUP('Données projet'!$B$10,Paramètres!$A$1:$I$89,5,0)</f>
        <v>0</v>
      </c>
      <c r="AK45" s="14" t="e">
        <f t="shared" si="35"/>
        <v>#NUM!</v>
      </c>
      <c r="AL45" s="22" t="e">
        <f t="shared" si="4"/>
        <v>#NUM!</v>
      </c>
      <c r="AM45" s="62" t="e">
        <f t="shared" si="5"/>
        <v>#NUM!</v>
      </c>
      <c r="AN45" s="62">
        <f ca="1">AVERAGE(OFFSET($AM$3,0,0,'Données projet'!$E$10+1,1))-AVERAGE(OFFSET($H$3,0,0,'Données projet'!$E$10+1,1))</f>
        <v>151.58413719376074</v>
      </c>
      <c r="AO45" s="62">
        <f t="shared" si="36"/>
        <v>310.105543138185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77.903507143390073</v>
      </c>
      <c r="AV45" s="23">
        <f>EXP(-LN(2)/25)*AV44+(1-EXP(-LN(2)/25))/(LN(2)/25)*Calculateur!AQ45*Calculateur!AS45*VLOOKUP('Données projet'!$B$10,Paramètres!$A$1:$I$89,3,0)*0.475*44/12</f>
        <v>0</v>
      </c>
      <c r="AW45" s="23">
        <f>EXP(-LN(2)/2)*AW44+(1-EXP(-LN(2)/2))/(LN(2)/2)*AQ45*AT45*VLOOKUP('Données projet'!$B$10,Paramètres!$A$1:$I$89,3,0)*0.475*44/12</f>
        <v>4.1560147498602227</v>
      </c>
      <c r="AX45" s="23">
        <f t="shared" si="6"/>
        <v>82.059521893250292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25.713999999999992</v>
      </c>
      <c r="D46" s="12">
        <f t="shared" si="32"/>
        <v>8.1204100194831259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10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261.17790190478195</v>
      </c>
      <c r="H46" s="70">
        <f t="shared" si="1"/>
        <v>352.26159745059977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0</v>
      </c>
      <c r="N46" s="14">
        <f>IF('Données projet'!$A$36&gt;35,N45+M46-V45,IF(A46&lt;'Données projet'!$A$36,$K$205^A46,IF(A46='Données projet'!$A$36,'Données projet'!$B$36,N45+M46-V45)))</f>
        <v>1.1368683772161603E-13</v>
      </c>
      <c r="O46" s="14">
        <f>N46*VLOOKUP('Données projet'!$B$9,Paramètres!$A$1:$I$89,3,0)*VLOOKUP('Données projet'!$B$9,Paramètres!$A$1:$I$89,5,0)</f>
        <v>6.7984728957526396E-14</v>
      </c>
      <c r="P46" s="14">
        <f t="shared" si="33"/>
        <v>1.0682447123141398E-12</v>
      </c>
      <c r="Q46" s="22">
        <f t="shared" si="53"/>
        <v>1.978932943548152E-12</v>
      </c>
      <c r="R46" s="62">
        <f t="shared" si="0"/>
        <v>293.3333333333353</v>
      </c>
      <c r="S46" s="62">
        <f ca="1">AVERAGE(OFFSET($R$3,0,0,'Données projet'!$E$9+1,1))-AVERAGE(OFFSET($H$3,0,0,'Données projet'!$E$9+1,1))</f>
        <v>147.72913422715322</v>
      </c>
      <c r="T46" s="62">
        <f t="shared" si="34"/>
        <v>361.07991692964799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41.217565170081379</v>
      </c>
      <c r="AA46" s="23">
        <f>EXP(-LN(2)/25)*AA45+(1-EXP(-LN(2)/25))/(LN(2)/25)*Calculateur!V46*Calculateur!X46*VLOOKUP('Données projet'!$B$9,Paramètres!$A$1:$I$89,3,0)*0.475*44/12</f>
        <v>30.648665485166209</v>
      </c>
      <c r="AB46" s="23">
        <f>EXP(-LN(2)/2)*AB45+(1-EXP(-LN(2)/2))/(LN(2)/2)*V46*Y46*VLOOKUP('Données projet'!$B$9,Paramètres!$A$1:$I$89,3,0)*0.475*44/12</f>
        <v>0.48135614419465095</v>
      </c>
      <c r="AC46" s="24">
        <f t="shared" si="3"/>
        <v>72.34758679944224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0</v>
      </c>
      <c r="AJ46" s="14">
        <f>AI46*VLOOKUP('Données projet'!$B$10,Paramètres!$A$1:$I$89,3,0)*VLOOKUP('Données projet'!$B$10,Paramètres!$A$1:$I$89,5,0)</f>
        <v>0</v>
      </c>
      <c r="AK46" s="14" t="e">
        <f t="shared" si="35"/>
        <v>#NUM!</v>
      </c>
      <c r="AL46" s="22" t="e">
        <f t="shared" si="4"/>
        <v>#NUM!</v>
      </c>
      <c r="AM46" s="62" t="e">
        <f t="shared" si="5"/>
        <v>#NUM!</v>
      </c>
      <c r="AN46" s="62">
        <f ca="1">AVERAGE(OFFSET($AM$3,0,0,'Données projet'!$E$10+1,1))-AVERAGE(OFFSET($H$3,0,0,'Données projet'!$E$10+1,1))</f>
        <v>151.58413719376074</v>
      </c>
      <c r="AO46" s="62">
        <f t="shared" si="36"/>
        <v>310.105543138185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76.375866884755695</v>
      </c>
      <c r="AV46" s="23">
        <f>EXP(-LN(2)/25)*AV45+(1-EXP(-LN(2)/25))/(LN(2)/25)*Calculateur!AQ46*Calculateur!AS46*VLOOKUP('Données projet'!$B$10,Paramètres!$A$1:$I$89,3,0)*0.475*44/12</f>
        <v>0</v>
      </c>
      <c r="AW46" s="23">
        <f>EXP(-LN(2)/2)*AW45+(1-EXP(-LN(2)/2))/(LN(2)/2)*AQ46*AT46*VLOOKUP('Données projet'!$B$10,Paramètres!$A$1:$I$89,3,0)*0.475*44/12</f>
        <v>2.9387462123374766</v>
      </c>
      <c r="AX46" s="23">
        <f t="shared" si="6"/>
        <v>79.314613097093172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26.311999999999991</v>
      </c>
      <c r="D47" s="12">
        <f t="shared" si="32"/>
        <v>8.2870510840880431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10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267.08039433331112</v>
      </c>
      <c r="H47" s="70">
        <f t="shared" si="1"/>
        <v>353.59334730478662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0</v>
      </c>
      <c r="N47" s="14">
        <f>IF('Données projet'!$A$36&gt;35,N46+M47-V46,IF(A47&lt;'Données projet'!$A$36,$K$205^A47,IF(A47='Données projet'!$A$36,'Données projet'!$B$36,N46+M47-V46)))</f>
        <v>1.1368683772161603E-13</v>
      </c>
      <c r="O47" s="14">
        <f>N47*VLOOKUP('Données projet'!$B$9,Paramètres!$A$1:$I$89,3,0)*VLOOKUP('Données projet'!$B$9,Paramètres!$A$1:$I$89,5,0)</f>
        <v>6.7984728957526396E-14</v>
      </c>
      <c r="P47" s="14">
        <f t="shared" si="33"/>
        <v>1.0682447123141398E-12</v>
      </c>
      <c r="Q47" s="22">
        <f t="shared" si="53"/>
        <v>1.978932943548152E-12</v>
      </c>
      <c r="R47" s="62">
        <f t="shared" si="0"/>
        <v>293.3333333333353</v>
      </c>
      <c r="S47" s="62">
        <f ca="1">AVERAGE(OFFSET($R$3,0,0,'Données projet'!$E$9+1,1))-AVERAGE(OFFSET($H$3,0,0,'Données projet'!$E$9+1,1))</f>
        <v>147.72913422715322</v>
      </c>
      <c r="T47" s="62">
        <f t="shared" si="34"/>
        <v>361.07991692964799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40.409313857328442</v>
      </c>
      <c r="AA47" s="23">
        <f>EXP(-LN(2)/25)*AA46+(1-EXP(-LN(2)/25))/(LN(2)/25)*Calculateur!V47*Calculateur!X47*VLOOKUP('Données projet'!$B$9,Paramètres!$A$1:$I$89,3,0)*0.475*44/12</f>
        <v>29.81057611573107</v>
      </c>
      <c r="AB47" s="23">
        <f>EXP(-LN(2)/2)*AB46+(1-EXP(-LN(2)/2))/(LN(2)/2)*V47*Y47*VLOOKUP('Données projet'!$B$9,Paramètres!$A$1:$I$89,3,0)*0.475*44/12</f>
        <v>0.34037019372584731</v>
      </c>
      <c r="AC47" s="24">
        <f t="shared" si="3"/>
        <v>70.560260166785355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0</v>
      </c>
      <c r="AJ47" s="14">
        <f>AI47*VLOOKUP('Données projet'!$B$10,Paramètres!$A$1:$I$89,3,0)*VLOOKUP('Données projet'!$B$10,Paramètres!$A$1:$I$89,5,0)</f>
        <v>0</v>
      </c>
      <c r="AK47" s="14" t="e">
        <f t="shared" si="35"/>
        <v>#NUM!</v>
      </c>
      <c r="AL47" s="22" t="e">
        <f t="shared" si="4"/>
        <v>#NUM!</v>
      </c>
      <c r="AM47" s="62" t="e">
        <f t="shared" si="5"/>
        <v>#NUM!</v>
      </c>
      <c r="AN47" s="62">
        <f ca="1">AVERAGE(OFFSET($AM$3,0,0,'Données projet'!$E$10+1,1))-AVERAGE(OFFSET($H$3,0,0,'Données projet'!$E$10+1,1))</f>
        <v>151.58413719376074</v>
      </c>
      <c r="AO47" s="62">
        <f t="shared" si="36"/>
        <v>310.105543138185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74.878182719824579</v>
      </c>
      <c r="AV47" s="23">
        <f>EXP(-LN(2)/25)*AV46+(1-EXP(-LN(2)/25))/(LN(2)/25)*Calculateur!AQ47*Calculateur!AS47*VLOOKUP('Données projet'!$B$10,Paramètres!$A$1:$I$89,3,0)*0.475*44/12</f>
        <v>0</v>
      </c>
      <c r="AW47" s="23">
        <f>EXP(-LN(2)/2)*AW46+(1-EXP(-LN(2)/2))/(LN(2)/2)*AQ47*AT47*VLOOKUP('Données projet'!$B$10,Paramètres!$A$1:$I$89,3,0)*0.475*44/12</f>
        <v>2.0780073749301113</v>
      </c>
      <c r="AX47" s="23">
        <f t="shared" si="6"/>
        <v>76.956190094754689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26.909999999999989</v>
      </c>
      <c r="D48" s="12">
        <f t="shared" si="32"/>
        <v>8.4532518498676339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10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272.97948796389045</v>
      </c>
      <c r="H48" s="70">
        <f t="shared" si="1"/>
        <v>354.92433030518612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0</v>
      </c>
      <c r="N48" s="14">
        <f>IF('Données projet'!$A$36&gt;35,N47+M48-V47,IF(A48&lt;'Données projet'!$A$36,$K$205^A48,IF(A48='Données projet'!$A$36,'Données projet'!$B$36,N47+M48-V47)))</f>
        <v>1.1368683772161603E-13</v>
      </c>
      <c r="O48" s="14">
        <f>N48*VLOOKUP('Données projet'!$B$9,Paramètres!$A$1:$I$89,3,0)*VLOOKUP('Données projet'!$B$9,Paramètres!$A$1:$I$89,5,0)</f>
        <v>6.7984728957526396E-14</v>
      </c>
      <c r="P48" s="14">
        <f t="shared" si="33"/>
        <v>1.0682447123141398E-12</v>
      </c>
      <c r="Q48" s="22">
        <f t="shared" si="53"/>
        <v>1.978932943548152E-12</v>
      </c>
      <c r="R48" s="62">
        <f t="shared" si="0"/>
        <v>293.3333333333353</v>
      </c>
      <c r="S48" s="62">
        <f ca="1">AVERAGE(OFFSET($R$3,0,0,'Données projet'!$E$9+1,1))-AVERAGE(OFFSET($H$3,0,0,'Données projet'!$E$9+1,1))</f>
        <v>147.72913422715322</v>
      </c>
      <c r="T48" s="62">
        <f t="shared" si="34"/>
        <v>361.07991692964799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39.616911859833969</v>
      </c>
      <c r="AA48" s="23">
        <f>EXP(-LN(2)/25)*AA47+(1-EXP(-LN(2)/25))/(LN(2)/25)*Calculateur!V48*Calculateur!X48*VLOOKUP('Données projet'!$B$9,Paramètres!$A$1:$I$89,3,0)*0.475*44/12</f>
        <v>28.99540434417634</v>
      </c>
      <c r="AB48" s="23">
        <f>EXP(-LN(2)/2)*AB47+(1-EXP(-LN(2)/2))/(LN(2)/2)*V48*Y48*VLOOKUP('Données projet'!$B$9,Paramètres!$A$1:$I$89,3,0)*0.475*44/12</f>
        <v>0.24067807209732553</v>
      </c>
      <c r="AC48" s="24">
        <f t="shared" si="3"/>
        <v>68.852994276107637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0</v>
      </c>
      <c r="AJ48" s="14">
        <f>AI48*VLOOKUP('Données projet'!$B$10,Paramètres!$A$1:$I$89,3,0)*VLOOKUP('Données projet'!$B$10,Paramètres!$A$1:$I$89,5,0)</f>
        <v>0</v>
      </c>
      <c r="AK48" s="14" t="e">
        <f t="shared" si="35"/>
        <v>#NUM!</v>
      </c>
      <c r="AL48" s="22" t="e">
        <f t="shared" si="4"/>
        <v>#NUM!</v>
      </c>
      <c r="AM48" s="62" t="e">
        <f t="shared" si="5"/>
        <v>#NUM!</v>
      </c>
      <c r="AN48" s="62">
        <f ca="1">AVERAGE(OFFSET($AM$3,0,0,'Données projet'!$E$10+1,1))-AVERAGE(OFFSET($H$3,0,0,'Données projet'!$E$10+1,1))</f>
        <v>151.58413719376074</v>
      </c>
      <c r="AO48" s="62">
        <f t="shared" si="36"/>
        <v>310.105543138185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73.40986722787062</v>
      </c>
      <c r="AV48" s="23">
        <f>EXP(-LN(2)/25)*AV47+(1-EXP(-LN(2)/25))/(LN(2)/25)*Calculateur!AQ48*Calculateur!AS48*VLOOKUP('Données projet'!$B$10,Paramètres!$A$1:$I$89,3,0)*0.475*44/12</f>
        <v>0</v>
      </c>
      <c r="AW48" s="23">
        <f>EXP(-LN(2)/2)*AW47+(1-EXP(-LN(2)/2))/(LN(2)/2)*AQ48*AT48*VLOOKUP('Données projet'!$B$10,Paramètres!$A$1:$I$89,3,0)*0.475*44/12</f>
        <v>1.4693731061687383</v>
      </c>
      <c r="AX48" s="23">
        <f t="shared" si="6"/>
        <v>74.879240334039352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27.507999999999988</v>
      </c>
      <c r="D49" s="12">
        <f t="shared" si="32"/>
        <v>8.6190232278455454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10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278.87526702196556</v>
      </c>
      <c r="H49" s="70">
        <f t="shared" si="1"/>
        <v>356.25456545516431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1.1368683772161603E-13</v>
      </c>
      <c r="O49" s="14">
        <f>N49*VLOOKUP('Données projet'!$B$9,Paramètres!$A$1:$I$89,3,0)*VLOOKUP('Données projet'!$B$9,Paramètres!$A$1:$I$89,5,0)</f>
        <v>6.7984728957526396E-14</v>
      </c>
      <c r="P49" s="14">
        <f t="shared" si="33"/>
        <v>1.0682447123141398E-12</v>
      </c>
      <c r="Q49" s="22">
        <f t="shared" si="53"/>
        <v>1.978932943548152E-12</v>
      </c>
      <c r="R49" s="62">
        <f t="shared" si="0"/>
        <v>293.3333333333353</v>
      </c>
      <c r="S49" s="62">
        <f ca="1">AVERAGE(OFFSET($R$3,0,0,'Données projet'!$E$9+1,1))-AVERAGE(OFFSET($H$3,0,0,'Données projet'!$E$9+1,1))</f>
        <v>147.72913422715322</v>
      </c>
      <c r="T49" s="62">
        <f t="shared" si="34"/>
        <v>361.07991692964799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38.840048382192869</v>
      </c>
      <c r="AA49" s="23">
        <f>EXP(-LN(2)/25)*AA48+(1-EXP(-LN(2)/25))/(LN(2)/25)*Calculateur!V49*Calculateur!X49*VLOOKUP('Données projet'!$B$9,Paramètres!$A$1:$I$89,3,0)*0.475*44/12</f>
        <v>28.202523487582791</v>
      </c>
      <c r="AB49" s="23">
        <f>EXP(-LN(2)/2)*AB48+(1-EXP(-LN(2)/2))/(LN(2)/2)*V49*Y49*VLOOKUP('Données projet'!$B$9,Paramètres!$A$1:$I$89,3,0)*0.475*44/12</f>
        <v>0.17018509686292368</v>
      </c>
      <c r="AC49" s="24">
        <f t="shared" si="3"/>
        <v>67.21275696663858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0</v>
      </c>
      <c r="AJ49" s="14">
        <f>AI49*VLOOKUP('Données projet'!$B$10,Paramètres!$A$1:$I$89,3,0)*VLOOKUP('Données projet'!$B$10,Paramètres!$A$1:$I$89,5,0)</f>
        <v>0</v>
      </c>
      <c r="AK49" s="14" t="e">
        <f t="shared" si="35"/>
        <v>#NUM!</v>
      </c>
      <c r="AL49" s="22" t="e">
        <f t="shared" si="4"/>
        <v>#NUM!</v>
      </c>
      <c r="AM49" s="62" t="e">
        <f t="shared" si="5"/>
        <v>#NUM!</v>
      </c>
      <c r="AN49" s="62">
        <f ca="1">AVERAGE(OFFSET($AM$3,0,0,'Données projet'!$E$10+1,1))-AVERAGE(OFFSET($H$3,0,0,'Données projet'!$E$10+1,1))</f>
        <v>151.58413719376074</v>
      </c>
      <c r="AO49" s="62">
        <f t="shared" si="36"/>
        <v>310.105543138185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71.970344507129866</v>
      </c>
      <c r="AV49" s="23">
        <f>EXP(-LN(2)/25)*AV48+(1-EXP(-LN(2)/25))/(LN(2)/25)*Calculateur!AQ49*Calculateur!AS49*VLOOKUP('Données projet'!$B$10,Paramètres!$A$1:$I$89,3,0)*0.475*44/12</f>
        <v>0</v>
      </c>
      <c r="AW49" s="23">
        <f>EXP(-LN(2)/2)*AW48+(1-EXP(-LN(2)/2))/(LN(2)/2)*AQ49*AT49*VLOOKUP('Données projet'!$B$10,Paramètres!$A$1:$I$89,3,0)*0.475*44/12</f>
        <v>1.0390036874650557</v>
      </c>
      <c r="AX49" s="23">
        <f t="shared" si="6"/>
        <v>73.009348194594921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28.105999999999987</v>
      </c>
      <c r="D50" s="12">
        <f t="shared" si="32"/>
        <v>8.7843756275593741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10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284.76781186186179</v>
      </c>
      <c r="H50" s="70">
        <f t="shared" si="1"/>
        <v>357.58407088466589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1.1368683772161603E-13</v>
      </c>
      <c r="O50" s="14">
        <f>N50*VLOOKUP('Données projet'!$B$9,Paramètres!$A$1:$I$89,3,0)*VLOOKUP('Données projet'!$B$9,Paramètres!$A$1:$I$89,5,0)</f>
        <v>6.7984728957526396E-14</v>
      </c>
      <c r="P50" s="14">
        <f t="shared" si="33"/>
        <v>1.0682447123141398E-12</v>
      </c>
      <c r="Q50" s="22">
        <f t="shared" si="53"/>
        <v>1.978932943548152E-12</v>
      </c>
      <c r="R50" s="62">
        <f t="shared" si="0"/>
        <v>293.3333333333353</v>
      </c>
      <c r="S50" s="62">
        <f ca="1">AVERAGE(OFFSET($R$3,0,0,'Données projet'!$E$9+1,1))-AVERAGE(OFFSET($H$3,0,0,'Données projet'!$E$9+1,1))</f>
        <v>147.72913422715322</v>
      </c>
      <c r="T50" s="62">
        <f t="shared" si="34"/>
        <v>361.07991692964799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38.078418723508378</v>
      </c>
      <c r="AA50" s="23">
        <f>EXP(-LN(2)/25)*AA49+(1-EXP(-LN(2)/25))/(LN(2)/25)*Calculateur!V50*Calculateur!X50*VLOOKUP('Données projet'!$B$9,Paramètres!$A$1:$I$89,3,0)*0.475*44/12</f>
        <v>27.431323999708589</v>
      </c>
      <c r="AB50" s="23">
        <f>EXP(-LN(2)/2)*AB49+(1-EXP(-LN(2)/2))/(LN(2)/2)*V50*Y50*VLOOKUP('Données projet'!$B$9,Paramètres!$A$1:$I$89,3,0)*0.475*44/12</f>
        <v>0.12033903604866278</v>
      </c>
      <c r="AC50" s="24">
        <f t="shared" si="3"/>
        <v>65.630081759265622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0</v>
      </c>
      <c r="AJ50" s="14">
        <f>AI50*VLOOKUP('Données projet'!$B$10,Paramètres!$A$1:$I$89,3,0)*VLOOKUP('Données projet'!$B$10,Paramètres!$A$1:$I$89,5,0)</f>
        <v>0</v>
      </c>
      <c r="AK50" s="14" t="e">
        <f t="shared" si="35"/>
        <v>#NUM!</v>
      </c>
      <c r="AL50" s="22" t="e">
        <f t="shared" si="4"/>
        <v>#NUM!</v>
      </c>
      <c r="AM50" s="62" t="e">
        <f t="shared" si="5"/>
        <v>#NUM!</v>
      </c>
      <c r="AN50" s="62">
        <f ca="1">AVERAGE(OFFSET($AM$3,0,0,'Données projet'!$E$10+1,1))-AVERAGE(OFFSET($H$3,0,0,'Données projet'!$E$10+1,1))</f>
        <v>151.58413719376074</v>
      </c>
      <c r="AO50" s="62">
        <f t="shared" si="36"/>
        <v>310.105543138185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70.559049948920674</v>
      </c>
      <c r="AV50" s="23">
        <f>EXP(-LN(2)/25)*AV49+(1-EXP(-LN(2)/25))/(LN(2)/25)*Calculateur!AQ50*Calculateur!AS50*VLOOKUP('Données projet'!$B$10,Paramètres!$A$1:$I$89,3,0)*0.475*44/12</f>
        <v>0</v>
      </c>
      <c r="AW50" s="23">
        <f>EXP(-LN(2)/2)*AW49+(1-EXP(-LN(2)/2))/(LN(2)/2)*AQ50*AT50*VLOOKUP('Données projet'!$B$10,Paramètres!$A$1:$I$89,3,0)*0.475*44/12</f>
        <v>0.73468655308436914</v>
      </c>
      <c r="AX50" s="23">
        <f t="shared" si="6"/>
        <v>71.293736502005046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28.703999999999986</v>
      </c>
      <c r="D51" s="12">
        <f t="shared" si="32"/>
        <v>8.9493189902812986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10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290.65719922322398</v>
      </c>
      <c r="H51" s="70">
        <f t="shared" si="1"/>
        <v>358.91286390807323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1.1368683772161603E-13</v>
      </c>
      <c r="O51" s="14">
        <f>N51*VLOOKUP('Données projet'!$B$9,Paramètres!$A$1:$I$89,3,0)*VLOOKUP('Données projet'!$B$9,Paramètres!$A$1:$I$89,5,0)</f>
        <v>6.7984728957526396E-14</v>
      </c>
      <c r="P51" s="14">
        <f t="shared" si="33"/>
        <v>1.0682447123141398E-12</v>
      </c>
      <c r="Q51" s="22">
        <f t="shared" si="53"/>
        <v>1.978932943548152E-12</v>
      </c>
      <c r="R51" s="62">
        <f t="shared" si="0"/>
        <v>293.3333333333353</v>
      </c>
      <c r="S51" s="62">
        <f ca="1">AVERAGE(OFFSET($R$3,0,0,'Données projet'!$E$9+1,1))-AVERAGE(OFFSET($H$3,0,0,'Données projet'!$E$9+1,1))</f>
        <v>147.72913422715322</v>
      </c>
      <c r="T51" s="62">
        <f t="shared" si="34"/>
        <v>361.07991692964799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37.331724157882469</v>
      </c>
      <c r="AA51" s="23">
        <f>EXP(-LN(2)/25)*AA50+(1-EXP(-LN(2)/25))/(LN(2)/25)*Calculateur!V51*Calculateur!X51*VLOOKUP('Données projet'!$B$9,Paramètres!$A$1:$I$89,3,0)*0.475*44/12</f>
        <v>26.681213002385924</v>
      </c>
      <c r="AB51" s="23">
        <f>EXP(-LN(2)/2)*AB50+(1-EXP(-LN(2)/2))/(LN(2)/2)*V51*Y51*VLOOKUP('Données projet'!$B$9,Paramètres!$A$1:$I$89,3,0)*0.475*44/12</f>
        <v>8.5092548431461856E-2</v>
      </c>
      <c r="AC51" s="24">
        <f t="shared" si="3"/>
        <v>64.098029708699855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0</v>
      </c>
      <c r="AJ51" s="14">
        <f>AI51*VLOOKUP('Données projet'!$B$10,Paramètres!$A$1:$I$89,3,0)*VLOOKUP('Données projet'!$B$10,Paramètres!$A$1:$I$89,5,0)</f>
        <v>0</v>
      </c>
      <c r="AK51" s="14" t="e">
        <f t="shared" si="35"/>
        <v>#NUM!</v>
      </c>
      <c r="AL51" s="22" t="e">
        <f t="shared" si="4"/>
        <v>#NUM!</v>
      </c>
      <c r="AM51" s="62" t="e">
        <f t="shared" si="5"/>
        <v>#NUM!</v>
      </c>
      <c r="AN51" s="62">
        <f ca="1">AVERAGE(OFFSET($AM$3,0,0,'Données projet'!$E$10+1,1))-AVERAGE(OFFSET($H$3,0,0,'Données projet'!$E$10+1,1))</f>
        <v>151.58413719376074</v>
      </c>
      <c r="AO51" s="62">
        <f t="shared" si="36"/>
        <v>310.105543138185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69.175430016193275</v>
      </c>
      <c r="AV51" s="23">
        <f>EXP(-LN(2)/25)*AV50+(1-EXP(-LN(2)/25))/(LN(2)/25)*Calculateur!AQ51*Calculateur!AS51*VLOOKUP('Données projet'!$B$10,Paramètres!$A$1:$I$89,3,0)*0.475*44/12</f>
        <v>0</v>
      </c>
      <c r="AW51" s="23">
        <f>EXP(-LN(2)/2)*AW50+(1-EXP(-LN(2)/2))/(LN(2)/2)*AQ51*AT51*VLOOKUP('Données projet'!$B$10,Paramètres!$A$1:$I$89,3,0)*0.475*44/12</f>
        <v>0.51950184373252783</v>
      </c>
      <c r="AX51" s="23">
        <f t="shared" si="6"/>
        <v>69.694931859925802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29.301999999999985</v>
      </c>
      <c r="D52" s="12">
        <f t="shared" si="32"/>
        <v>9.1138628193922067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10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296.54350246548358</v>
      </c>
      <c r="H52" s="70">
        <f t="shared" si="1"/>
        <v>360.24096107710801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1.1368683772161603E-13</v>
      </c>
      <c r="O52" s="14">
        <f>N52*VLOOKUP('Données projet'!$B$9,Paramètres!$A$1:$I$89,3,0)*VLOOKUP('Données projet'!$B$9,Paramètres!$A$1:$I$89,5,0)</f>
        <v>6.7984728957526396E-14</v>
      </c>
      <c r="P52" s="14">
        <f t="shared" si="33"/>
        <v>1.0682447123141398E-12</v>
      </c>
      <c r="Q52" s="22">
        <f t="shared" si="53"/>
        <v>1.978932943548152E-12</v>
      </c>
      <c r="R52" s="62">
        <f t="shared" si="0"/>
        <v>293.3333333333353</v>
      </c>
      <c r="S52" s="62">
        <f ca="1">AVERAGE(OFFSET($R$3,0,0,'Données projet'!$E$9+1,1))-AVERAGE(OFFSET($H$3,0,0,'Données projet'!$E$9+1,1))</f>
        <v>147.72913422715322</v>
      </c>
      <c r="T52" s="62">
        <f t="shared" si="34"/>
        <v>361.07991692964799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36.599671817249771</v>
      </c>
      <c r="AA52" s="23">
        <f>EXP(-LN(2)/25)*AA51+(1-EXP(-LN(2)/25))/(LN(2)/25)*Calculateur!V52*Calculateur!X52*VLOOKUP('Données projet'!$B$9,Paramètres!$A$1:$I$89,3,0)*0.475*44/12</f>
        <v>25.95161382973167</v>
      </c>
      <c r="AB52" s="23">
        <f>EXP(-LN(2)/2)*AB51+(1-EXP(-LN(2)/2))/(LN(2)/2)*V52*Y52*VLOOKUP('Données projet'!$B$9,Paramètres!$A$1:$I$89,3,0)*0.475*44/12</f>
        <v>6.0169518024331403E-2</v>
      </c>
      <c r="AC52" s="24">
        <f t="shared" si="3"/>
        <v>62.611455165005772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0</v>
      </c>
      <c r="AJ52" s="14">
        <f>AI52*VLOOKUP('Données projet'!$B$10,Paramètres!$A$1:$I$89,3,0)*VLOOKUP('Données projet'!$B$10,Paramètres!$A$1:$I$89,5,0)</f>
        <v>0</v>
      </c>
      <c r="AK52" s="14" t="e">
        <f t="shared" si="35"/>
        <v>#NUM!</v>
      </c>
      <c r="AL52" s="22" t="e">
        <f t="shared" si="4"/>
        <v>#NUM!</v>
      </c>
      <c r="AM52" s="62" t="e">
        <f t="shared" si="5"/>
        <v>#NUM!</v>
      </c>
      <c r="AN52" s="62">
        <f ca="1">AVERAGE(OFFSET($AM$3,0,0,'Données projet'!$E$10+1,1))-AVERAGE(OFFSET($H$3,0,0,'Données projet'!$E$10+1,1))</f>
        <v>151.58413719376074</v>
      </c>
      <c r="AO52" s="62">
        <f t="shared" si="36"/>
        <v>310.105543138185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67.818942026421837</v>
      </c>
      <c r="AV52" s="23">
        <f>EXP(-LN(2)/25)*AV51+(1-EXP(-LN(2)/25))/(LN(2)/25)*Calculateur!AQ52*Calculateur!AS52*VLOOKUP('Données projet'!$B$10,Paramètres!$A$1:$I$89,3,0)*0.475*44/12</f>
        <v>0</v>
      </c>
      <c r="AW52" s="23">
        <f>EXP(-LN(2)/2)*AW51+(1-EXP(-LN(2)/2))/(LN(2)/2)*AQ52*AT52*VLOOKUP('Données projet'!$B$10,Paramètres!$A$1:$I$89,3,0)*0.475*44/12</f>
        <v>0.36734327654218457</v>
      </c>
      <c r="AX52" s="23">
        <f t="shared" si="6"/>
        <v>68.186285302964023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29.899999999999984</v>
      </c>
      <c r="D53" s="12">
        <f t="shared" si="32"/>
        <v>9.2780162082062319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10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302.4267917826445</v>
      </c>
      <c r="H53" s="70">
        <f t="shared" si="1"/>
        <v>361.56837822929248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1.1368683772161603E-13</v>
      </c>
      <c r="O53" s="14">
        <f>N53*VLOOKUP('Données projet'!$B$9,Paramètres!$A$1:$I$89,3,0)*VLOOKUP('Données projet'!$B$9,Paramètres!$A$1:$I$89,5,0)</f>
        <v>6.7984728957526396E-14</v>
      </c>
      <c r="P53" s="14">
        <f t="shared" si="33"/>
        <v>1.0682447123141398E-12</v>
      </c>
      <c r="Q53" s="22">
        <f t="shared" si="53"/>
        <v>1.978932943548152E-12</v>
      </c>
      <c r="R53" s="62">
        <f t="shared" si="0"/>
        <v>293.3333333333353</v>
      </c>
      <c r="S53" s="62">
        <f ca="1">AVERAGE(OFFSET($R$3,0,0,'Données projet'!$E$9+1,1))-AVERAGE(OFFSET($H$3,0,0,'Données projet'!$E$9+1,1))</f>
        <v>147.72913422715322</v>
      </c>
      <c r="T53" s="62">
        <f t="shared" si="34"/>
        <v>361.07991692964799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35.881974576509037</v>
      </c>
      <c r="AA53" s="23">
        <f>EXP(-LN(2)/25)*AA52+(1-EXP(-LN(2)/25))/(LN(2)/25)*Calculateur!V53*Calculateur!X53*VLOOKUP('Données projet'!$B$9,Paramètres!$A$1:$I$89,3,0)*0.475*44/12</f>
        <v>25.2419655848216</v>
      </c>
      <c r="AB53" s="23">
        <f>EXP(-LN(2)/2)*AB52+(1-EXP(-LN(2)/2))/(LN(2)/2)*V53*Y53*VLOOKUP('Données projet'!$B$9,Paramètres!$A$1:$I$89,3,0)*0.475*44/12</f>
        <v>4.2546274215730935E-2</v>
      </c>
      <c r="AC53" s="24">
        <f t="shared" si="3"/>
        <v>61.166486435546368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0</v>
      </c>
      <c r="AJ53" s="14">
        <f>AI53*VLOOKUP('Données projet'!$B$10,Paramètres!$A$1:$I$89,3,0)*VLOOKUP('Données projet'!$B$10,Paramètres!$A$1:$I$89,5,0)</f>
        <v>0</v>
      </c>
      <c r="AK53" s="14" t="e">
        <f t="shared" si="35"/>
        <v>#NUM!</v>
      </c>
      <c r="AL53" s="22" t="e">
        <f t="shared" si="4"/>
        <v>#NUM!</v>
      </c>
      <c r="AM53" s="62" t="e">
        <f t="shared" si="5"/>
        <v>#NUM!</v>
      </c>
      <c r="AN53" s="62">
        <f ca="1">AVERAGE(OFFSET($AM$3,0,0,'Données projet'!$E$10+1,1))-AVERAGE(OFFSET($H$3,0,0,'Données projet'!$E$10+1,1))</f>
        <v>151.58413719376074</v>
      </c>
      <c r="AO53" s="62">
        <f t="shared" si="36"/>
        <v>310.105543138185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66.489053938753841</v>
      </c>
      <c r="AV53" s="23">
        <f>EXP(-LN(2)/25)*AV52+(1-EXP(-LN(2)/25))/(LN(2)/25)*Calculateur!AQ53*Calculateur!AS53*VLOOKUP('Données projet'!$B$10,Paramètres!$A$1:$I$89,3,0)*0.475*44/12</f>
        <v>0</v>
      </c>
      <c r="AW53" s="23">
        <f>EXP(-LN(2)/2)*AW52+(1-EXP(-LN(2)/2))/(LN(2)/2)*AQ53*AT53*VLOOKUP('Données projet'!$B$10,Paramètres!$A$1:$I$89,3,0)*0.475*44/12</f>
        <v>0.25975092186626392</v>
      </c>
      <c r="AX53" s="23">
        <f t="shared" si="6"/>
        <v>66.748804860620112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30.497999999999983</v>
      </c>
      <c r="D54" s="12">
        <f t="shared" si="32"/>
        <v>9.4417878655064946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10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308.30713440040086</v>
      </c>
      <c r="H54" s="70">
        <f t="shared" si="1"/>
        <v>362.89513053242376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1.1368683772161603E-13</v>
      </c>
      <c r="O54" s="14">
        <f>N54*VLOOKUP('Données projet'!$B$9,Paramètres!$A$1:$I$89,3,0)*VLOOKUP('Données projet'!$B$9,Paramètres!$A$1:$I$89,5,0)</f>
        <v>6.7984728957526396E-14</v>
      </c>
      <c r="P54" s="14">
        <f t="shared" si="33"/>
        <v>1.0682447123141398E-12</v>
      </c>
      <c r="Q54" s="22">
        <f t="shared" si="53"/>
        <v>1.978932943548152E-12</v>
      </c>
      <c r="R54" s="62">
        <f t="shared" si="0"/>
        <v>293.3333333333353</v>
      </c>
      <c r="S54" s="62">
        <f ca="1">AVERAGE(OFFSET($R$3,0,0,'Données projet'!$E$9+1,1))-AVERAGE(OFFSET($H$3,0,0,'Données projet'!$E$9+1,1))</f>
        <v>147.72913422715322</v>
      </c>
      <c r="T54" s="62">
        <f t="shared" si="34"/>
        <v>361.07991692964799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35.178350940907137</v>
      </c>
      <c r="AA54" s="23">
        <f>EXP(-LN(2)/25)*AA53+(1-EXP(-LN(2)/25))/(LN(2)/25)*Calculateur!V54*Calculateur!X54*VLOOKUP('Données projet'!$B$9,Paramètres!$A$1:$I$89,3,0)*0.475*44/12</f>
        <v>24.551722708487375</v>
      </c>
      <c r="AB54" s="23">
        <f>EXP(-LN(2)/2)*AB53+(1-EXP(-LN(2)/2))/(LN(2)/2)*V54*Y54*VLOOKUP('Données projet'!$B$9,Paramètres!$A$1:$I$89,3,0)*0.475*44/12</f>
        <v>3.0084759012165705E-2</v>
      </c>
      <c r="AC54" s="24">
        <f t="shared" si="3"/>
        <v>59.760158408406681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0</v>
      </c>
      <c r="AJ54" s="14">
        <f>AI54*VLOOKUP('Données projet'!$B$10,Paramètres!$A$1:$I$89,3,0)*VLOOKUP('Données projet'!$B$10,Paramètres!$A$1:$I$89,5,0)</f>
        <v>0</v>
      </c>
      <c r="AK54" s="14" t="e">
        <f t="shared" si="35"/>
        <v>#NUM!</v>
      </c>
      <c r="AL54" s="22" t="e">
        <f t="shared" si="4"/>
        <v>#NUM!</v>
      </c>
      <c r="AM54" s="62" t="e">
        <f t="shared" si="5"/>
        <v>#NUM!</v>
      </c>
      <c r="AN54" s="62">
        <f ca="1">AVERAGE(OFFSET($AM$3,0,0,'Données projet'!$E$10+1,1))-AVERAGE(OFFSET($H$3,0,0,'Données projet'!$E$10+1,1))</f>
        <v>151.58413719376074</v>
      </c>
      <c r="AO54" s="62">
        <f t="shared" si="36"/>
        <v>310.105543138185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65.185244145333371</v>
      </c>
      <c r="AV54" s="23">
        <f>EXP(-LN(2)/25)*AV53+(1-EXP(-LN(2)/25))/(LN(2)/25)*Calculateur!AQ54*Calculateur!AS54*VLOOKUP('Données projet'!$B$10,Paramètres!$A$1:$I$89,3,0)*0.475*44/12</f>
        <v>0</v>
      </c>
      <c r="AW54" s="23">
        <f>EXP(-LN(2)/2)*AW53+(1-EXP(-LN(2)/2))/(LN(2)/2)*AQ54*AT54*VLOOKUP('Données projet'!$B$10,Paramètres!$A$1:$I$89,3,0)*0.475*44/12</f>
        <v>0.18367163827109229</v>
      </c>
      <c r="AX54" s="23">
        <f t="shared" si="6"/>
        <v>65.368915783604464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31.095999999999982</v>
      </c>
      <c r="D55" s="12">
        <f t="shared" si="32"/>
        <v>9.6051861390214377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10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314.18459475735835</v>
      </c>
      <c r="H55" s="70">
        <f t="shared" si="1"/>
        <v>364.22123252546226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1.1368683772161603E-13</v>
      </c>
      <c r="O55" s="14">
        <f>N55*VLOOKUP('Données projet'!$B$9,Paramètres!$A$1:$I$89,3,0)*VLOOKUP('Données projet'!$B$9,Paramètres!$A$1:$I$89,5,0)</f>
        <v>6.7984728957526396E-14</v>
      </c>
      <c r="P55" s="14">
        <f t="shared" si="33"/>
        <v>1.0682447123141398E-12</v>
      </c>
      <c r="Q55" s="22">
        <f t="shared" si="53"/>
        <v>1.978932943548152E-12</v>
      </c>
      <c r="R55" s="62">
        <f t="shared" si="0"/>
        <v>293.3333333333353</v>
      </c>
      <c r="S55" s="62">
        <f ca="1">AVERAGE(OFFSET($R$3,0,0,'Données projet'!$E$9+1,1))-AVERAGE(OFFSET($H$3,0,0,'Données projet'!$E$9+1,1))</f>
        <v>147.72913422715322</v>
      </c>
      <c r="T55" s="62">
        <f t="shared" si="34"/>
        <v>361.07991692964799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34.488524935631354</v>
      </c>
      <c r="AA55" s="23">
        <f>EXP(-LN(2)/25)*AA54+(1-EXP(-LN(2)/25))/(LN(2)/25)*Calculateur!V55*Calculateur!X55*VLOOKUP('Données projet'!$B$9,Paramètres!$A$1:$I$89,3,0)*0.475*44/12</f>
        <v>23.880354559904806</v>
      </c>
      <c r="AB55" s="23">
        <f>EXP(-LN(2)/2)*AB54+(1-EXP(-LN(2)/2))/(LN(2)/2)*V55*Y55*VLOOKUP('Données projet'!$B$9,Paramètres!$A$1:$I$89,3,0)*0.475*44/12</f>
        <v>2.1273137107865471E-2</v>
      </c>
      <c r="AC55" s="24">
        <f t="shared" si="3"/>
        <v>58.390152632644032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0</v>
      </c>
      <c r="AJ55" s="14">
        <f>AI55*VLOOKUP('Données projet'!$B$10,Paramètres!$A$1:$I$89,3,0)*VLOOKUP('Données projet'!$B$10,Paramètres!$A$1:$I$89,5,0)</f>
        <v>0</v>
      </c>
      <c r="AK55" s="14" t="e">
        <f t="shared" si="35"/>
        <v>#NUM!</v>
      </c>
      <c r="AL55" s="22" t="e">
        <f t="shared" si="4"/>
        <v>#NUM!</v>
      </c>
      <c r="AM55" s="62" t="e">
        <f t="shared" si="5"/>
        <v>#NUM!</v>
      </c>
      <c r="AN55" s="62">
        <f ca="1">AVERAGE(OFFSET($AM$3,0,0,'Données projet'!$E$10+1,1))-AVERAGE(OFFSET($H$3,0,0,'Données projet'!$E$10+1,1))</f>
        <v>151.58413719376074</v>
      </c>
      <c r="AO55" s="62">
        <f t="shared" si="36"/>
        <v>310.105543138185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63.907001266716428</v>
      </c>
      <c r="AV55" s="23">
        <f>EXP(-LN(2)/25)*AV54+(1-EXP(-LN(2)/25))/(LN(2)/25)*Calculateur!AQ55*Calculateur!AS55*VLOOKUP('Données projet'!$B$10,Paramètres!$A$1:$I$89,3,0)*0.475*44/12</f>
        <v>0</v>
      </c>
      <c r="AW55" s="23">
        <f>EXP(-LN(2)/2)*AW54+(1-EXP(-LN(2)/2))/(LN(2)/2)*AQ55*AT55*VLOOKUP('Données projet'!$B$10,Paramètres!$A$1:$I$89,3,0)*0.475*44/12</f>
        <v>0.12987546093313196</v>
      </c>
      <c r="AX55" s="23">
        <f t="shared" si="6"/>
        <v>64.036876727649556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31.693999999999981</v>
      </c>
      <c r="D56" s="12">
        <f t="shared" si="32"/>
        <v>9.768219037044215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10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320.05923467192008</v>
      </c>
      <c r="H56" s="70">
        <f t="shared" si="1"/>
        <v>365.54669815618524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1.1368683772161603E-13</v>
      </c>
      <c r="O56" s="14">
        <f>N56*VLOOKUP('Données projet'!$B$9,Paramètres!$A$1:$I$89,3,0)*VLOOKUP('Données projet'!$B$9,Paramètres!$A$1:$I$89,5,0)</f>
        <v>6.7984728957526396E-14</v>
      </c>
      <c r="P56" s="14">
        <f t="shared" si="33"/>
        <v>1.0682447123141398E-12</v>
      </c>
      <c r="Q56" s="22">
        <f t="shared" si="53"/>
        <v>1.978932943548152E-12</v>
      </c>
      <c r="R56" s="62">
        <f t="shared" si="0"/>
        <v>293.3333333333353</v>
      </c>
      <c r="S56" s="62">
        <f ca="1">AVERAGE(OFFSET($R$3,0,0,'Données projet'!$E$9+1,1))-AVERAGE(OFFSET($H$3,0,0,'Données projet'!$E$9+1,1))</f>
        <v>147.72913422715322</v>
      </c>
      <c r="T56" s="62">
        <f t="shared" si="34"/>
        <v>361.07991692964799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33.812225997566706</v>
      </c>
      <c r="AA56" s="23">
        <f>EXP(-LN(2)/25)*AA55+(1-EXP(-LN(2)/25))/(LN(2)/25)*Calculateur!V56*Calculateur!X56*VLOOKUP('Données projet'!$B$9,Paramètres!$A$1:$I$89,3,0)*0.475*44/12</f>
        <v>23.227345008650943</v>
      </c>
      <c r="AB56" s="23">
        <f>EXP(-LN(2)/2)*AB55+(1-EXP(-LN(2)/2))/(LN(2)/2)*V56*Y56*VLOOKUP('Données projet'!$B$9,Paramètres!$A$1:$I$89,3,0)*0.475*44/12</f>
        <v>1.5042379506082854E-2</v>
      </c>
      <c r="AC56" s="24">
        <f t="shared" si="3"/>
        <v>57.054613385723734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0</v>
      </c>
      <c r="AJ56" s="14">
        <f>AI56*VLOOKUP('Données projet'!$B$10,Paramètres!$A$1:$I$89,3,0)*VLOOKUP('Données projet'!$B$10,Paramètres!$A$1:$I$89,5,0)</f>
        <v>0</v>
      </c>
      <c r="AK56" s="14" t="e">
        <f t="shared" si="35"/>
        <v>#NUM!</v>
      </c>
      <c r="AL56" s="22" t="e">
        <f t="shared" si="4"/>
        <v>#NUM!</v>
      </c>
      <c r="AM56" s="62" t="e">
        <f t="shared" si="5"/>
        <v>#NUM!</v>
      </c>
      <c r="AN56" s="62">
        <f ca="1">AVERAGE(OFFSET($AM$3,0,0,'Données projet'!$E$10+1,1))-AVERAGE(OFFSET($H$3,0,0,'Données projet'!$E$10+1,1))</f>
        <v>151.58413719376074</v>
      </c>
      <c r="AO56" s="62">
        <f t="shared" si="36"/>
        <v>310.105543138185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62.653823951297994</v>
      </c>
      <c r="AV56" s="23">
        <f>EXP(-LN(2)/25)*AV55+(1-EXP(-LN(2)/25))/(LN(2)/25)*Calculateur!AQ56*Calculateur!AS56*VLOOKUP('Données projet'!$B$10,Paramètres!$A$1:$I$89,3,0)*0.475*44/12</f>
        <v>0</v>
      </c>
      <c r="AW56" s="23">
        <f>EXP(-LN(2)/2)*AW55+(1-EXP(-LN(2)/2))/(LN(2)/2)*AQ56*AT56*VLOOKUP('Données projet'!$B$10,Paramètres!$A$1:$I$89,3,0)*0.475*44/12</f>
        <v>9.1835819135546143E-2</v>
      </c>
      <c r="AX56" s="23">
        <f t="shared" si="6"/>
        <v>62.745659770433541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32.29199999999998</v>
      </c>
      <c r="D57" s="12">
        <f t="shared" si="32"/>
        <v>9.9308942483743348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10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325.93111349622279</v>
      </c>
      <c r="H57" s="70">
        <f t="shared" si="1"/>
        <v>366.87154081591859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1.1368683772161603E-13</v>
      </c>
      <c r="O57" s="14">
        <f>N57*VLOOKUP('Données projet'!$B$9,Paramètres!$A$1:$I$89,3,0)*VLOOKUP('Données projet'!$B$9,Paramètres!$A$1:$I$89,5,0)</f>
        <v>6.7984728957526396E-14</v>
      </c>
      <c r="P57" s="14">
        <f t="shared" si="33"/>
        <v>1.0682447123141398E-12</v>
      </c>
      <c r="Q57" s="22">
        <f t="shared" si="53"/>
        <v>1.978932943548152E-12</v>
      </c>
      <c r="R57" s="62">
        <f t="shared" si="0"/>
        <v>293.3333333333353</v>
      </c>
      <c r="S57" s="62">
        <f ca="1">AVERAGE(OFFSET($R$3,0,0,'Données projet'!$E$9+1,1))-AVERAGE(OFFSET($H$3,0,0,'Données projet'!$E$9+1,1))</f>
        <v>147.72913422715322</v>
      </c>
      <c r="T57" s="62">
        <f t="shared" si="34"/>
        <v>361.07991692964799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33.149188869175887</v>
      </c>
      <c r="AA57" s="23">
        <f>EXP(-LN(2)/25)*AA56+(1-EXP(-LN(2)/25))/(LN(2)/25)*Calculateur!V57*Calculateur!X57*VLOOKUP('Données projet'!$B$9,Paramètres!$A$1:$I$89,3,0)*0.475*44/12</f>
        <v>22.592192037916394</v>
      </c>
      <c r="AB57" s="23">
        <f>EXP(-LN(2)/2)*AB56+(1-EXP(-LN(2)/2))/(LN(2)/2)*V57*Y57*VLOOKUP('Données projet'!$B$9,Paramètres!$A$1:$I$89,3,0)*0.475*44/12</f>
        <v>1.0636568553932737E-2</v>
      </c>
      <c r="AC57" s="24">
        <f t="shared" si="3"/>
        <v>55.752017475646213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0</v>
      </c>
      <c r="AJ57" s="14">
        <f>AI57*VLOOKUP('Données projet'!$B$10,Paramètres!$A$1:$I$89,3,0)*VLOOKUP('Données projet'!$B$10,Paramètres!$A$1:$I$89,5,0)</f>
        <v>0</v>
      </c>
      <c r="AK57" s="14" t="e">
        <f t="shared" si="35"/>
        <v>#NUM!</v>
      </c>
      <c r="AL57" s="22" t="e">
        <f t="shared" si="4"/>
        <v>#NUM!</v>
      </c>
      <c r="AM57" s="62" t="e">
        <f t="shared" si="5"/>
        <v>#NUM!</v>
      </c>
      <c r="AN57" s="62">
        <f ca="1">AVERAGE(OFFSET($AM$3,0,0,'Données projet'!$E$10+1,1))-AVERAGE(OFFSET($H$3,0,0,'Données projet'!$E$10+1,1))</f>
        <v>151.58413719376074</v>
      </c>
      <c r="AO57" s="62">
        <f t="shared" si="36"/>
        <v>310.105543138185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61.425220678672225</v>
      </c>
      <c r="AV57" s="23">
        <f>EXP(-LN(2)/25)*AV56+(1-EXP(-LN(2)/25))/(LN(2)/25)*Calculateur!AQ57*Calculateur!AS57*VLOOKUP('Données projet'!$B$10,Paramètres!$A$1:$I$89,3,0)*0.475*44/12</f>
        <v>0</v>
      </c>
      <c r="AW57" s="23">
        <f>EXP(-LN(2)/2)*AW56+(1-EXP(-LN(2)/2))/(LN(2)/2)*AQ57*AT57*VLOOKUP('Données projet'!$B$10,Paramètres!$A$1:$I$89,3,0)*0.475*44/12</f>
        <v>6.4937730466565979E-2</v>
      </c>
      <c r="AX57" s="23">
        <f t="shared" si="6"/>
        <v>61.490158409138793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32.889999999999979</v>
      </c>
      <c r="D58" s="12">
        <f t="shared" si="32"/>
        <v>10.093219160740317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10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331.80028825834614</v>
      </c>
      <c r="H58" s="70">
        <f t="shared" si="1"/>
        <v>368.19577337162264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1.1368683772161603E-13</v>
      </c>
      <c r="O58" s="14">
        <f>N58*VLOOKUP('Données projet'!$B$9,Paramètres!$A$1:$I$89,3,0)*VLOOKUP('Données projet'!$B$9,Paramètres!$A$1:$I$89,5,0)</f>
        <v>6.7984728957526396E-14</v>
      </c>
      <c r="P58" s="14">
        <f t="shared" si="33"/>
        <v>1.0682447123141398E-12</v>
      </c>
      <c r="Q58" s="22">
        <f t="shared" si="53"/>
        <v>1.978932943548152E-12</v>
      </c>
      <c r="R58" s="62">
        <f t="shared" si="0"/>
        <v>293.3333333333353</v>
      </c>
      <c r="S58" s="62">
        <f ca="1">AVERAGE(OFFSET($R$3,0,0,'Données projet'!$E$9+1,1))-AVERAGE(OFFSET($H$3,0,0,'Données projet'!$E$9+1,1))</f>
        <v>147.72913422715322</v>
      </c>
      <c r="T58" s="62">
        <f t="shared" si="34"/>
        <v>361.07991692964799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32.499153494460096</v>
      </c>
      <c r="AA58" s="23">
        <f>EXP(-LN(2)/25)*AA57+(1-EXP(-LN(2)/25))/(LN(2)/25)*Calculateur!V58*Calculateur!X58*VLOOKUP('Données projet'!$B$9,Paramètres!$A$1:$I$89,3,0)*0.475*44/12</f>
        <v>21.974407358567827</v>
      </c>
      <c r="AB58" s="23">
        <f>EXP(-LN(2)/2)*AB57+(1-EXP(-LN(2)/2))/(LN(2)/2)*V58*Y58*VLOOKUP('Données projet'!$B$9,Paramètres!$A$1:$I$89,3,0)*0.475*44/12</f>
        <v>7.5211897530414289E-3</v>
      </c>
      <c r="AC58" s="24">
        <f t="shared" si="3"/>
        <v>54.481082042780962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0</v>
      </c>
      <c r="AJ58" s="14">
        <f>AI58*VLOOKUP('Données projet'!$B$10,Paramètres!$A$1:$I$89,3,0)*VLOOKUP('Données projet'!$B$10,Paramètres!$A$1:$I$89,5,0)</f>
        <v>0</v>
      </c>
      <c r="AK58" s="14" t="e">
        <f t="shared" si="35"/>
        <v>#NUM!</v>
      </c>
      <c r="AL58" s="22" t="e">
        <f t="shared" si="4"/>
        <v>#NUM!</v>
      </c>
      <c r="AM58" s="62" t="e">
        <f t="shared" si="5"/>
        <v>#NUM!</v>
      </c>
      <c r="AN58" s="62">
        <f ca="1">AVERAGE(OFFSET($AM$3,0,0,'Données projet'!$E$10+1,1))-AVERAGE(OFFSET($H$3,0,0,'Données projet'!$E$10+1,1))</f>
        <v>151.58413719376074</v>
      </c>
      <c r="AO58" s="62">
        <f t="shared" si="36"/>
        <v>310.105543138185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60.220709566848647</v>
      </c>
      <c r="AV58" s="23">
        <f>EXP(-LN(2)/25)*AV57+(1-EXP(-LN(2)/25))/(LN(2)/25)*Calculateur!AQ58*Calculateur!AS58*VLOOKUP('Données projet'!$B$10,Paramètres!$A$1:$I$89,3,0)*0.475*44/12</f>
        <v>0</v>
      </c>
      <c r="AW58" s="23">
        <f>EXP(-LN(2)/2)*AW57+(1-EXP(-LN(2)/2))/(LN(2)/2)*AQ58*AT58*VLOOKUP('Données projet'!$B$10,Paramètres!$A$1:$I$89,3,0)*0.475*44/12</f>
        <v>4.5917909567773071E-2</v>
      </c>
      <c r="AX58" s="23">
        <f t="shared" si="6"/>
        <v>60.266627476416417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33.487999999999978</v>
      </c>
      <c r="D59" s="12">
        <f t="shared" si="32"/>
        <v>10.255200877844658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10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337.66681379388842</v>
      </c>
      <c r="H59" s="70">
        <f t="shared" si="1"/>
        <v>369.51940819557939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1.1368683772161603E-13</v>
      </c>
      <c r="O59" s="14">
        <f>N59*VLOOKUP('Données projet'!$B$9,Paramètres!$A$1:$I$89,3,0)*VLOOKUP('Données projet'!$B$9,Paramètres!$A$1:$I$89,5,0)</f>
        <v>6.7984728957526396E-14</v>
      </c>
      <c r="P59" s="14">
        <f t="shared" si="33"/>
        <v>1.0682447123141398E-12</v>
      </c>
      <c r="Q59" s="22">
        <f t="shared" si="53"/>
        <v>1.978932943548152E-12</v>
      </c>
      <c r="R59" s="62">
        <f t="shared" si="0"/>
        <v>293.3333333333353</v>
      </c>
      <c r="S59" s="62">
        <f ca="1">AVERAGE(OFFSET($R$3,0,0,'Données projet'!$E$9+1,1))-AVERAGE(OFFSET($H$3,0,0,'Données projet'!$E$9+1,1))</f>
        <v>147.72913422715322</v>
      </c>
      <c r="T59" s="62">
        <f t="shared" si="34"/>
        <v>361.07991692964799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31.861864916960052</v>
      </c>
      <c r="AA59" s="23">
        <f>EXP(-LN(2)/25)*AA58+(1-EXP(-LN(2)/25))/(LN(2)/25)*Calculateur!V59*Calculateur!X59*VLOOKUP('Données projet'!$B$9,Paramètres!$A$1:$I$89,3,0)*0.475*44/12</f>
        <v>21.373516033763931</v>
      </c>
      <c r="AB59" s="23">
        <f>EXP(-LN(2)/2)*AB58+(1-EXP(-LN(2)/2))/(LN(2)/2)*V59*Y59*VLOOKUP('Données projet'!$B$9,Paramètres!$A$1:$I$89,3,0)*0.475*44/12</f>
        <v>5.3182842769663695E-3</v>
      </c>
      <c r="AC59" s="24">
        <f t="shared" si="3"/>
        <v>53.240699235000946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0</v>
      </c>
      <c r="AJ59" s="14">
        <f>AI59*VLOOKUP('Données projet'!$B$10,Paramètres!$A$1:$I$89,3,0)*VLOOKUP('Données projet'!$B$10,Paramètres!$A$1:$I$89,5,0)</f>
        <v>0</v>
      </c>
      <c r="AK59" s="14" t="e">
        <f t="shared" si="35"/>
        <v>#NUM!</v>
      </c>
      <c r="AL59" s="22" t="e">
        <f t="shared" si="4"/>
        <v>#NUM!</v>
      </c>
      <c r="AM59" s="62" t="e">
        <f t="shared" si="5"/>
        <v>#NUM!</v>
      </c>
      <c r="AN59" s="62">
        <f ca="1">AVERAGE(OFFSET($AM$3,0,0,'Données projet'!$E$10+1,1))-AVERAGE(OFFSET($H$3,0,0,'Données projet'!$E$10+1,1))</f>
        <v>151.58413719376074</v>
      </c>
      <c r="AO59" s="62">
        <f t="shared" si="36"/>
        <v>310.105543138185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59.039818183248698</v>
      </c>
      <c r="AV59" s="23">
        <f>EXP(-LN(2)/25)*AV58+(1-EXP(-LN(2)/25))/(LN(2)/25)*Calculateur!AQ59*Calculateur!AS59*VLOOKUP('Données projet'!$B$10,Paramètres!$A$1:$I$89,3,0)*0.475*44/12</f>
        <v>0</v>
      </c>
      <c r="AW59" s="23">
        <f>EXP(-LN(2)/2)*AW58+(1-EXP(-LN(2)/2))/(LN(2)/2)*AQ59*AT59*VLOOKUP('Données projet'!$B$10,Paramètres!$A$1:$I$89,3,0)*0.475*44/12</f>
        <v>3.246886523328299E-2</v>
      </c>
      <c r="AX59" s="23">
        <f t="shared" si="6"/>
        <v>59.072287048481982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34.085999999999977</v>
      </c>
      <c r="D60" s="12">
        <f t="shared" si="32"/>
        <v>10.41684623515679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10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343.53074286787682</v>
      </c>
      <c r="H60" s="70">
        <f t="shared" si="1"/>
        <v>370.842457192898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1.1368683772161603E-13</v>
      </c>
      <c r="O60" s="14">
        <f>N60*VLOOKUP('Données projet'!$B$9,Paramètres!$A$1:$I$89,3,0)*VLOOKUP('Données projet'!$B$9,Paramètres!$A$1:$I$89,5,0)</f>
        <v>6.7984728957526396E-14</v>
      </c>
      <c r="P60" s="14">
        <f t="shared" si="33"/>
        <v>1.0682447123141398E-12</v>
      </c>
      <c r="Q60" s="22">
        <f t="shared" si="53"/>
        <v>1.978932943548152E-12</v>
      </c>
      <c r="R60" s="62">
        <f t="shared" si="0"/>
        <v>293.3333333333353</v>
      </c>
      <c r="S60" s="62">
        <f ca="1">AVERAGE(OFFSET($R$3,0,0,'Données projet'!$E$9+1,1))-AVERAGE(OFFSET($H$3,0,0,'Données projet'!$E$9+1,1))</f>
        <v>147.72913422715322</v>
      </c>
      <c r="T60" s="62">
        <f t="shared" si="34"/>
        <v>361.07991692964799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31.237073179757132</v>
      </c>
      <c r="AA60" s="23">
        <f>EXP(-LN(2)/25)*AA59+(1-EXP(-LN(2)/25))/(LN(2)/25)*Calculateur!V60*Calculateur!X60*VLOOKUP('Données projet'!$B$9,Paramètres!$A$1:$I$89,3,0)*0.475*44/12</f>
        <v>20.789056113836299</v>
      </c>
      <c r="AB60" s="23">
        <f>EXP(-LN(2)/2)*AB59+(1-EXP(-LN(2)/2))/(LN(2)/2)*V60*Y60*VLOOKUP('Données projet'!$B$9,Paramètres!$A$1:$I$89,3,0)*0.475*44/12</f>
        <v>3.7605948765207149E-3</v>
      </c>
      <c r="AC60" s="24">
        <f t="shared" si="3"/>
        <v>52.029889888469945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0</v>
      </c>
      <c r="AJ60" s="14">
        <f>AI60*VLOOKUP('Données projet'!$B$10,Paramètres!$A$1:$I$89,3,0)*VLOOKUP('Données projet'!$B$10,Paramètres!$A$1:$I$89,5,0)</f>
        <v>0</v>
      </c>
      <c r="AK60" s="14" t="e">
        <f t="shared" si="35"/>
        <v>#NUM!</v>
      </c>
      <c r="AL60" s="22" t="e">
        <f t="shared" si="4"/>
        <v>#NUM!</v>
      </c>
      <c r="AM60" s="62" t="e">
        <f t="shared" si="5"/>
        <v>#NUM!</v>
      </c>
      <c r="AN60" s="62">
        <f ca="1">AVERAGE(OFFSET($AM$3,0,0,'Données projet'!$E$10+1,1))-AVERAGE(OFFSET($H$3,0,0,'Données projet'!$E$10+1,1))</f>
        <v>151.58413719376074</v>
      </c>
      <c r="AO60" s="62">
        <f t="shared" si="36"/>
        <v>310.105543138185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57.882083359408519</v>
      </c>
      <c r="AV60" s="23">
        <f>EXP(-LN(2)/25)*AV59+(1-EXP(-LN(2)/25))/(LN(2)/25)*Calculateur!AQ60*Calculateur!AS60*VLOOKUP('Données projet'!$B$10,Paramètres!$A$1:$I$89,3,0)*0.475*44/12</f>
        <v>0</v>
      </c>
      <c r="AW60" s="23">
        <f>EXP(-LN(2)/2)*AW59+(1-EXP(-LN(2)/2))/(LN(2)/2)*AQ60*AT60*VLOOKUP('Données projet'!$B$10,Paramètres!$A$1:$I$89,3,0)*0.475*44/12</f>
        <v>2.2958954783886536E-2</v>
      </c>
      <c r="AX60" s="23">
        <f t="shared" si="6"/>
        <v>57.905042314192407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34.683999999999976</v>
      </c>
      <c r="D61" s="12">
        <f t="shared" si="32"/>
        <v>10.578161814566396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10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349.39212628788073</v>
      </c>
      <c r="H61" s="70">
        <f t="shared" si="1"/>
        <v>372.16493182703641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1.1368683772161603E-13</v>
      </c>
      <c r="O61" s="14">
        <f>N61*VLOOKUP('Données projet'!$B$9,Paramètres!$A$1:$I$89,3,0)*VLOOKUP('Données projet'!$B$9,Paramètres!$A$1:$I$89,5,0)</f>
        <v>6.7984728957526396E-14</v>
      </c>
      <c r="P61" s="14">
        <f t="shared" si="33"/>
        <v>1.0682447123141398E-12</v>
      </c>
      <c r="Q61" s="22">
        <f t="shared" si="53"/>
        <v>1.978932943548152E-12</v>
      </c>
      <c r="R61" s="62">
        <f t="shared" si="0"/>
        <v>293.3333333333353</v>
      </c>
      <c r="S61" s="62">
        <f ca="1">AVERAGE(OFFSET($R$3,0,0,'Données projet'!$E$9+1,1))-AVERAGE(OFFSET($H$3,0,0,'Données projet'!$E$9+1,1))</f>
        <v>147.72913422715322</v>
      </c>
      <c r="T61" s="62">
        <f t="shared" si="34"/>
        <v>361.07991692964799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30.624533227435432</v>
      </c>
      <c r="AA61" s="23">
        <f>EXP(-LN(2)/25)*AA60+(1-EXP(-LN(2)/25))/(LN(2)/25)*Calculateur!V61*Calculateur!X61*VLOOKUP('Données projet'!$B$9,Paramètres!$A$1:$I$89,3,0)*0.475*44/12</f>
        <v>20.220578281154499</v>
      </c>
      <c r="AB61" s="23">
        <f>EXP(-LN(2)/2)*AB60+(1-EXP(-LN(2)/2))/(LN(2)/2)*V61*Y61*VLOOKUP('Données projet'!$B$9,Paramètres!$A$1:$I$89,3,0)*0.475*44/12</f>
        <v>2.6591421384831852E-3</v>
      </c>
      <c r="AC61" s="24">
        <f t="shared" si="3"/>
        <v>50.847770650728414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0</v>
      </c>
      <c r="AJ61" s="14">
        <f>AI61*VLOOKUP('Données projet'!$B$10,Paramètres!$A$1:$I$89,3,0)*VLOOKUP('Données projet'!$B$10,Paramètres!$A$1:$I$89,5,0)</f>
        <v>0</v>
      </c>
      <c r="AK61" s="14" t="e">
        <f t="shared" si="35"/>
        <v>#NUM!</v>
      </c>
      <c r="AL61" s="22" t="e">
        <f t="shared" si="4"/>
        <v>#NUM!</v>
      </c>
      <c r="AM61" s="62" t="e">
        <f t="shared" si="5"/>
        <v>#NUM!</v>
      </c>
      <c r="AN61" s="62">
        <f ca="1">AVERAGE(OFFSET($AM$3,0,0,'Données projet'!$E$10+1,1))-AVERAGE(OFFSET($H$3,0,0,'Données projet'!$E$10+1,1))</f>
        <v>151.58413719376074</v>
      </c>
      <c r="AO61" s="62">
        <f t="shared" si="36"/>
        <v>310.105543138185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56.747051009315328</v>
      </c>
      <c r="AV61" s="23">
        <f>EXP(-LN(2)/25)*AV60+(1-EXP(-LN(2)/25))/(LN(2)/25)*Calculateur!AQ61*Calculateur!AS61*VLOOKUP('Données projet'!$B$10,Paramètres!$A$1:$I$89,3,0)*0.475*44/12</f>
        <v>0</v>
      </c>
      <c r="AW61" s="23">
        <f>EXP(-LN(2)/2)*AW60+(1-EXP(-LN(2)/2))/(LN(2)/2)*AQ61*AT61*VLOOKUP('Données projet'!$B$10,Paramètres!$A$1:$I$89,3,0)*0.475*44/12</f>
        <v>1.6234432616641495E-2</v>
      </c>
      <c r="AX61" s="23">
        <f t="shared" si="6"/>
        <v>56.76328544193197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35.281999999999975</v>
      </c>
      <c r="D62" s="12">
        <f t="shared" si="32"/>
        <v>10.739153957997569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10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355.25101300910387</v>
      </c>
      <c r="H62" s="70">
        <f t="shared" si="1"/>
        <v>373.48684314351237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1.1368683772161603E-13</v>
      </c>
      <c r="O62" s="14">
        <f>N62*VLOOKUP('Données projet'!$B$9,Paramètres!$A$1:$I$89,3,0)*VLOOKUP('Données projet'!$B$9,Paramètres!$A$1:$I$89,5,0)</f>
        <v>6.7984728957526396E-14</v>
      </c>
      <c r="P62" s="14">
        <f t="shared" si="33"/>
        <v>1.0682447123141398E-12</v>
      </c>
      <c r="Q62" s="22">
        <f t="shared" si="53"/>
        <v>1.978932943548152E-12</v>
      </c>
      <c r="R62" s="62">
        <f t="shared" si="0"/>
        <v>293.3333333333353</v>
      </c>
      <c r="S62" s="62">
        <f ca="1">AVERAGE(OFFSET($R$3,0,0,'Données projet'!$E$9+1,1))-AVERAGE(OFFSET($H$3,0,0,'Données projet'!$E$9+1,1))</f>
        <v>147.72913422715322</v>
      </c>
      <c r="T62" s="62">
        <f t="shared" si="34"/>
        <v>361.07991692964799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30.024004809966282</v>
      </c>
      <c r="AA62" s="23">
        <f>EXP(-LN(2)/25)*AA61+(1-EXP(-LN(2)/25))/(LN(2)/25)*Calculateur!V62*Calculateur!X62*VLOOKUP('Données projet'!$B$9,Paramètres!$A$1:$I$89,3,0)*0.475*44/12</f>
        <v>19.667645504702332</v>
      </c>
      <c r="AB62" s="23">
        <f>EXP(-LN(2)/2)*AB61+(1-EXP(-LN(2)/2))/(LN(2)/2)*V62*Y62*VLOOKUP('Données projet'!$B$9,Paramètres!$A$1:$I$89,3,0)*0.475*44/12</f>
        <v>1.8802974382603579E-3</v>
      </c>
      <c r="AC62" s="24">
        <f t="shared" si="3"/>
        <v>49.693530612106876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0</v>
      </c>
      <c r="AJ62" s="14">
        <f>AI62*VLOOKUP('Données projet'!$B$10,Paramètres!$A$1:$I$89,3,0)*VLOOKUP('Données projet'!$B$10,Paramètres!$A$1:$I$89,5,0)</f>
        <v>0</v>
      </c>
      <c r="AK62" s="14" t="e">
        <f t="shared" si="35"/>
        <v>#NUM!</v>
      </c>
      <c r="AL62" s="22" t="e">
        <f t="shared" si="4"/>
        <v>#NUM!</v>
      </c>
      <c r="AM62" s="62" t="e">
        <f t="shared" si="5"/>
        <v>#NUM!</v>
      </c>
      <c r="AN62" s="62">
        <f ca="1">AVERAGE(OFFSET($AM$3,0,0,'Données projet'!$E$10+1,1))-AVERAGE(OFFSET($H$3,0,0,'Données projet'!$E$10+1,1))</f>
        <v>151.58413719376074</v>
      </c>
      <c r="AO62" s="62">
        <f t="shared" si="36"/>
        <v>310.105543138185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55.634275951306094</v>
      </c>
      <c r="AV62" s="23">
        <f>EXP(-LN(2)/25)*AV61+(1-EXP(-LN(2)/25))/(LN(2)/25)*Calculateur!AQ62*Calculateur!AS62*VLOOKUP('Données projet'!$B$10,Paramètres!$A$1:$I$89,3,0)*0.475*44/12</f>
        <v>0</v>
      </c>
      <c r="AW62" s="23">
        <f>EXP(-LN(2)/2)*AW61+(1-EXP(-LN(2)/2))/(LN(2)/2)*AQ62*AT62*VLOOKUP('Données projet'!$B$10,Paramètres!$A$1:$I$89,3,0)*0.475*44/12</f>
        <v>1.1479477391943268E-2</v>
      </c>
      <c r="AX62" s="23">
        <f t="shared" si="6"/>
        <v>55.645755428698038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35.879999999999974</v>
      </c>
      <c r="D63" s="12">
        <f t="shared" si="32"/>
        <v>10.89982878007377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10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361.10745023214821</v>
      </c>
      <c r="H63" s="70">
        <f t="shared" si="1"/>
        <v>374.80820179196172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1.1368683772161603E-13</v>
      </c>
      <c r="O63" s="14">
        <f>N63*VLOOKUP('Données projet'!$B$9,Paramètres!$A$1:$I$89,3,0)*VLOOKUP('Données projet'!$B$9,Paramètres!$A$1:$I$89,5,0)</f>
        <v>6.7984728957526396E-14</v>
      </c>
      <c r="P63" s="14">
        <f t="shared" si="33"/>
        <v>1.0682447123141398E-12</v>
      </c>
      <c r="Q63" s="22">
        <f t="shared" si="53"/>
        <v>1.978932943548152E-12</v>
      </c>
      <c r="R63" s="62">
        <f t="shared" si="0"/>
        <v>293.3333333333353</v>
      </c>
      <c r="S63" s="62">
        <f ca="1">AVERAGE(OFFSET($R$3,0,0,'Données projet'!$E$9+1,1))-AVERAGE(OFFSET($H$3,0,0,'Données projet'!$E$9+1,1))</f>
        <v>147.72913422715322</v>
      </c>
      <c r="T63" s="62">
        <f t="shared" si="34"/>
        <v>361.07991692964799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29.435252388477537</v>
      </c>
      <c r="AA63" s="23">
        <f>EXP(-LN(2)/25)*AA62+(1-EXP(-LN(2)/25))/(LN(2)/25)*Calculateur!V63*Calculateur!X63*VLOOKUP('Données projet'!$B$9,Paramètres!$A$1:$I$89,3,0)*0.475*44/12</f>
        <v>19.129832704099719</v>
      </c>
      <c r="AB63" s="23">
        <f>EXP(-LN(2)/2)*AB62+(1-EXP(-LN(2)/2))/(LN(2)/2)*V63*Y63*VLOOKUP('Données projet'!$B$9,Paramètres!$A$1:$I$89,3,0)*0.475*44/12</f>
        <v>1.3295710692415928E-3</v>
      </c>
      <c r="AC63" s="24">
        <f t="shared" si="3"/>
        <v>48.566414663646498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0</v>
      </c>
      <c r="AJ63" s="14">
        <f>AI63*VLOOKUP('Données projet'!$B$10,Paramètres!$A$1:$I$89,3,0)*VLOOKUP('Données projet'!$B$10,Paramètres!$A$1:$I$89,5,0)</f>
        <v>0</v>
      </c>
      <c r="AK63" s="14" t="e">
        <f t="shared" si="35"/>
        <v>#NUM!</v>
      </c>
      <c r="AL63" s="22" t="e">
        <f t="shared" si="4"/>
        <v>#NUM!</v>
      </c>
      <c r="AM63" s="62" t="e">
        <f t="shared" si="5"/>
        <v>#NUM!</v>
      </c>
      <c r="AN63" s="62">
        <f ca="1">AVERAGE(OFFSET($AM$3,0,0,'Données projet'!$E$10+1,1))-AVERAGE(OFFSET($H$3,0,0,'Données projet'!$E$10+1,1))</f>
        <v>151.58413719376074</v>
      </c>
      <c r="AO63" s="62">
        <f t="shared" si="36"/>
        <v>310.105543138185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54.543321733458654</v>
      </c>
      <c r="AV63" s="23">
        <f>EXP(-LN(2)/25)*AV62+(1-EXP(-LN(2)/25))/(LN(2)/25)*Calculateur!AQ63*Calculateur!AS63*VLOOKUP('Données projet'!$B$10,Paramètres!$A$1:$I$89,3,0)*0.475*44/12</f>
        <v>0</v>
      </c>
      <c r="AW63" s="23">
        <f>EXP(-LN(2)/2)*AW62+(1-EXP(-LN(2)/2))/(LN(2)/2)*AQ63*AT63*VLOOKUP('Données projet'!$B$10,Paramètres!$A$1:$I$89,3,0)*0.475*44/12</f>
        <v>8.1172163083207474E-3</v>
      </c>
      <c r="AX63" s="23">
        <f t="shared" si="6"/>
        <v>54.551438949766975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36.477999999999973</v>
      </c>
      <c r="D64" s="12">
        <f t="shared" si="32"/>
        <v>11.060192179914555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10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366.96148349407707</v>
      </c>
      <c r="H64" s="70">
        <f t="shared" si="1"/>
        <v>376.12901804668445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1.1368683772161603E-13</v>
      </c>
      <c r="O64" s="14">
        <f>N64*VLOOKUP('Données projet'!$B$9,Paramètres!$A$1:$I$89,3,0)*VLOOKUP('Données projet'!$B$9,Paramètres!$A$1:$I$89,5,0)</f>
        <v>6.7984728957526396E-14</v>
      </c>
      <c r="P64" s="14">
        <f t="shared" si="33"/>
        <v>1.0682447123141398E-12</v>
      </c>
      <c r="Q64" s="22">
        <f t="shared" si="53"/>
        <v>1.978932943548152E-12</v>
      </c>
      <c r="R64" s="62">
        <f t="shared" si="0"/>
        <v>293.3333333333353</v>
      </c>
      <c r="S64" s="62">
        <f ca="1">AVERAGE(OFFSET($R$3,0,0,'Données projet'!$E$9+1,1))-AVERAGE(OFFSET($H$3,0,0,'Données projet'!$E$9+1,1))</f>
        <v>147.72913422715322</v>
      </c>
      <c r="T64" s="62">
        <f t="shared" si="34"/>
        <v>361.07991692964799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28.858045042870664</v>
      </c>
      <c r="AA64" s="23">
        <f>EXP(-LN(2)/25)*AA63+(1-EXP(-LN(2)/25))/(LN(2)/25)*Calculateur!V64*Calculateur!X64*VLOOKUP('Données projet'!$B$9,Paramètres!$A$1:$I$89,3,0)*0.475*44/12</f>
        <v>18.606726422811931</v>
      </c>
      <c r="AB64" s="23">
        <f>EXP(-LN(2)/2)*AB63+(1-EXP(-LN(2)/2))/(LN(2)/2)*V64*Y64*VLOOKUP('Données projet'!$B$9,Paramètres!$A$1:$I$89,3,0)*0.475*44/12</f>
        <v>9.4014871913017904E-4</v>
      </c>
      <c r="AC64" s="24">
        <f t="shared" si="3"/>
        <v>47.465711614401727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0</v>
      </c>
      <c r="AJ64" s="14">
        <f>AI64*VLOOKUP('Données projet'!$B$10,Paramètres!$A$1:$I$89,3,0)*VLOOKUP('Données projet'!$B$10,Paramètres!$A$1:$I$89,5,0)</f>
        <v>0</v>
      </c>
      <c r="AK64" s="14" t="e">
        <f t="shared" si="35"/>
        <v>#NUM!</v>
      </c>
      <c r="AL64" s="22" t="e">
        <f t="shared" si="4"/>
        <v>#NUM!</v>
      </c>
      <c r="AM64" s="62" t="e">
        <f t="shared" si="5"/>
        <v>#NUM!</v>
      </c>
      <c r="AN64" s="62">
        <f ca="1">AVERAGE(OFFSET($AM$3,0,0,'Données projet'!$E$10+1,1))-AVERAGE(OFFSET($H$3,0,0,'Données projet'!$E$10+1,1))</f>
        <v>151.58413719376074</v>
      </c>
      <c r="AO64" s="62">
        <f t="shared" si="36"/>
        <v>310.105543138185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53.47376046240683</v>
      </c>
      <c r="AV64" s="23">
        <f>EXP(-LN(2)/25)*AV63+(1-EXP(-LN(2)/25))/(LN(2)/25)*Calculateur!AQ64*Calculateur!AS64*VLOOKUP('Données projet'!$B$10,Paramètres!$A$1:$I$89,3,0)*0.475*44/12</f>
        <v>0</v>
      </c>
      <c r="AW64" s="23">
        <f>EXP(-LN(2)/2)*AW63+(1-EXP(-LN(2)/2))/(LN(2)/2)*AQ64*AT64*VLOOKUP('Données projet'!$B$10,Paramètres!$A$1:$I$89,3,0)*0.475*44/12</f>
        <v>5.7397386959716339E-3</v>
      </c>
      <c r="AX64" s="23">
        <f t="shared" si="6"/>
        <v>53.479500201102802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37.075999999999972</v>
      </c>
      <c r="D65" s="12">
        <f t="shared" si="32"/>
        <v>11.220249852136822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10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372.81315675333667</v>
      </c>
      <c r="H65" s="70">
        <f t="shared" si="1"/>
        <v>377.44930182580492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1.1368683772161603E-13</v>
      </c>
      <c r="O65" s="14">
        <f>N65*VLOOKUP('Données projet'!$B$9,Paramètres!$A$1:$I$89,3,0)*VLOOKUP('Données projet'!$B$9,Paramètres!$A$1:$I$89,5,0)</f>
        <v>6.7984728957526396E-14</v>
      </c>
      <c r="P65" s="14">
        <f t="shared" si="33"/>
        <v>1.0682447123141398E-12</v>
      </c>
      <c r="Q65" s="22">
        <f t="shared" si="53"/>
        <v>1.978932943548152E-12</v>
      </c>
      <c r="R65" s="62">
        <f t="shared" si="0"/>
        <v>293.3333333333353</v>
      </c>
      <c r="S65" s="62">
        <f ca="1">AVERAGE(OFFSET($R$3,0,0,'Données projet'!$E$9+1,1))-AVERAGE(OFFSET($H$3,0,0,'Données projet'!$E$9+1,1))</f>
        <v>147.72913422715322</v>
      </c>
      <c r="T65" s="62">
        <f t="shared" si="34"/>
        <v>361.07991692964799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28.292156381249427</v>
      </c>
      <c r="AA65" s="23">
        <f>EXP(-LN(2)/25)*AA64+(1-EXP(-LN(2)/25))/(LN(2)/25)*Calculateur!V65*Calculateur!X65*VLOOKUP('Données projet'!$B$9,Paramètres!$A$1:$I$89,3,0)*0.475*44/12</f>
        <v>18.097924510294924</v>
      </c>
      <c r="AB65" s="23">
        <f>EXP(-LN(2)/2)*AB64+(1-EXP(-LN(2)/2))/(LN(2)/2)*V65*Y65*VLOOKUP('Données projet'!$B$9,Paramètres!$A$1:$I$89,3,0)*0.475*44/12</f>
        <v>6.6478553462079651E-4</v>
      </c>
      <c r="AC65" s="24">
        <f t="shared" si="3"/>
        <v>46.390745677078968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0</v>
      </c>
      <c r="AJ65" s="14">
        <f>AI65*VLOOKUP('Données projet'!$B$10,Paramètres!$A$1:$I$89,3,0)*VLOOKUP('Données projet'!$B$10,Paramètres!$A$1:$I$89,5,0)</f>
        <v>0</v>
      </c>
      <c r="AK65" s="14" t="e">
        <f t="shared" si="35"/>
        <v>#NUM!</v>
      </c>
      <c r="AL65" s="22" t="e">
        <f t="shared" si="4"/>
        <v>#NUM!</v>
      </c>
      <c r="AM65" s="62" t="e">
        <f t="shared" si="5"/>
        <v>#NUM!</v>
      </c>
      <c r="AN65" s="62">
        <f ca="1">AVERAGE(OFFSET($AM$3,0,0,'Données projet'!$E$10+1,1))-AVERAGE(OFFSET($H$3,0,0,'Données projet'!$E$10+1,1))</f>
        <v>151.58413719376074</v>
      </c>
      <c r="AO65" s="62">
        <f t="shared" si="36"/>
        <v>310.105543138185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52.425172635512375</v>
      </c>
      <c r="AV65" s="23">
        <f>EXP(-LN(2)/25)*AV64+(1-EXP(-LN(2)/25))/(LN(2)/25)*Calculateur!AQ65*Calculateur!AS65*VLOOKUP('Données projet'!$B$10,Paramètres!$A$1:$I$89,3,0)*0.475*44/12</f>
        <v>0</v>
      </c>
      <c r="AW65" s="23">
        <f>EXP(-LN(2)/2)*AW64+(1-EXP(-LN(2)/2))/(LN(2)/2)*AQ65*AT65*VLOOKUP('Données projet'!$B$10,Paramètres!$A$1:$I$89,3,0)*0.475*44/12</f>
        <v>4.0586081541603737E-3</v>
      </c>
      <c r="AX65" s="23">
        <f t="shared" si="6"/>
        <v>52.429231243666536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66" s="12">
        <f t="shared" si="32"/>
        <v>11.380007297126165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10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378.6625124690438</v>
      </c>
      <c r="H66" s="70">
        <f t="shared" si="1"/>
        <v>378.76906270916135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1.1368683772161603E-13</v>
      </c>
      <c r="O66" s="14">
        <f>N66*VLOOKUP('Données projet'!$B$9,Paramètres!$A$1:$I$89,3,0)*VLOOKUP('Données projet'!$B$9,Paramètres!$A$1:$I$89,5,0)</f>
        <v>6.7984728957526396E-14</v>
      </c>
      <c r="P66" s="14">
        <f t="shared" si="33"/>
        <v>1.0682447123141398E-12</v>
      </c>
      <c r="Q66" s="22">
        <f t="shared" si="53"/>
        <v>1.978932943548152E-12</v>
      </c>
      <c r="R66" s="62">
        <f t="shared" si="0"/>
        <v>293.3333333333353</v>
      </c>
      <c r="S66" s="62">
        <f ca="1">AVERAGE(OFFSET($R$3,0,0,'Données projet'!$E$9+1,1))-AVERAGE(OFFSET($H$3,0,0,'Données projet'!$E$9+1,1))</f>
        <v>147.72913422715322</v>
      </c>
      <c r="T66" s="62">
        <f t="shared" si="34"/>
        <v>361.07991692964799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27.737364451124581</v>
      </c>
      <c r="AA66" s="23">
        <f>EXP(-LN(2)/25)*AA65+(1-EXP(-LN(2)/25))/(LN(2)/25)*Calculateur!V66*Calculateur!X66*VLOOKUP('Données projet'!$B$9,Paramètres!$A$1:$I$89,3,0)*0.475*44/12</f>
        <v>17.603035812832424</v>
      </c>
      <c r="AB66" s="23">
        <f>EXP(-LN(2)/2)*AB65+(1-EXP(-LN(2)/2))/(LN(2)/2)*V66*Y66*VLOOKUP('Données projet'!$B$9,Paramètres!$A$1:$I$89,3,0)*0.475*44/12</f>
        <v>4.7007435956508963E-4</v>
      </c>
      <c r="AC66" s="24">
        <f t="shared" si="3"/>
        <v>45.34087033831657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0</v>
      </c>
      <c r="AJ66" s="14">
        <f>AI66*VLOOKUP('Données projet'!$B$10,Paramètres!$A$1:$I$89,3,0)*VLOOKUP('Données projet'!$B$10,Paramètres!$A$1:$I$89,5,0)</f>
        <v>0</v>
      </c>
      <c r="AK66" s="14" t="e">
        <f t="shared" si="35"/>
        <v>#NUM!</v>
      </c>
      <c r="AL66" s="22" t="e">
        <f t="shared" si="4"/>
        <v>#NUM!</v>
      </c>
      <c r="AM66" s="62" t="e">
        <f t="shared" si="5"/>
        <v>#NUM!</v>
      </c>
      <c r="AN66" s="62">
        <f ca="1">AVERAGE(OFFSET($AM$3,0,0,'Données projet'!$E$10+1,1))-AVERAGE(OFFSET($H$3,0,0,'Données projet'!$E$10+1,1))</f>
        <v>151.58413719376074</v>
      </c>
      <c r="AO66" s="62">
        <f t="shared" si="36"/>
        <v>310.105543138185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51.397146976327896</v>
      </c>
      <c r="AV66" s="23">
        <f>EXP(-LN(2)/25)*AV65+(1-EXP(-LN(2)/25))/(LN(2)/25)*Calculateur!AQ66*Calculateur!AS66*VLOOKUP('Données projet'!$B$10,Paramètres!$A$1:$I$89,3,0)*0.475*44/12</f>
        <v>0</v>
      </c>
      <c r="AW66" s="23">
        <f>EXP(-LN(2)/2)*AW65+(1-EXP(-LN(2)/2))/(LN(2)/2)*AQ66*AT66*VLOOKUP('Données projet'!$B$10,Paramètres!$A$1:$I$89,3,0)*0.475*44/12</f>
        <v>2.869869347985817E-3</v>
      </c>
      <c r="AX66" s="23">
        <f t="shared" si="6"/>
        <v>51.400016845675879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38.27199999999997</v>
      </c>
      <c r="D67" s="12">
        <f t="shared" si="32"/>
        <v>11.539469830637575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10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384.50959167509694</v>
      </c>
      <c r="H67" s="70">
        <f t="shared" si="1"/>
        <v>380.08830995502706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1.1368683772161603E-13</v>
      </c>
      <c r="O67" s="14">
        <f>N67*VLOOKUP('Données projet'!$B$9,Paramètres!$A$1:$I$89,3,0)*VLOOKUP('Données projet'!$B$9,Paramètres!$A$1:$I$89,5,0)</f>
        <v>6.7984728957526396E-14</v>
      </c>
      <c r="P67" s="14">
        <f t="shared" si="33"/>
        <v>1.0682447123141398E-12</v>
      </c>
      <c r="Q67" s="22">
        <f t="shared" ref="Q67:Q98" si="54">(O67+P67)*0.475*44/12</f>
        <v>1.978932943548152E-12</v>
      </c>
      <c r="R67" s="62">
        <f t="shared" ref="R67:R130" si="55">Q67+(I67+J67)*44/12</f>
        <v>293.3333333333353</v>
      </c>
      <c r="S67" s="62">
        <f ca="1">AVERAGE(OFFSET($R$3,0,0,'Données projet'!$E$9+1,1))-AVERAGE(OFFSET($H$3,0,0,'Données projet'!$E$9+1,1))</f>
        <v>147.72913422715322</v>
      </c>
      <c r="T67" s="62">
        <f t="shared" si="34"/>
        <v>361.07991692964799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27.193451652359816</v>
      </c>
      <c r="AA67" s="23">
        <f>EXP(-LN(2)/25)*AA66+(1-EXP(-LN(2)/25))/(LN(2)/25)*Calculateur!V67*Calculateur!X67*VLOOKUP('Données projet'!$B$9,Paramètres!$A$1:$I$89,3,0)*0.475*44/12</f>
        <v>17.121679872827102</v>
      </c>
      <c r="AB67" s="23">
        <f>EXP(-LN(2)/2)*AB66+(1-EXP(-LN(2)/2))/(LN(2)/2)*V67*Y67*VLOOKUP('Données projet'!$B$9,Paramètres!$A$1:$I$89,3,0)*0.475*44/12</f>
        <v>3.3239276731039831E-4</v>
      </c>
      <c r="AC67" s="24">
        <f t="shared" si="3"/>
        <v>44.315463917954226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0</v>
      </c>
      <c r="AJ67" s="14">
        <f>AI67*VLOOKUP('Données projet'!$B$10,Paramètres!$A$1:$I$89,3,0)*VLOOKUP('Données projet'!$B$10,Paramètres!$A$1:$I$89,5,0)</f>
        <v>0</v>
      </c>
      <c r="AK67" s="14" t="e">
        <f t="shared" si="35"/>
        <v>#NUM!</v>
      </c>
      <c r="AL67" s="22" t="e">
        <f t="shared" si="4"/>
        <v>#NUM!</v>
      </c>
      <c r="AM67" s="62" t="e">
        <f t="shared" si="5"/>
        <v>#NUM!</v>
      </c>
      <c r="AN67" s="62">
        <f ca="1">AVERAGE(OFFSET($AM$3,0,0,'Données projet'!$E$10+1,1))-AVERAGE(OFFSET($H$3,0,0,'Données projet'!$E$10+1,1))</f>
        <v>151.58413719376074</v>
      </c>
      <c r="AO67" s="62">
        <f t="shared" si="36"/>
        <v>310.105543138185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50.389280273286289</v>
      </c>
      <c r="AV67" s="23">
        <f>EXP(-LN(2)/25)*AV66+(1-EXP(-LN(2)/25))/(LN(2)/25)*Calculateur!AQ67*Calculateur!AS67*VLOOKUP('Données projet'!$B$10,Paramètres!$A$1:$I$89,3,0)*0.475*44/12</f>
        <v>0</v>
      </c>
      <c r="AW67" s="23">
        <f>EXP(-LN(2)/2)*AW66+(1-EXP(-LN(2)/2))/(LN(2)/2)*AQ67*AT67*VLOOKUP('Données projet'!$B$10,Paramètres!$A$1:$I$89,3,0)*0.475*44/12</f>
        <v>2.0293040770801869E-3</v>
      </c>
      <c r="AX67" s="23">
        <f t="shared" si="6"/>
        <v>50.391309577363366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38.869999999999969</v>
      </c>
      <c r="D68" s="12">
        <f t="shared" si="32"/>
        <v>11.698642592779086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10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390.35443404952258</v>
      </c>
      <c r="H68" s="70">
        <f t="shared" ref="H68:H131" si="56">(B68+E68+F68)*44/12+(C68+D68)*0.475*44/12</f>
        <v>381.40705251575685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1.1368683772161603E-13</v>
      </c>
      <c r="O68" s="14">
        <f>N68*VLOOKUP('Données projet'!$B$9,Paramètres!$A$1:$I$89,3,0)*VLOOKUP('Données projet'!$B$9,Paramètres!$A$1:$I$89,5,0)</f>
        <v>6.7984728957526396E-14</v>
      </c>
      <c r="P68" s="14">
        <f t="shared" si="33"/>
        <v>1.0682447123141398E-12</v>
      </c>
      <c r="Q68" s="22">
        <f t="shared" si="54"/>
        <v>1.978932943548152E-12</v>
      </c>
      <c r="R68" s="62">
        <f t="shared" si="55"/>
        <v>293.3333333333353</v>
      </c>
      <c r="S68" s="62">
        <f ca="1">AVERAGE(OFFSET($R$3,0,0,'Données projet'!$E$9+1,1))-AVERAGE(OFFSET($H$3,0,0,'Données projet'!$E$9+1,1))</f>
        <v>147.72913422715322</v>
      </c>
      <c r="T68" s="62">
        <f t="shared" si="34"/>
        <v>361.07991692964799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26.660204651824781</v>
      </c>
      <c r="AA68" s="23">
        <f>EXP(-LN(2)/25)*AA67+(1-EXP(-LN(2)/25))/(LN(2)/25)*Calculateur!V68*Calculateur!X68*VLOOKUP('Données projet'!$B$9,Paramètres!$A$1:$I$89,3,0)*0.475*44/12</f>
        <v>16.653486636314632</v>
      </c>
      <c r="AB68" s="23">
        <f>EXP(-LN(2)/2)*AB67+(1-EXP(-LN(2)/2))/(LN(2)/2)*V68*Y68*VLOOKUP('Données projet'!$B$9,Paramètres!$A$1:$I$89,3,0)*0.475*44/12</f>
        <v>2.3503717978254484E-4</v>
      </c>
      <c r="AC68" s="24">
        <f t="shared" ref="AC68:AC131" si="57">SUM(Z68:AB68)</f>
        <v>43.313926325319194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0</v>
      </c>
      <c r="AJ68" s="14">
        <f>AI68*VLOOKUP('Données projet'!$B$10,Paramètres!$A$1:$I$89,3,0)*VLOOKUP('Données projet'!$B$10,Paramètres!$A$1:$I$89,5,0)</f>
        <v>0</v>
      </c>
      <c r="AK68" s="14" t="e">
        <f t="shared" si="35"/>
        <v>#NUM!</v>
      </c>
      <c r="AL68" s="22" t="e">
        <f t="shared" ref="AL68:AL131" si="58">(AJ68+AK68)*0.475*44/12</f>
        <v>#NUM!</v>
      </c>
      <c r="AM68" s="62" t="e">
        <f t="shared" ref="AM68:AM131" si="59">AL68+(AD68+AE68)*44/12</f>
        <v>#NUM!</v>
      </c>
      <c r="AN68" s="62">
        <f ca="1">AVERAGE(OFFSET($AM$3,0,0,'Données projet'!$E$10+1,1))-AVERAGE(OFFSET($H$3,0,0,'Données projet'!$E$10+1,1))</f>
        <v>151.58413719376074</v>
      </c>
      <c r="AO68" s="62">
        <f t="shared" si="36"/>
        <v>310.105543138185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49.40117722155334</v>
      </c>
      <c r="AV68" s="23">
        <f>EXP(-LN(2)/25)*AV67+(1-EXP(-LN(2)/25))/(LN(2)/25)*Calculateur!AQ68*Calculateur!AS68*VLOOKUP('Données projet'!$B$10,Paramètres!$A$1:$I$89,3,0)*0.475*44/12</f>
        <v>0</v>
      </c>
      <c r="AW68" s="23">
        <f>EXP(-LN(2)/2)*AW67+(1-EXP(-LN(2)/2))/(LN(2)/2)*AQ68*AT68*VLOOKUP('Données projet'!$B$10,Paramètres!$A$1:$I$89,3,0)*0.475*44/12</f>
        <v>1.4349346739929085E-3</v>
      </c>
      <c r="AX68" s="23">
        <f t="shared" ref="AX68:AX131" si="60">SUM(AU68:AW68)</f>
        <v>49.402612156227335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39.467999999999968</v>
      </c>
      <c r="D69" s="12">
        <f t="shared" ref="D69:D132" si="86">IFERROR(EXP(-1.0587+0.8836*LN(C69)+0.284),0)</f>
        <v>11.857530556426889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10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396.19707797943539</v>
      </c>
      <c r="H69" s="70">
        <f t="shared" si="56"/>
        <v>382.7252990524434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1.1368683772161603E-13</v>
      </c>
      <c r="O69" s="14">
        <f>N69*VLOOKUP('Données projet'!$B$9,Paramètres!$A$1:$I$89,3,0)*VLOOKUP('Données projet'!$B$9,Paramètres!$A$1:$I$89,5,0)</f>
        <v>6.7984728957526396E-14</v>
      </c>
      <c r="P69" s="14">
        <f t="shared" ref="P69:P132" si="87">EXP(-1.0587+0.8836*LN(O69)+0.284)</f>
        <v>1.0682447123141398E-12</v>
      </c>
      <c r="Q69" s="22">
        <f t="shared" si="54"/>
        <v>1.978932943548152E-12</v>
      </c>
      <c r="R69" s="62">
        <f t="shared" si="55"/>
        <v>293.3333333333353</v>
      </c>
      <c r="S69" s="62">
        <f ca="1">AVERAGE(OFFSET($R$3,0,0,'Données projet'!$E$9+1,1))-AVERAGE(OFFSET($H$3,0,0,'Données projet'!$E$9+1,1))</f>
        <v>147.72913422715322</v>
      </c>
      <c r="T69" s="62">
        <f t="shared" ref="T69:T132" si="88">$T$3</f>
        <v>361.07991692964799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26.137414299721684</v>
      </c>
      <c r="AA69" s="23">
        <f>EXP(-LN(2)/25)*AA68+(1-EXP(-LN(2)/25))/(LN(2)/25)*Calculateur!V69*Calculateur!X69*VLOOKUP('Données projet'!$B$9,Paramètres!$A$1:$I$89,3,0)*0.475*44/12</f>
        <v>16.198096168475807</v>
      </c>
      <c r="AB69" s="23">
        <f>EXP(-LN(2)/2)*AB68+(1-EXP(-LN(2)/2))/(LN(2)/2)*V69*Y69*VLOOKUP('Données projet'!$B$9,Paramètres!$A$1:$I$89,3,0)*0.475*44/12</f>
        <v>1.6619638365519918E-4</v>
      </c>
      <c r="AC69" s="24">
        <f t="shared" si="57"/>
        <v>42.335676664581143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0</v>
      </c>
      <c r="AJ69" s="14">
        <f>AI69*VLOOKUP('Données projet'!$B$10,Paramètres!$A$1:$I$89,3,0)*VLOOKUP('Données projet'!$B$10,Paramètres!$A$1:$I$89,5,0)</f>
        <v>0</v>
      </c>
      <c r="AK69" s="14" t="e">
        <f t="shared" ref="AK69:AK132" si="89">EXP(-1.0587+0.8836*LN(AJ69)+0.284)</f>
        <v>#NUM!</v>
      </c>
      <c r="AL69" s="22" t="e">
        <f t="shared" si="58"/>
        <v>#NUM!</v>
      </c>
      <c r="AM69" s="62" t="e">
        <f t="shared" si="59"/>
        <v>#NUM!</v>
      </c>
      <c r="AN69" s="62">
        <f ca="1">AVERAGE(OFFSET($AM$3,0,0,'Données projet'!$E$10+1,1))-AVERAGE(OFFSET($H$3,0,0,'Données projet'!$E$10+1,1))</f>
        <v>151.58413719376074</v>
      </c>
      <c r="AO69" s="62">
        <f t="shared" ref="AO69:AO132" si="90">$AO$3</f>
        <v>310.105543138185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48.432450267981523</v>
      </c>
      <c r="AV69" s="23">
        <f>EXP(-LN(2)/25)*AV68+(1-EXP(-LN(2)/25))/(LN(2)/25)*Calculateur!AQ69*Calculateur!AS69*VLOOKUP('Données projet'!$B$10,Paramètres!$A$1:$I$89,3,0)*0.475*44/12</f>
        <v>0</v>
      </c>
      <c r="AW69" s="23">
        <f>EXP(-LN(2)/2)*AW68+(1-EXP(-LN(2)/2))/(LN(2)/2)*AQ69*AT69*VLOOKUP('Données projet'!$B$10,Paramètres!$A$1:$I$89,3,0)*0.475*44/12</f>
        <v>1.0146520385400934E-3</v>
      </c>
      <c r="AX69" s="23">
        <f t="shared" si="60"/>
        <v>48.433464920020064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40.065999999999967</v>
      </c>
      <c r="D70" s="12">
        <f t="shared" si="86"/>
        <v>12.016138535115942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10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402.03756062194742</v>
      </c>
      <c r="H70" s="70">
        <f t="shared" si="56"/>
        <v>384.04305794866019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1.1368683772161603E-13</v>
      </c>
      <c r="O70" s="14">
        <f>N70*VLOOKUP('Données projet'!$B$9,Paramètres!$A$1:$I$89,3,0)*VLOOKUP('Données projet'!$B$9,Paramètres!$A$1:$I$89,5,0)</f>
        <v>6.7984728957526396E-14</v>
      </c>
      <c r="P70" s="14">
        <f t="shared" si="87"/>
        <v>1.0682447123141398E-12</v>
      </c>
      <c r="Q70" s="22">
        <f t="shared" si="54"/>
        <v>1.978932943548152E-12</v>
      </c>
      <c r="R70" s="62">
        <f t="shared" si="55"/>
        <v>293.3333333333353</v>
      </c>
      <c r="S70" s="62">
        <f ca="1">AVERAGE(OFFSET($R$3,0,0,'Données projet'!$E$9+1,1))-AVERAGE(OFFSET($H$3,0,0,'Données projet'!$E$9+1,1))</f>
        <v>147.72913422715322</v>
      </c>
      <c r="T70" s="62">
        <f t="shared" si="88"/>
        <v>361.07991692964799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25.624875547552698</v>
      </c>
      <c r="AA70" s="23">
        <f>EXP(-LN(2)/25)*AA69+(1-EXP(-LN(2)/25))/(LN(2)/25)*Calculateur!V70*Calculateur!X70*VLOOKUP('Données projet'!$B$9,Paramètres!$A$1:$I$89,3,0)*0.475*44/12</f>
        <v>15.75515837692798</v>
      </c>
      <c r="AB70" s="23">
        <f>EXP(-LN(2)/2)*AB69+(1-EXP(-LN(2)/2))/(LN(2)/2)*V70*Y70*VLOOKUP('Données projet'!$B$9,Paramètres!$A$1:$I$89,3,0)*0.475*44/12</f>
        <v>1.1751858989127243E-4</v>
      </c>
      <c r="AC70" s="24">
        <f t="shared" si="57"/>
        <v>41.380151443070567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0</v>
      </c>
      <c r="AJ70" s="14">
        <f>AI70*VLOOKUP('Données projet'!$B$10,Paramètres!$A$1:$I$89,3,0)*VLOOKUP('Données projet'!$B$10,Paramètres!$A$1:$I$89,5,0)</f>
        <v>0</v>
      </c>
      <c r="AK70" s="14" t="e">
        <f t="shared" si="89"/>
        <v>#NUM!</v>
      </c>
      <c r="AL70" s="22" t="e">
        <f t="shared" si="58"/>
        <v>#NUM!</v>
      </c>
      <c r="AM70" s="62" t="e">
        <f t="shared" si="59"/>
        <v>#NUM!</v>
      </c>
      <c r="AN70" s="62">
        <f ca="1">AVERAGE(OFFSET($AM$3,0,0,'Données projet'!$E$10+1,1))-AVERAGE(OFFSET($H$3,0,0,'Données projet'!$E$10+1,1))</f>
        <v>151.58413719376074</v>
      </c>
      <c r="AO70" s="62">
        <f t="shared" si="90"/>
        <v>310.105543138185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47.482719459104146</v>
      </c>
      <c r="AV70" s="23">
        <f>EXP(-LN(2)/25)*AV69+(1-EXP(-LN(2)/25))/(LN(2)/25)*Calculateur!AQ70*Calculateur!AS70*VLOOKUP('Données projet'!$B$10,Paramètres!$A$1:$I$89,3,0)*0.475*44/12</f>
        <v>0</v>
      </c>
      <c r="AW70" s="23">
        <f>EXP(-LN(2)/2)*AW69+(1-EXP(-LN(2)/2))/(LN(2)/2)*AQ70*AT70*VLOOKUP('Données projet'!$B$10,Paramètres!$A$1:$I$89,3,0)*0.475*44/12</f>
        <v>7.1746733699645424E-4</v>
      </c>
      <c r="AX70" s="23">
        <f t="shared" si="60"/>
        <v>47.483436926441144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40.663999999999966</v>
      </c>
      <c r="D71" s="12">
        <f t="shared" si="86"/>
        <v>12.174471190446138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10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407.8759179613383</v>
      </c>
      <c r="H71" s="70">
        <f t="shared" si="56"/>
        <v>385.36033732336028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1.1368683772161603E-13</v>
      </c>
      <c r="O71" s="14">
        <f>N71*VLOOKUP('Données projet'!$B$9,Paramètres!$A$1:$I$89,3,0)*VLOOKUP('Données projet'!$B$9,Paramètres!$A$1:$I$89,5,0)</f>
        <v>6.7984728957526396E-14</v>
      </c>
      <c r="P71" s="14">
        <f t="shared" si="87"/>
        <v>1.0682447123141398E-12</v>
      </c>
      <c r="Q71" s="22">
        <f t="shared" si="54"/>
        <v>1.978932943548152E-12</v>
      </c>
      <c r="R71" s="62">
        <f t="shared" si="55"/>
        <v>293.3333333333353</v>
      </c>
      <c r="S71" s="62">
        <f ca="1">AVERAGE(OFFSET($R$3,0,0,'Données projet'!$E$9+1,1))-AVERAGE(OFFSET($H$3,0,0,'Données projet'!$E$9+1,1))</f>
        <v>147.72913422715322</v>
      </c>
      <c r="T71" s="62">
        <f t="shared" si="88"/>
        <v>361.07991692964799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25.122387367695975</v>
      </c>
      <c r="AA71" s="23">
        <f>EXP(-LN(2)/25)*AA70+(1-EXP(-LN(2)/25))/(LN(2)/25)*Calculateur!V71*Calculateur!X71*VLOOKUP('Données projet'!$B$9,Paramètres!$A$1:$I$89,3,0)*0.475*44/12</f>
        <v>15.324332742583115</v>
      </c>
      <c r="AB71" s="23">
        <f>EXP(-LN(2)/2)*AB70+(1-EXP(-LN(2)/2))/(LN(2)/2)*V71*Y71*VLOOKUP('Données projet'!$B$9,Paramètres!$A$1:$I$89,3,0)*0.475*44/12</f>
        <v>8.3098191827599605E-5</v>
      </c>
      <c r="AC71" s="24">
        <f t="shared" si="57"/>
        <v>40.446803208470918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0</v>
      </c>
      <c r="AJ71" s="14">
        <f>AI71*VLOOKUP('Données projet'!$B$10,Paramètres!$A$1:$I$89,3,0)*VLOOKUP('Données projet'!$B$10,Paramètres!$A$1:$I$89,5,0)</f>
        <v>0</v>
      </c>
      <c r="AK71" s="14" t="e">
        <f t="shared" si="89"/>
        <v>#NUM!</v>
      </c>
      <c r="AL71" s="22" t="e">
        <f t="shared" si="58"/>
        <v>#NUM!</v>
      </c>
      <c r="AM71" s="62" t="e">
        <f t="shared" si="59"/>
        <v>#NUM!</v>
      </c>
      <c r="AN71" s="62">
        <f ca="1">AVERAGE(OFFSET($AM$3,0,0,'Données projet'!$E$10+1,1))-AVERAGE(OFFSET($H$3,0,0,'Données projet'!$E$10+1,1))</f>
        <v>151.58413719376074</v>
      </c>
      <c r="AO71" s="62">
        <f t="shared" si="90"/>
        <v>310.105543138185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46.551612292110264</v>
      </c>
      <c r="AV71" s="23">
        <f>EXP(-LN(2)/25)*AV70+(1-EXP(-LN(2)/25))/(LN(2)/25)*Calculateur!AQ71*Calculateur!AS71*VLOOKUP('Données projet'!$B$10,Paramètres!$A$1:$I$89,3,0)*0.475*44/12</f>
        <v>0</v>
      </c>
      <c r="AW71" s="23">
        <f>EXP(-LN(2)/2)*AW70+(1-EXP(-LN(2)/2))/(LN(2)/2)*AQ71*AT71*VLOOKUP('Données projet'!$B$10,Paramètres!$A$1:$I$89,3,0)*0.475*44/12</f>
        <v>5.0732601927004671E-4</v>
      </c>
      <c r="AX71" s="23">
        <f t="shared" si="60"/>
        <v>46.552119618129531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41.261999999999965</v>
      </c>
      <c r="D72" s="12">
        <f t="shared" si="86"/>
        <v>12.332533039040444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10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413.71218486276803</v>
      </c>
      <c r="H72" s="70">
        <f t="shared" si="56"/>
        <v>386.67714504299533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1.1368683772161603E-13</v>
      </c>
      <c r="O72" s="14">
        <f>N72*VLOOKUP('Données projet'!$B$9,Paramètres!$A$1:$I$89,3,0)*VLOOKUP('Données projet'!$B$9,Paramètres!$A$1:$I$89,5,0)</f>
        <v>6.7984728957526396E-14</v>
      </c>
      <c r="P72" s="14">
        <f t="shared" si="87"/>
        <v>1.0682447123141398E-12</v>
      </c>
      <c r="Q72" s="22">
        <f t="shared" si="54"/>
        <v>1.978932943548152E-12</v>
      </c>
      <c r="R72" s="62">
        <f t="shared" si="55"/>
        <v>293.3333333333353</v>
      </c>
      <c r="S72" s="62">
        <f ca="1">AVERAGE(OFFSET($R$3,0,0,'Données projet'!$E$9+1,1))-AVERAGE(OFFSET($H$3,0,0,'Données projet'!$E$9+1,1))</f>
        <v>147.72913422715322</v>
      </c>
      <c r="T72" s="62">
        <f t="shared" si="88"/>
        <v>361.07991692964799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24.629752674558716</v>
      </c>
      <c r="AA72" s="23">
        <f>EXP(-LN(2)/25)*AA71+(1-EXP(-LN(2)/25))/(LN(2)/25)*Calculateur!V72*Calculateur!X72*VLOOKUP('Données projet'!$B$9,Paramètres!$A$1:$I$89,3,0)*0.475*44/12</f>
        <v>14.905288057865546</v>
      </c>
      <c r="AB72" s="23">
        <f>EXP(-LN(2)/2)*AB71+(1-EXP(-LN(2)/2))/(LN(2)/2)*V72*Y72*VLOOKUP('Données projet'!$B$9,Paramètres!$A$1:$I$89,3,0)*0.475*44/12</f>
        <v>5.8759294945636231E-5</v>
      </c>
      <c r="AC72" s="24">
        <f t="shared" si="57"/>
        <v>39.535099491719208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0</v>
      </c>
      <c r="AJ72" s="14">
        <f>AI72*VLOOKUP('Données projet'!$B$10,Paramètres!$A$1:$I$89,3,0)*VLOOKUP('Données projet'!$B$10,Paramètres!$A$1:$I$89,5,0)</f>
        <v>0</v>
      </c>
      <c r="AK72" s="14" t="e">
        <f t="shared" si="89"/>
        <v>#NUM!</v>
      </c>
      <c r="AL72" s="22" t="e">
        <f t="shared" si="58"/>
        <v>#NUM!</v>
      </c>
      <c r="AM72" s="62" t="e">
        <f t="shared" si="59"/>
        <v>#NUM!</v>
      </c>
      <c r="AN72" s="62">
        <f ca="1">AVERAGE(OFFSET($AM$3,0,0,'Données projet'!$E$10+1,1))-AVERAGE(OFFSET($H$3,0,0,'Données projet'!$E$10+1,1))</f>
        <v>151.58413719376074</v>
      </c>
      <c r="AO72" s="62">
        <f t="shared" si="90"/>
        <v>310.105543138185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45.638763568741837</v>
      </c>
      <c r="AV72" s="23">
        <f>EXP(-LN(2)/25)*AV71+(1-EXP(-LN(2)/25))/(LN(2)/25)*Calculateur!AQ72*Calculateur!AS72*VLOOKUP('Données projet'!$B$10,Paramètres!$A$1:$I$89,3,0)*0.475*44/12</f>
        <v>0</v>
      </c>
      <c r="AW72" s="23">
        <f>EXP(-LN(2)/2)*AW71+(1-EXP(-LN(2)/2))/(LN(2)/2)*AQ72*AT72*VLOOKUP('Données projet'!$B$10,Paramètres!$A$1:$I$89,3,0)*0.475*44/12</f>
        <v>3.5873366849822712E-4</v>
      </c>
      <c r="AX72" s="23">
        <f t="shared" si="60"/>
        <v>45.639122302410335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41.859999999999964</v>
      </c>
      <c r="D73" s="12">
        <f t="shared" si="86"/>
        <v>12.490328459088207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10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419.5463951227859</v>
      </c>
      <c r="H73" s="70">
        <f t="shared" si="56"/>
        <v>387.99348873291189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1.1368683772161603E-13</v>
      </c>
      <c r="O73" s="14">
        <f>N73*VLOOKUP('Données projet'!$B$9,Paramètres!$A$1:$I$89,3,0)*VLOOKUP('Données projet'!$B$9,Paramètres!$A$1:$I$89,5,0)</f>
        <v>6.7984728957526396E-14</v>
      </c>
      <c r="P73" s="14">
        <f t="shared" si="87"/>
        <v>1.0682447123141398E-12</v>
      </c>
      <c r="Q73" s="22">
        <f t="shared" si="54"/>
        <v>1.978932943548152E-12</v>
      </c>
      <c r="R73" s="62">
        <f t="shared" si="55"/>
        <v>293.3333333333353</v>
      </c>
      <c r="S73" s="62">
        <f ca="1">AVERAGE(OFFSET($R$3,0,0,'Données projet'!$E$9+1,1))-AVERAGE(OFFSET($H$3,0,0,'Données projet'!$E$9+1,1))</f>
        <v>147.72913422715322</v>
      </c>
      <c r="T73" s="62">
        <f t="shared" si="88"/>
        <v>361.07991692964799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24.146778247276387</v>
      </c>
      <c r="AA73" s="23">
        <f>EXP(-LN(2)/25)*AA72+(1-EXP(-LN(2)/25))/(LN(2)/25)*Calculateur!V73*Calculateur!X73*VLOOKUP('Données projet'!$B$9,Paramètres!$A$1:$I$89,3,0)*0.475*44/12</f>
        <v>14.49770217208818</v>
      </c>
      <c r="AB73" s="23">
        <f>EXP(-LN(2)/2)*AB72+(1-EXP(-LN(2)/2))/(LN(2)/2)*V73*Y73*VLOOKUP('Données projet'!$B$9,Paramètres!$A$1:$I$89,3,0)*0.475*44/12</f>
        <v>4.1549095913799809E-5</v>
      </c>
      <c r="AC73" s="24">
        <f t="shared" si="57"/>
        <v>38.644521968460481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0</v>
      </c>
      <c r="AJ73" s="14">
        <f>AI73*VLOOKUP('Données projet'!$B$10,Paramètres!$A$1:$I$89,3,0)*VLOOKUP('Données projet'!$B$10,Paramètres!$A$1:$I$89,5,0)</f>
        <v>0</v>
      </c>
      <c r="AK73" s="14" t="e">
        <f t="shared" si="89"/>
        <v>#NUM!</v>
      </c>
      <c r="AL73" s="22" t="e">
        <f t="shared" si="58"/>
        <v>#NUM!</v>
      </c>
      <c r="AM73" s="62" t="e">
        <f t="shared" si="59"/>
        <v>#NUM!</v>
      </c>
      <c r="AN73" s="62">
        <f ca="1">AVERAGE(OFFSET($AM$3,0,0,'Données projet'!$E$10+1,1))-AVERAGE(OFFSET($H$3,0,0,'Données projet'!$E$10+1,1))</f>
        <v>151.58413719376074</v>
      </c>
      <c r="AO73" s="62">
        <f t="shared" si="90"/>
        <v>310.105543138185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44.743815252055924</v>
      </c>
      <c r="AV73" s="23">
        <f>EXP(-LN(2)/25)*AV72+(1-EXP(-LN(2)/25))/(LN(2)/25)*Calculateur!AQ73*Calculateur!AS73*VLOOKUP('Données projet'!$B$10,Paramètres!$A$1:$I$89,3,0)*0.475*44/12</f>
        <v>0</v>
      </c>
      <c r="AW73" s="23">
        <f>EXP(-LN(2)/2)*AW72+(1-EXP(-LN(2)/2))/(LN(2)/2)*AQ73*AT73*VLOOKUP('Données projet'!$B$10,Paramètres!$A$1:$I$89,3,0)*0.475*44/12</f>
        <v>2.5366300963502336E-4</v>
      </c>
      <c r="AX73" s="23">
        <f t="shared" si="60"/>
        <v>44.744068915065561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42.457999999999963</v>
      </c>
      <c r="D74" s="12">
        <f t="shared" si="86"/>
        <v>12.64786169650392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10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425.37858151687209</v>
      </c>
      <c r="H74" s="70">
        <f t="shared" si="56"/>
        <v>389.30937578807755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1.1368683772161603E-13</v>
      </c>
      <c r="O74" s="14">
        <f>N74*VLOOKUP('Données projet'!$B$9,Paramètres!$A$1:$I$89,3,0)*VLOOKUP('Données projet'!$B$9,Paramètres!$A$1:$I$89,5,0)</f>
        <v>6.7984728957526396E-14</v>
      </c>
      <c r="P74" s="14">
        <f t="shared" si="87"/>
        <v>1.0682447123141398E-12</v>
      </c>
      <c r="Q74" s="22">
        <f t="shared" si="54"/>
        <v>1.978932943548152E-12</v>
      </c>
      <c r="R74" s="62">
        <f t="shared" si="55"/>
        <v>293.3333333333353</v>
      </c>
      <c r="S74" s="62">
        <f ca="1">AVERAGE(OFFSET($R$3,0,0,'Données projet'!$E$9+1,1))-AVERAGE(OFFSET($H$3,0,0,'Données projet'!$E$9+1,1))</f>
        <v>147.72913422715322</v>
      </c>
      <c r="T74" s="62">
        <f t="shared" si="88"/>
        <v>361.07991692964799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23.673274653927752</v>
      </c>
      <c r="AA74" s="23">
        <f>EXP(-LN(2)/25)*AA73+(1-EXP(-LN(2)/25))/(LN(2)/25)*Calculateur!V74*Calculateur!X74*VLOOKUP('Données projet'!$B$9,Paramètres!$A$1:$I$89,3,0)*0.475*44/12</f>
        <v>14.101261743791406</v>
      </c>
      <c r="AB74" s="23">
        <f>EXP(-LN(2)/2)*AB73+(1-EXP(-LN(2)/2))/(LN(2)/2)*V74*Y74*VLOOKUP('Données projet'!$B$9,Paramètres!$A$1:$I$89,3,0)*0.475*44/12</f>
        <v>2.9379647472818119E-5</v>
      </c>
      <c r="AC74" s="24">
        <f t="shared" si="57"/>
        <v>37.774565777366632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0</v>
      </c>
      <c r="AJ74" s="14">
        <f>AI74*VLOOKUP('Données projet'!$B$10,Paramètres!$A$1:$I$89,3,0)*VLOOKUP('Données projet'!$B$10,Paramètres!$A$1:$I$89,5,0)</f>
        <v>0</v>
      </c>
      <c r="AK74" s="14" t="e">
        <f t="shared" si="89"/>
        <v>#NUM!</v>
      </c>
      <c r="AL74" s="22" t="e">
        <f t="shared" si="58"/>
        <v>#NUM!</v>
      </c>
      <c r="AM74" s="62" t="e">
        <f t="shared" si="59"/>
        <v>#NUM!</v>
      </c>
      <c r="AN74" s="62">
        <f ca="1">AVERAGE(OFFSET($AM$3,0,0,'Données projet'!$E$10+1,1))-AVERAGE(OFFSET($H$3,0,0,'Données projet'!$E$10+1,1))</f>
        <v>151.58413719376074</v>
      </c>
      <c r="AO74" s="62">
        <f t="shared" si="90"/>
        <v>310.105543138185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43.866416325995644</v>
      </c>
      <c r="AV74" s="23">
        <f>EXP(-LN(2)/25)*AV73+(1-EXP(-LN(2)/25))/(LN(2)/25)*Calculateur!AQ74*Calculateur!AS74*VLOOKUP('Données projet'!$B$10,Paramètres!$A$1:$I$89,3,0)*0.475*44/12</f>
        <v>0</v>
      </c>
      <c r="AW74" s="23">
        <f>EXP(-LN(2)/2)*AW73+(1-EXP(-LN(2)/2))/(LN(2)/2)*AQ74*AT74*VLOOKUP('Données projet'!$B$10,Paramètres!$A$1:$I$89,3,0)*0.475*44/12</f>
        <v>1.7936683424911356E-4</v>
      </c>
      <c r="AX74" s="23">
        <f t="shared" si="60"/>
        <v>43.86659569282989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43.055999999999962</v>
      </c>
      <c r="D75" s="12">
        <f t="shared" si="86"/>
        <v>12.80513687072917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10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431.20877584422487</v>
      </c>
      <c r="H75" s="70">
        <f t="shared" si="56"/>
        <v>390.62481338318656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1.1368683772161603E-13</v>
      </c>
      <c r="O75" s="14">
        <f>N75*VLOOKUP('Données projet'!$B$9,Paramètres!$A$1:$I$89,3,0)*VLOOKUP('Données projet'!$B$9,Paramètres!$A$1:$I$89,5,0)</f>
        <v>6.7984728957526396E-14</v>
      </c>
      <c r="P75" s="14">
        <f t="shared" si="87"/>
        <v>1.0682447123141398E-12</v>
      </c>
      <c r="Q75" s="22">
        <f t="shared" si="54"/>
        <v>1.978932943548152E-12</v>
      </c>
      <c r="R75" s="62">
        <f t="shared" si="55"/>
        <v>293.3333333333353</v>
      </c>
      <c r="S75" s="62">
        <f ca="1">AVERAGE(OFFSET($R$3,0,0,'Données projet'!$E$9+1,1))-AVERAGE(OFFSET($H$3,0,0,'Données projet'!$E$9+1,1))</f>
        <v>147.72913422715322</v>
      </c>
      <c r="T75" s="62">
        <f t="shared" si="88"/>
        <v>361.07991692964799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23.209056177236008</v>
      </c>
      <c r="AA75" s="23">
        <f>EXP(-LN(2)/25)*AA74+(1-EXP(-LN(2)/25))/(LN(2)/25)*Calculateur!V75*Calculateur!X75*VLOOKUP('Données projet'!$B$9,Paramètres!$A$1:$I$89,3,0)*0.475*44/12</f>
        <v>13.715661999854303</v>
      </c>
      <c r="AB75" s="23">
        <f>EXP(-LN(2)/2)*AB74+(1-EXP(-LN(2)/2))/(LN(2)/2)*V75*Y75*VLOOKUP('Données projet'!$B$9,Paramètres!$A$1:$I$89,3,0)*0.475*44/12</f>
        <v>2.0774547956899908E-5</v>
      </c>
      <c r="AC75" s="24">
        <f t="shared" si="57"/>
        <v>36.924738951638268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0</v>
      </c>
      <c r="AJ75" s="14">
        <f>AI75*VLOOKUP('Données projet'!$B$10,Paramètres!$A$1:$I$89,3,0)*VLOOKUP('Données projet'!$B$10,Paramètres!$A$1:$I$89,5,0)</f>
        <v>0</v>
      </c>
      <c r="AK75" s="14" t="e">
        <f t="shared" si="89"/>
        <v>#NUM!</v>
      </c>
      <c r="AL75" s="22" t="e">
        <f t="shared" si="58"/>
        <v>#NUM!</v>
      </c>
      <c r="AM75" s="62" t="e">
        <f t="shared" si="59"/>
        <v>#NUM!</v>
      </c>
      <c r="AN75" s="62">
        <f ca="1">AVERAGE(OFFSET($AM$3,0,0,'Données projet'!$E$10+1,1))-AVERAGE(OFFSET($H$3,0,0,'Données projet'!$E$10+1,1))</f>
        <v>151.58413719376074</v>
      </c>
      <c r="AO75" s="62">
        <f t="shared" si="90"/>
        <v>310.105543138185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43.006222657714908</v>
      </c>
      <c r="AV75" s="23">
        <f>EXP(-LN(2)/25)*AV74+(1-EXP(-LN(2)/25))/(LN(2)/25)*Calculateur!AQ75*Calculateur!AS75*VLOOKUP('Données projet'!$B$10,Paramètres!$A$1:$I$89,3,0)*0.475*44/12</f>
        <v>0</v>
      </c>
      <c r="AW75" s="23">
        <f>EXP(-LN(2)/2)*AW74+(1-EXP(-LN(2)/2))/(LN(2)/2)*AQ75*AT75*VLOOKUP('Données projet'!$B$10,Paramètres!$A$1:$I$89,3,0)*0.475*44/12</f>
        <v>1.2683150481751168E-4</v>
      </c>
      <c r="AX75" s="23">
        <f t="shared" si="60"/>
        <v>43.006349489219723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43.653999999999961</v>
      </c>
      <c r="D76" s="12">
        <f t="shared" si="86"/>
        <v>12.962157980203079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10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437.03700896998839</v>
      </c>
      <c r="H76" s="70">
        <f t="shared" si="56"/>
        <v>391.93980848218695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1.1368683772161603E-13</v>
      </c>
      <c r="O76" s="14">
        <f>N76*VLOOKUP('Données projet'!$B$9,Paramètres!$A$1:$I$89,3,0)*VLOOKUP('Données projet'!$B$9,Paramètres!$A$1:$I$89,5,0)</f>
        <v>6.7984728957526396E-14</v>
      </c>
      <c r="P76" s="14">
        <f t="shared" si="87"/>
        <v>1.0682447123141398E-12</v>
      </c>
      <c r="Q76" s="22">
        <f t="shared" si="54"/>
        <v>1.978932943548152E-12</v>
      </c>
      <c r="R76" s="62">
        <f t="shared" si="55"/>
        <v>293.3333333333353</v>
      </c>
      <c r="S76" s="62">
        <f ca="1">AVERAGE(OFFSET($R$3,0,0,'Données projet'!$E$9+1,1))-AVERAGE(OFFSET($H$3,0,0,'Données projet'!$E$9+1,1))</f>
        <v>147.72913422715322</v>
      </c>
      <c r="T76" s="62">
        <f t="shared" si="88"/>
        <v>361.07991692964799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22.753940741726876</v>
      </c>
      <c r="AA76" s="23">
        <f>EXP(-LN(2)/25)*AA75+(1-EXP(-LN(2)/25))/(LN(2)/25)*Calculateur!V76*Calculateur!X76*VLOOKUP('Données projet'!$B$9,Paramètres!$A$1:$I$89,3,0)*0.475*44/12</f>
        <v>13.340606501192971</v>
      </c>
      <c r="AB76" s="23">
        <f>EXP(-LN(2)/2)*AB75+(1-EXP(-LN(2)/2))/(LN(2)/2)*V76*Y76*VLOOKUP('Données projet'!$B$9,Paramètres!$A$1:$I$89,3,0)*0.475*44/12</f>
        <v>1.4689823736409063E-5</v>
      </c>
      <c r="AC76" s="24">
        <f t="shared" si="57"/>
        <v>36.094561932743581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0</v>
      </c>
      <c r="AJ76" s="14">
        <f>AI76*VLOOKUP('Données projet'!$B$10,Paramètres!$A$1:$I$89,3,0)*VLOOKUP('Données projet'!$B$10,Paramètres!$A$1:$I$89,5,0)</f>
        <v>0</v>
      </c>
      <c r="AK76" s="14" t="e">
        <f t="shared" si="89"/>
        <v>#NUM!</v>
      </c>
      <c r="AL76" s="22" t="e">
        <f t="shared" si="58"/>
        <v>#NUM!</v>
      </c>
      <c r="AM76" s="62" t="e">
        <f t="shared" si="59"/>
        <v>#NUM!</v>
      </c>
      <c r="AN76" s="62">
        <f ca="1">AVERAGE(OFFSET($AM$3,0,0,'Données projet'!$E$10+1,1))-AVERAGE(OFFSET($H$3,0,0,'Données projet'!$E$10+1,1))</f>
        <v>151.58413719376074</v>
      </c>
      <c r="AO76" s="62">
        <f t="shared" si="90"/>
        <v>310.105543138185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42.162896862602821</v>
      </c>
      <c r="AV76" s="23">
        <f>EXP(-LN(2)/25)*AV75+(1-EXP(-LN(2)/25))/(LN(2)/25)*Calculateur!AQ76*Calculateur!AS76*VLOOKUP('Données projet'!$B$10,Paramètres!$A$1:$I$89,3,0)*0.475*44/12</f>
        <v>0</v>
      </c>
      <c r="AW76" s="23">
        <f>EXP(-LN(2)/2)*AW75+(1-EXP(-LN(2)/2))/(LN(2)/2)*AQ76*AT76*VLOOKUP('Données projet'!$B$10,Paramètres!$A$1:$I$89,3,0)*0.475*44/12</f>
        <v>8.968341712455678E-5</v>
      </c>
      <c r="AX76" s="23">
        <f t="shared" si="60"/>
        <v>42.162986546019944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44.25199999999996</v>
      </c>
      <c r="D77" s="12">
        <f t="shared" si="86"/>
        <v>13.118928907524445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10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442.86331086510063</v>
      </c>
      <c r="H77" s="70">
        <f t="shared" si="56"/>
        <v>393.25436784727162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1.1368683772161603E-13</v>
      </c>
      <c r="O77" s="14">
        <f>N77*VLOOKUP('Données projet'!$B$9,Paramètres!$A$1:$I$89,3,0)*VLOOKUP('Données projet'!$B$9,Paramètres!$A$1:$I$89,5,0)</f>
        <v>6.7984728957526396E-14</v>
      </c>
      <c r="P77" s="14">
        <f t="shared" si="87"/>
        <v>1.0682447123141398E-12</v>
      </c>
      <c r="Q77" s="22">
        <f t="shared" si="54"/>
        <v>1.978932943548152E-12</v>
      </c>
      <c r="R77" s="62">
        <f t="shared" si="55"/>
        <v>293.3333333333353</v>
      </c>
      <c r="S77" s="62">
        <f ca="1">AVERAGE(OFFSET($R$3,0,0,'Données projet'!$E$9+1,1))-AVERAGE(OFFSET($H$3,0,0,'Données projet'!$E$9+1,1))</f>
        <v>147.72913422715322</v>
      </c>
      <c r="T77" s="62">
        <f t="shared" si="88"/>
        <v>361.07991692964799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22.307749842315072</v>
      </c>
      <c r="AA77" s="23">
        <f>EXP(-LN(2)/25)*AA76+(1-EXP(-LN(2)/25))/(LN(2)/25)*Calculateur!V77*Calculateur!X77*VLOOKUP('Données projet'!$B$9,Paramètres!$A$1:$I$89,3,0)*0.475*44/12</f>
        <v>12.975806914865844</v>
      </c>
      <c r="AB77" s="23">
        <f>EXP(-LN(2)/2)*AB76+(1-EXP(-LN(2)/2))/(LN(2)/2)*V77*Y77*VLOOKUP('Données projet'!$B$9,Paramètres!$A$1:$I$89,3,0)*0.475*44/12</f>
        <v>1.0387273978449956E-5</v>
      </c>
      <c r="AC77" s="24">
        <f t="shared" si="57"/>
        <v>35.283567144454899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0</v>
      </c>
      <c r="AJ77" s="14">
        <f>AI77*VLOOKUP('Données projet'!$B$10,Paramètres!$A$1:$I$89,3,0)*VLOOKUP('Données projet'!$B$10,Paramètres!$A$1:$I$89,5,0)</f>
        <v>0</v>
      </c>
      <c r="AK77" s="14" t="e">
        <f t="shared" si="89"/>
        <v>#NUM!</v>
      </c>
      <c r="AL77" s="22" t="e">
        <f t="shared" si="58"/>
        <v>#NUM!</v>
      </c>
      <c r="AM77" s="62" t="e">
        <f t="shared" si="59"/>
        <v>#NUM!</v>
      </c>
      <c r="AN77" s="62">
        <f ca="1">AVERAGE(OFFSET($AM$3,0,0,'Données projet'!$E$10+1,1))-AVERAGE(OFFSET($H$3,0,0,'Données projet'!$E$10+1,1))</f>
        <v>151.58413719376074</v>
      </c>
      <c r="AO77" s="62">
        <f t="shared" si="90"/>
        <v>310.105543138185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41.33610817195494</v>
      </c>
      <c r="AV77" s="23">
        <f>EXP(-LN(2)/25)*AV76+(1-EXP(-LN(2)/25))/(LN(2)/25)*Calculateur!AQ77*Calculateur!AS77*VLOOKUP('Données projet'!$B$10,Paramètres!$A$1:$I$89,3,0)*0.475*44/12</f>
        <v>0</v>
      </c>
      <c r="AW77" s="23">
        <f>EXP(-LN(2)/2)*AW76+(1-EXP(-LN(2)/2))/(LN(2)/2)*AQ77*AT77*VLOOKUP('Données projet'!$B$10,Paramètres!$A$1:$I$89,3,0)*0.475*44/12</f>
        <v>6.3415752408755839E-5</v>
      </c>
      <c r="AX77" s="23">
        <f t="shared" si="60"/>
        <v>41.336171587707348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44.849999999999959</v>
      </c>
      <c r="D78" s="12">
        <f t="shared" si="86"/>
        <v>13.275453424326999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10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448.6877106439274</v>
      </c>
      <c r="H78" s="70">
        <f t="shared" si="56"/>
        <v>394.56849804736942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1.1368683772161603E-13</v>
      </c>
      <c r="O78" s="14">
        <f>N78*VLOOKUP('Données projet'!$B$9,Paramètres!$A$1:$I$89,3,0)*VLOOKUP('Données projet'!$B$9,Paramètres!$A$1:$I$89,5,0)</f>
        <v>6.7984728957526396E-14</v>
      </c>
      <c r="P78" s="14">
        <f t="shared" si="87"/>
        <v>1.0682447123141398E-12</v>
      </c>
      <c r="Q78" s="22">
        <f t="shared" si="54"/>
        <v>1.978932943548152E-12</v>
      </c>
      <c r="R78" s="62">
        <f t="shared" si="55"/>
        <v>293.3333333333353</v>
      </c>
      <c r="S78" s="62">
        <f ca="1">AVERAGE(OFFSET($R$3,0,0,'Données projet'!$E$9+1,1))-AVERAGE(OFFSET($H$3,0,0,'Données projet'!$E$9+1,1))</f>
        <v>147.72913422715322</v>
      </c>
      <c r="T78" s="62">
        <f t="shared" si="88"/>
        <v>361.07991692964799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21.870308474291157</v>
      </c>
      <c r="AA78" s="23">
        <f>EXP(-LN(2)/25)*AA77+(1-EXP(-LN(2)/25))/(LN(2)/25)*Calculateur!V78*Calculateur!X78*VLOOKUP('Données projet'!$B$9,Paramètres!$A$1:$I$89,3,0)*0.475*44/12</f>
        <v>12.620982792410809</v>
      </c>
      <c r="AB78" s="23">
        <f>EXP(-LN(2)/2)*AB77+(1-EXP(-LN(2)/2))/(LN(2)/2)*V78*Y78*VLOOKUP('Données projet'!$B$9,Paramètres!$A$1:$I$89,3,0)*0.475*44/12</f>
        <v>7.3449118682045322E-6</v>
      </c>
      <c r="AC78" s="24">
        <f t="shared" si="57"/>
        <v>34.491298611613836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0</v>
      </c>
      <c r="AJ78" s="14">
        <f>AI78*VLOOKUP('Données projet'!$B$10,Paramètres!$A$1:$I$89,3,0)*VLOOKUP('Données projet'!$B$10,Paramètres!$A$1:$I$89,5,0)</f>
        <v>0</v>
      </c>
      <c r="AK78" s="14" t="e">
        <f t="shared" si="89"/>
        <v>#NUM!</v>
      </c>
      <c r="AL78" s="22" t="e">
        <f t="shared" si="58"/>
        <v>#NUM!</v>
      </c>
      <c r="AM78" s="62" t="e">
        <f t="shared" si="59"/>
        <v>#NUM!</v>
      </c>
      <c r="AN78" s="62">
        <f ca="1">AVERAGE(OFFSET($AM$3,0,0,'Données projet'!$E$10+1,1))-AVERAGE(OFFSET($H$3,0,0,'Données projet'!$E$10+1,1))</f>
        <v>151.58413719376074</v>
      </c>
      <c r="AO78" s="62">
        <f t="shared" si="90"/>
        <v>310.105543138185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40.525532303239359</v>
      </c>
      <c r="AV78" s="23">
        <f>EXP(-LN(2)/25)*AV77+(1-EXP(-LN(2)/25))/(LN(2)/25)*Calculateur!AQ78*Calculateur!AS78*VLOOKUP('Données projet'!$B$10,Paramètres!$A$1:$I$89,3,0)*0.475*44/12</f>
        <v>0</v>
      </c>
      <c r="AW78" s="23">
        <f>EXP(-LN(2)/2)*AW77+(1-EXP(-LN(2)/2))/(LN(2)/2)*AQ78*AT78*VLOOKUP('Données projet'!$B$10,Paramètres!$A$1:$I$89,3,0)*0.475*44/12</f>
        <v>4.484170856227839E-5</v>
      </c>
      <c r="AX78" s="23">
        <f t="shared" si="60"/>
        <v>40.525577144947924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45.447999999999958</v>
      </c>
      <c r="D79" s="12">
        <f t="shared" si="86"/>
        <v>13.431735195887123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10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454.51023659983008</v>
      </c>
      <c r="H79" s="70">
        <f t="shared" si="56"/>
        <v>395.88220546616998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1.1368683772161603E-13</v>
      </c>
      <c r="O79" s="14">
        <f>N79*VLOOKUP('Données projet'!$B$9,Paramètres!$A$1:$I$89,3,0)*VLOOKUP('Données projet'!$B$9,Paramètres!$A$1:$I$89,5,0)</f>
        <v>6.7984728957526396E-14</v>
      </c>
      <c r="P79" s="14">
        <f t="shared" si="87"/>
        <v>1.0682447123141398E-12</v>
      </c>
      <c r="Q79" s="22">
        <f t="shared" si="54"/>
        <v>1.978932943548152E-12</v>
      </c>
      <c r="R79" s="62">
        <f t="shared" si="55"/>
        <v>293.3333333333353</v>
      </c>
      <c r="S79" s="62">
        <f ca="1">AVERAGE(OFFSET($R$3,0,0,'Données projet'!$E$9+1,1))-AVERAGE(OFFSET($H$3,0,0,'Données projet'!$E$9+1,1))</f>
        <v>147.72913422715322</v>
      </c>
      <c r="T79" s="62">
        <f t="shared" si="88"/>
        <v>361.07991692964799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21.441445064681304</v>
      </c>
      <c r="AA79" s="23">
        <f>EXP(-LN(2)/25)*AA78+(1-EXP(-LN(2)/25))/(LN(2)/25)*Calculateur!V79*Calculateur!X79*VLOOKUP('Données projet'!$B$9,Paramètres!$A$1:$I$89,3,0)*0.475*44/12</f>
        <v>12.275861354243697</v>
      </c>
      <c r="AB79" s="23">
        <f>EXP(-LN(2)/2)*AB78+(1-EXP(-LN(2)/2))/(LN(2)/2)*V79*Y79*VLOOKUP('Données projet'!$B$9,Paramètres!$A$1:$I$89,3,0)*0.475*44/12</f>
        <v>5.1936369892249787E-6</v>
      </c>
      <c r="AC79" s="24">
        <f t="shared" si="57"/>
        <v>33.717311612561986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0</v>
      </c>
      <c r="AJ79" s="14">
        <f>AI79*VLOOKUP('Données projet'!$B$10,Paramètres!$A$1:$I$89,3,0)*VLOOKUP('Données projet'!$B$10,Paramètres!$A$1:$I$89,5,0)</f>
        <v>0</v>
      </c>
      <c r="AK79" s="14" t="e">
        <f t="shared" si="89"/>
        <v>#NUM!</v>
      </c>
      <c r="AL79" s="22" t="e">
        <f t="shared" si="58"/>
        <v>#NUM!</v>
      </c>
      <c r="AM79" s="62" t="e">
        <f t="shared" si="59"/>
        <v>#NUM!</v>
      </c>
      <c r="AN79" s="62">
        <f ca="1">AVERAGE(OFFSET($AM$3,0,0,'Données projet'!$E$10+1,1))-AVERAGE(OFFSET($H$3,0,0,'Données projet'!$E$10+1,1))</f>
        <v>151.58413719376074</v>
      </c>
      <c r="AO79" s="62">
        <f t="shared" si="90"/>
        <v>310.105543138185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39.73085133290683</v>
      </c>
      <c r="AV79" s="23">
        <f>EXP(-LN(2)/25)*AV78+(1-EXP(-LN(2)/25))/(LN(2)/25)*Calculateur!AQ79*Calculateur!AS79*VLOOKUP('Données projet'!$B$10,Paramètres!$A$1:$I$89,3,0)*0.475*44/12</f>
        <v>0</v>
      </c>
      <c r="AW79" s="23">
        <f>EXP(-LN(2)/2)*AW78+(1-EXP(-LN(2)/2))/(LN(2)/2)*AQ79*AT79*VLOOKUP('Données projet'!$B$10,Paramètres!$A$1:$I$89,3,0)*0.475*44/12</f>
        <v>3.170787620437792E-5</v>
      </c>
      <c r="AX79" s="23">
        <f t="shared" si="60"/>
        <v>39.730883040783034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46.045999999999957</v>
      </c>
      <c r="D80" s="12">
        <f t="shared" si="86"/>
        <v>13.587777785482281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10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460.33091623881029</v>
      </c>
      <c r="H80" s="70">
        <f t="shared" si="56"/>
        <v>397.19549630971488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1.1368683772161603E-13</v>
      </c>
      <c r="O80" s="14">
        <f>N80*VLOOKUP('Données projet'!$B$9,Paramètres!$A$1:$I$89,3,0)*VLOOKUP('Données projet'!$B$9,Paramètres!$A$1:$I$89,5,0)</f>
        <v>6.7984728957526396E-14</v>
      </c>
      <c r="P80" s="14">
        <f t="shared" si="87"/>
        <v>1.0682447123141398E-12</v>
      </c>
      <c r="Q80" s="22">
        <f t="shared" si="54"/>
        <v>1.978932943548152E-12</v>
      </c>
      <c r="R80" s="62">
        <f t="shared" si="55"/>
        <v>293.3333333333353</v>
      </c>
      <c r="S80" s="62">
        <f ca="1">AVERAGE(OFFSET($R$3,0,0,'Données projet'!$E$9+1,1))-AVERAGE(OFFSET($H$3,0,0,'Données projet'!$E$9+1,1))</f>
        <v>147.72913422715322</v>
      </c>
      <c r="T80" s="62">
        <f t="shared" si="88"/>
        <v>361.07991692964799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21.020991404953048</v>
      </c>
      <c r="AA80" s="23">
        <f>EXP(-LN(2)/25)*AA79+(1-EXP(-LN(2)/25))/(LN(2)/25)*Calculateur!V80*Calculateur!X80*VLOOKUP('Données projet'!$B$9,Paramètres!$A$1:$I$89,3,0)*0.475*44/12</f>
        <v>11.940177279952412</v>
      </c>
      <c r="AB80" s="23">
        <f>EXP(-LN(2)/2)*AB79+(1-EXP(-LN(2)/2))/(LN(2)/2)*V80*Y80*VLOOKUP('Données projet'!$B$9,Paramètres!$A$1:$I$89,3,0)*0.475*44/12</f>
        <v>3.6724559341022665E-6</v>
      </c>
      <c r="AC80" s="24">
        <f t="shared" si="57"/>
        <v>32.961172357361392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0</v>
      </c>
      <c r="AJ80" s="14">
        <f>AI80*VLOOKUP('Données projet'!$B$10,Paramètres!$A$1:$I$89,3,0)*VLOOKUP('Données projet'!$B$10,Paramètres!$A$1:$I$89,5,0)</f>
        <v>0</v>
      </c>
      <c r="AK80" s="14" t="e">
        <f t="shared" si="89"/>
        <v>#NUM!</v>
      </c>
      <c r="AL80" s="22" t="e">
        <f t="shared" si="58"/>
        <v>#NUM!</v>
      </c>
      <c r="AM80" s="62" t="e">
        <f t="shared" si="59"/>
        <v>#NUM!</v>
      </c>
      <c r="AN80" s="62">
        <f ca="1">AVERAGE(OFFSET($AM$3,0,0,'Données projet'!$E$10+1,1))-AVERAGE(OFFSET($H$3,0,0,'Données projet'!$E$10+1,1))</f>
        <v>151.58413719376074</v>
      </c>
      <c r="AO80" s="62">
        <f t="shared" si="90"/>
        <v>310.105543138185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38.951753571694987</v>
      </c>
      <c r="AV80" s="23">
        <f>EXP(-LN(2)/25)*AV79+(1-EXP(-LN(2)/25))/(LN(2)/25)*Calculateur!AQ80*Calculateur!AS80*VLOOKUP('Données projet'!$B$10,Paramètres!$A$1:$I$89,3,0)*0.475*44/12</f>
        <v>0</v>
      </c>
      <c r="AW80" s="23">
        <f>EXP(-LN(2)/2)*AW79+(1-EXP(-LN(2)/2))/(LN(2)/2)*AQ80*AT80*VLOOKUP('Données projet'!$B$10,Paramètres!$A$1:$I$89,3,0)*0.475*44/12</f>
        <v>2.2420854281139195E-5</v>
      </c>
      <c r="AX80" s="23">
        <f t="shared" si="60"/>
        <v>38.951775992549265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46.643999999999956</v>
      </c>
      <c r="D81" s="12">
        <f t="shared" si="86"/>
        <v>13.74358465851647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10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466.14977631135486</v>
      </c>
      <c r="H81" s="70">
        <f t="shared" si="56"/>
        <v>398.50837661358275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1.1368683772161603E-13</v>
      </c>
      <c r="O81" s="14">
        <f>N81*VLOOKUP('Données projet'!$B$9,Paramètres!$A$1:$I$89,3,0)*VLOOKUP('Données projet'!$B$9,Paramètres!$A$1:$I$89,5,0)</f>
        <v>6.7984728957526396E-14</v>
      </c>
      <c r="P81" s="14">
        <f t="shared" si="87"/>
        <v>1.0682447123141398E-12</v>
      </c>
      <c r="Q81" s="22">
        <f t="shared" si="54"/>
        <v>1.978932943548152E-12</v>
      </c>
      <c r="R81" s="62">
        <f t="shared" si="55"/>
        <v>293.3333333333353</v>
      </c>
      <c r="S81" s="62">
        <f ca="1">AVERAGE(OFFSET($R$3,0,0,'Données projet'!$E$9+1,1))-AVERAGE(OFFSET($H$3,0,0,'Données projet'!$E$9+1,1))</f>
        <v>147.72913422715322</v>
      </c>
      <c r="T81" s="62">
        <f t="shared" si="88"/>
        <v>361.07991692964799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20.608782585040654</v>
      </c>
      <c r="AA81" s="23">
        <f>EXP(-LN(2)/25)*AA80+(1-EXP(-LN(2)/25))/(LN(2)/25)*Calculateur!V81*Calculateur!X81*VLOOKUP('Données projet'!$B$9,Paramètres!$A$1:$I$89,3,0)*0.475*44/12</f>
        <v>11.61367250432548</v>
      </c>
      <c r="AB81" s="23">
        <f>EXP(-LN(2)/2)*AB80+(1-EXP(-LN(2)/2))/(LN(2)/2)*V81*Y81*VLOOKUP('Données projet'!$B$9,Paramètres!$A$1:$I$89,3,0)*0.475*44/12</f>
        <v>2.5968184946124898E-6</v>
      </c>
      <c r="AC81" s="24">
        <f t="shared" si="57"/>
        <v>32.222457686184633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0</v>
      </c>
      <c r="AJ81" s="14">
        <f>AI81*VLOOKUP('Données projet'!$B$10,Paramètres!$A$1:$I$89,3,0)*VLOOKUP('Données projet'!$B$10,Paramètres!$A$1:$I$89,5,0)</f>
        <v>0</v>
      </c>
      <c r="AK81" s="14" t="e">
        <f t="shared" si="89"/>
        <v>#NUM!</v>
      </c>
      <c r="AL81" s="22" t="e">
        <f t="shared" si="58"/>
        <v>#NUM!</v>
      </c>
      <c r="AM81" s="62" t="e">
        <f t="shared" si="59"/>
        <v>#NUM!</v>
      </c>
      <c r="AN81" s="62">
        <f ca="1">AVERAGE(OFFSET($AM$3,0,0,'Données projet'!$E$10+1,1))-AVERAGE(OFFSET($H$3,0,0,'Données projet'!$E$10+1,1))</f>
        <v>151.58413719376074</v>
      </c>
      <c r="AO81" s="62">
        <f t="shared" si="90"/>
        <v>310.105543138185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38.187933442377798</v>
      </c>
      <c r="AV81" s="23">
        <f>EXP(-LN(2)/25)*AV80+(1-EXP(-LN(2)/25))/(LN(2)/25)*Calculateur!AQ81*Calculateur!AS81*VLOOKUP('Données projet'!$B$10,Paramètres!$A$1:$I$89,3,0)*0.475*44/12</f>
        <v>0</v>
      </c>
      <c r="AW81" s="23">
        <f>EXP(-LN(2)/2)*AW80+(1-EXP(-LN(2)/2))/(LN(2)/2)*AQ81*AT81*VLOOKUP('Données projet'!$B$10,Paramètres!$A$1:$I$89,3,0)*0.475*44/12</f>
        <v>1.585393810218896E-5</v>
      </c>
      <c r="AX81" s="23">
        <f t="shared" si="60"/>
        <v>38.1879492963159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47.241999999999955</v>
      </c>
      <c r="D82" s="12">
        <f t="shared" si="86"/>
        <v>13.899159186428221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10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471.96684284260351</v>
      </c>
      <c r="H82" s="70">
        <f t="shared" si="56"/>
        <v>399.82085224969569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1.1368683772161603E-13</v>
      </c>
      <c r="O82" s="14">
        <f>N82*VLOOKUP('Données projet'!$B$9,Paramètres!$A$1:$I$89,3,0)*VLOOKUP('Données projet'!$B$9,Paramètres!$A$1:$I$89,5,0)</f>
        <v>6.7984728957526396E-14</v>
      </c>
      <c r="P82" s="14">
        <f t="shared" si="87"/>
        <v>1.0682447123141398E-12</v>
      </c>
      <c r="Q82" s="22">
        <f t="shared" si="54"/>
        <v>1.978932943548152E-12</v>
      </c>
      <c r="R82" s="62">
        <f t="shared" si="55"/>
        <v>293.3333333333353</v>
      </c>
      <c r="S82" s="62">
        <f ca="1">AVERAGE(OFFSET($R$3,0,0,'Données projet'!$E$9+1,1))-AVERAGE(OFFSET($H$3,0,0,'Données projet'!$E$9+1,1))</f>
        <v>147.72913422715322</v>
      </c>
      <c r="T82" s="62">
        <f t="shared" si="88"/>
        <v>361.07991692964799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20.204656928664189</v>
      </c>
      <c r="AA82" s="23">
        <f>EXP(-LN(2)/25)*AA81+(1-EXP(-LN(2)/25))/(LN(2)/25)*Calculateur!V82*Calculateur!X82*VLOOKUP('Données projet'!$B$9,Paramètres!$A$1:$I$89,3,0)*0.475*44/12</f>
        <v>11.296096018958206</v>
      </c>
      <c r="AB82" s="23">
        <f>EXP(-LN(2)/2)*AB81+(1-EXP(-LN(2)/2))/(LN(2)/2)*V82*Y82*VLOOKUP('Données projet'!$B$9,Paramètres!$A$1:$I$89,3,0)*0.475*44/12</f>
        <v>1.8362279670511337E-6</v>
      </c>
      <c r="AC82" s="24">
        <f t="shared" si="57"/>
        <v>31.500754783850361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0</v>
      </c>
      <c r="AJ82" s="14">
        <f>AI82*VLOOKUP('Données projet'!$B$10,Paramètres!$A$1:$I$89,3,0)*VLOOKUP('Données projet'!$B$10,Paramètres!$A$1:$I$89,5,0)</f>
        <v>0</v>
      </c>
      <c r="AK82" s="14" t="e">
        <f t="shared" si="89"/>
        <v>#NUM!</v>
      </c>
      <c r="AL82" s="22" t="e">
        <f t="shared" si="58"/>
        <v>#NUM!</v>
      </c>
      <c r="AM82" s="62" t="e">
        <f t="shared" si="59"/>
        <v>#NUM!</v>
      </c>
      <c r="AN82" s="62">
        <f ca="1">AVERAGE(OFFSET($AM$3,0,0,'Données projet'!$E$10+1,1))-AVERAGE(OFFSET($H$3,0,0,'Données projet'!$E$10+1,1))</f>
        <v>151.58413719376074</v>
      </c>
      <c r="AO82" s="62">
        <f t="shared" si="90"/>
        <v>310.105543138185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37.43909135991224</v>
      </c>
      <c r="AV82" s="23">
        <f>EXP(-LN(2)/25)*AV81+(1-EXP(-LN(2)/25))/(LN(2)/25)*Calculateur!AQ82*Calculateur!AS82*VLOOKUP('Données projet'!$B$10,Paramètres!$A$1:$I$89,3,0)*0.475*44/12</f>
        <v>0</v>
      </c>
      <c r="AW82" s="23">
        <f>EXP(-LN(2)/2)*AW81+(1-EXP(-LN(2)/2))/(LN(2)/2)*AQ82*AT82*VLOOKUP('Données projet'!$B$10,Paramètres!$A$1:$I$89,3,0)*0.475*44/12</f>
        <v>1.1210427140569598E-5</v>
      </c>
      <c r="AX82" s="23">
        <f t="shared" si="60"/>
        <v>37.439102570339379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47.839999999999954</v>
      </c>
      <c r="D83" s="12">
        <f t="shared" si="86"/>
        <v>14.054504650394959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10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477.78214116094318</v>
      </c>
      <c r="H83" s="70">
        <f t="shared" si="56"/>
        <v>401.13292893277111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1.1368683772161603E-13</v>
      </c>
      <c r="O83" s="14">
        <f>N83*VLOOKUP('Données projet'!$B$9,Paramètres!$A$1:$I$89,3,0)*VLOOKUP('Données projet'!$B$9,Paramètres!$A$1:$I$89,5,0)</f>
        <v>6.7984728957526396E-14</v>
      </c>
      <c r="P83" s="14">
        <f t="shared" si="87"/>
        <v>1.0682447123141398E-12</v>
      </c>
      <c r="Q83" s="22">
        <f t="shared" si="54"/>
        <v>1.978932943548152E-12</v>
      </c>
      <c r="R83" s="62">
        <f t="shared" si="55"/>
        <v>293.3333333333353</v>
      </c>
      <c r="S83" s="62">
        <f ca="1">AVERAGE(OFFSET($R$3,0,0,'Données projet'!$E$9+1,1))-AVERAGE(OFFSET($H$3,0,0,'Données projet'!$E$9+1,1))</f>
        <v>147.72913422715322</v>
      </c>
      <c r="T83" s="62">
        <f t="shared" si="88"/>
        <v>361.07991692964799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19.808455929916953</v>
      </c>
      <c r="AA83" s="23">
        <f>EXP(-LN(2)/25)*AA82+(1-EXP(-LN(2)/25))/(LN(2)/25)*Calculateur!V83*Calculateur!X83*VLOOKUP('Données projet'!$B$9,Paramètres!$A$1:$I$89,3,0)*0.475*44/12</f>
        <v>10.987203679283922</v>
      </c>
      <c r="AB83" s="23">
        <f>EXP(-LN(2)/2)*AB82+(1-EXP(-LN(2)/2))/(LN(2)/2)*V83*Y83*VLOOKUP('Données projet'!$B$9,Paramètres!$A$1:$I$89,3,0)*0.475*44/12</f>
        <v>1.2984092473062451E-6</v>
      </c>
      <c r="AC83" s="24">
        <f t="shared" si="57"/>
        <v>30.795660907610124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0</v>
      </c>
      <c r="AJ83" s="14">
        <f>AI83*VLOOKUP('Données projet'!$B$10,Paramètres!$A$1:$I$89,3,0)*VLOOKUP('Données projet'!$B$10,Paramètres!$A$1:$I$89,5,0)</f>
        <v>0</v>
      </c>
      <c r="AK83" s="14" t="e">
        <f t="shared" si="89"/>
        <v>#NUM!</v>
      </c>
      <c r="AL83" s="22" t="e">
        <f t="shared" si="58"/>
        <v>#NUM!</v>
      </c>
      <c r="AM83" s="62" t="e">
        <f t="shared" si="59"/>
        <v>#NUM!</v>
      </c>
      <c r="AN83" s="62">
        <f ca="1">AVERAGE(OFFSET($AM$3,0,0,'Données projet'!$E$10+1,1))-AVERAGE(OFFSET($H$3,0,0,'Données projet'!$E$10+1,1))</f>
        <v>151.58413719376074</v>
      </c>
      <c r="AO83" s="62">
        <f t="shared" si="90"/>
        <v>310.105543138185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36.70493361393526</v>
      </c>
      <c r="AV83" s="23">
        <f>EXP(-LN(2)/25)*AV82+(1-EXP(-LN(2)/25))/(LN(2)/25)*Calculateur!AQ83*Calculateur!AS83*VLOOKUP('Données projet'!$B$10,Paramètres!$A$1:$I$89,3,0)*0.475*44/12</f>
        <v>0</v>
      </c>
      <c r="AW83" s="23">
        <f>EXP(-LN(2)/2)*AW82+(1-EXP(-LN(2)/2))/(LN(2)/2)*AQ83*AT83*VLOOKUP('Données projet'!$B$10,Paramètres!$A$1:$I$89,3,0)*0.475*44/12</f>
        <v>7.9269690510944799E-6</v>
      </c>
      <c r="AX83" s="23">
        <f t="shared" si="60"/>
        <v>36.704941540904315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48.437999999999953</v>
      </c>
      <c r="D84" s="12">
        <f t="shared" si="86"/>
        <v>14.209624244846959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10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483.59569592513407</v>
      </c>
      <c r="H84" s="70">
        <f t="shared" si="56"/>
        <v>402.44461222644168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1.1368683772161603E-13</v>
      </c>
      <c r="O84" s="14">
        <f>N84*VLOOKUP('Données projet'!$B$9,Paramètres!$A$1:$I$89,3,0)*VLOOKUP('Données projet'!$B$9,Paramètres!$A$1:$I$89,5,0)</f>
        <v>6.7984728957526396E-14</v>
      </c>
      <c r="P84" s="14">
        <f t="shared" si="87"/>
        <v>1.0682447123141398E-12</v>
      </c>
      <c r="Q84" s="22">
        <f t="shared" si="54"/>
        <v>1.978932943548152E-12</v>
      </c>
      <c r="R84" s="62">
        <f t="shared" si="55"/>
        <v>293.3333333333353</v>
      </c>
      <c r="S84" s="62">
        <f ca="1">AVERAGE(OFFSET($R$3,0,0,'Données projet'!$E$9+1,1))-AVERAGE(OFFSET($H$3,0,0,'Données projet'!$E$9+1,1))</f>
        <v>147.72913422715322</v>
      </c>
      <c r="T84" s="62">
        <f t="shared" si="88"/>
        <v>361.07991692964799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19.420024191096402</v>
      </c>
      <c r="AA84" s="23">
        <f>EXP(-LN(2)/25)*AA83+(1-EXP(-LN(2)/25))/(LN(2)/25)*Calculateur!V84*Calculateur!X84*VLOOKUP('Données projet'!$B$9,Paramètres!$A$1:$I$89,3,0)*0.475*44/12</f>
        <v>10.686758016881974</v>
      </c>
      <c r="AB84" s="23">
        <f>EXP(-LN(2)/2)*AB83+(1-EXP(-LN(2)/2))/(LN(2)/2)*V84*Y84*VLOOKUP('Données projet'!$B$9,Paramètres!$A$1:$I$89,3,0)*0.475*44/12</f>
        <v>9.1811398352556695E-7</v>
      </c>
      <c r="AC84" s="24">
        <f t="shared" si="57"/>
        <v>30.10678312609236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0</v>
      </c>
      <c r="AJ84" s="14">
        <f>AI84*VLOOKUP('Données projet'!$B$10,Paramètres!$A$1:$I$89,3,0)*VLOOKUP('Données projet'!$B$10,Paramètres!$A$1:$I$89,5,0)</f>
        <v>0</v>
      </c>
      <c r="AK84" s="14" t="e">
        <f t="shared" si="89"/>
        <v>#NUM!</v>
      </c>
      <c r="AL84" s="22" t="e">
        <f t="shared" si="58"/>
        <v>#NUM!</v>
      </c>
      <c r="AM84" s="62" t="e">
        <f t="shared" si="59"/>
        <v>#NUM!</v>
      </c>
      <c r="AN84" s="62">
        <f ca="1">AVERAGE(OFFSET($AM$3,0,0,'Données projet'!$E$10+1,1))-AVERAGE(OFFSET($H$3,0,0,'Données projet'!$E$10+1,1))</f>
        <v>151.58413719376074</v>
      </c>
      <c r="AO84" s="62">
        <f t="shared" si="90"/>
        <v>310.105543138185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35.985172253564883</v>
      </c>
      <c r="AV84" s="23">
        <f>EXP(-LN(2)/25)*AV83+(1-EXP(-LN(2)/25))/(LN(2)/25)*Calculateur!AQ84*Calculateur!AS84*VLOOKUP('Données projet'!$B$10,Paramètres!$A$1:$I$89,3,0)*0.475*44/12</f>
        <v>0</v>
      </c>
      <c r="AW84" s="23">
        <f>EXP(-LN(2)/2)*AW83+(1-EXP(-LN(2)/2))/(LN(2)/2)*AQ84*AT84*VLOOKUP('Données projet'!$B$10,Paramètres!$A$1:$I$89,3,0)*0.475*44/12</f>
        <v>5.6052135702847988E-6</v>
      </c>
      <c r="AX84" s="23">
        <f t="shared" si="60"/>
        <v>35.985177858778457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49.035999999999952</v>
      </c>
      <c r="D85" s="12">
        <f t="shared" si="86"/>
        <v>14.364521080802797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10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489.40753115005629</v>
      </c>
      <c r="H85" s="70">
        <f t="shared" si="56"/>
        <v>403.75590754906477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1.1368683772161603E-13</v>
      </c>
      <c r="O85" s="14">
        <f>N85*VLOOKUP('Données projet'!$B$9,Paramètres!$A$1:$I$89,3,0)*VLOOKUP('Données projet'!$B$9,Paramètres!$A$1:$I$89,5,0)</f>
        <v>6.7984728957526396E-14</v>
      </c>
      <c r="P85" s="14">
        <f t="shared" si="87"/>
        <v>1.0682447123141398E-12</v>
      </c>
      <c r="Q85" s="22">
        <f t="shared" si="54"/>
        <v>1.978932943548152E-12</v>
      </c>
      <c r="R85" s="62">
        <f t="shared" si="55"/>
        <v>293.3333333333353</v>
      </c>
      <c r="S85" s="62">
        <f ca="1">AVERAGE(OFFSET($R$3,0,0,'Données projet'!$E$9+1,1))-AVERAGE(OFFSET($H$3,0,0,'Données projet'!$E$9+1,1))</f>
        <v>147.72913422715322</v>
      </c>
      <c r="T85" s="62">
        <f t="shared" si="88"/>
        <v>361.07991692964799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19.039209361754157</v>
      </c>
      <c r="AA85" s="23">
        <f>EXP(-LN(2)/25)*AA84+(1-EXP(-LN(2)/25))/(LN(2)/25)*Calculateur!V85*Calculateur!X85*VLOOKUP('Données projet'!$B$9,Paramètres!$A$1:$I$89,3,0)*0.475*44/12</f>
        <v>10.394528056918157</v>
      </c>
      <c r="AB85" s="23">
        <f>EXP(-LN(2)/2)*AB84+(1-EXP(-LN(2)/2))/(LN(2)/2)*V85*Y85*VLOOKUP('Données projet'!$B$9,Paramètres!$A$1:$I$89,3,0)*0.475*44/12</f>
        <v>6.4920462365312265E-7</v>
      </c>
      <c r="AC85" s="24">
        <f t="shared" si="57"/>
        <v>29.433738067876938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0</v>
      </c>
      <c r="AJ85" s="14">
        <f>AI85*VLOOKUP('Données projet'!$B$10,Paramètres!$A$1:$I$89,3,0)*VLOOKUP('Données projet'!$B$10,Paramètres!$A$1:$I$89,5,0)</f>
        <v>0</v>
      </c>
      <c r="AK85" s="14" t="e">
        <f t="shared" si="89"/>
        <v>#NUM!</v>
      </c>
      <c r="AL85" s="22" t="e">
        <f t="shared" si="58"/>
        <v>#NUM!</v>
      </c>
      <c r="AM85" s="62" t="e">
        <f t="shared" si="59"/>
        <v>#NUM!</v>
      </c>
      <c r="AN85" s="62">
        <f ca="1">AVERAGE(OFFSET($AM$3,0,0,'Données projet'!$E$10+1,1))-AVERAGE(OFFSET($H$3,0,0,'Données projet'!$E$10+1,1))</f>
        <v>151.58413719376074</v>
      </c>
      <c r="AO85" s="62">
        <f t="shared" si="90"/>
        <v>310.105543138185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35.279524974460287</v>
      </c>
      <c r="AV85" s="23">
        <f>EXP(-LN(2)/25)*AV84+(1-EXP(-LN(2)/25))/(LN(2)/25)*Calculateur!AQ85*Calculateur!AS85*VLOOKUP('Données projet'!$B$10,Paramètres!$A$1:$I$89,3,0)*0.475*44/12</f>
        <v>0</v>
      </c>
      <c r="AW85" s="23">
        <f>EXP(-LN(2)/2)*AW84+(1-EXP(-LN(2)/2))/(LN(2)/2)*AQ85*AT85*VLOOKUP('Données projet'!$B$10,Paramètres!$A$1:$I$89,3,0)*0.475*44/12</f>
        <v>3.96348452554724E-6</v>
      </c>
      <c r="AX85" s="23">
        <f t="shared" si="60"/>
        <v>35.279528937944811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49.633999999999951</v>
      </c>
      <c r="D86" s="12">
        <f t="shared" si="86"/>
        <v>14.519198189037443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10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495.21767023116581</v>
      </c>
      <c r="H86" s="70">
        <f t="shared" si="56"/>
        <v>405.0668201792401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1.1368683772161603E-13</v>
      </c>
      <c r="O86" s="14">
        <f>N86*VLOOKUP('Données projet'!$B$9,Paramètres!$A$1:$I$89,3,0)*VLOOKUP('Données projet'!$B$9,Paramètres!$A$1:$I$89,5,0)</f>
        <v>6.7984728957526396E-14</v>
      </c>
      <c r="P86" s="14">
        <f t="shared" si="87"/>
        <v>1.0682447123141398E-12</v>
      </c>
      <c r="Q86" s="22">
        <f t="shared" si="54"/>
        <v>1.978932943548152E-12</v>
      </c>
      <c r="R86" s="62">
        <f t="shared" si="55"/>
        <v>293.3333333333353</v>
      </c>
      <c r="S86" s="62">
        <f ca="1">AVERAGE(OFFSET($R$3,0,0,'Données projet'!$E$9+1,1))-AVERAGE(OFFSET($H$3,0,0,'Données projet'!$E$9+1,1))</f>
        <v>147.72913422715322</v>
      </c>
      <c r="T86" s="62">
        <f t="shared" si="88"/>
        <v>361.07991692964799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18.665862078941203</v>
      </c>
      <c r="AA86" s="23">
        <f>EXP(-LN(2)/25)*AA85+(1-EXP(-LN(2)/25))/(LN(2)/25)*Calculateur!V86*Calculateur!X86*VLOOKUP('Données projet'!$B$9,Paramètres!$A$1:$I$89,3,0)*0.475*44/12</f>
        <v>10.110289140577256</v>
      </c>
      <c r="AB86" s="23">
        <f>EXP(-LN(2)/2)*AB85+(1-EXP(-LN(2)/2))/(LN(2)/2)*V86*Y86*VLOOKUP('Données projet'!$B$9,Paramètres!$A$1:$I$89,3,0)*0.475*44/12</f>
        <v>4.5905699176278358E-7</v>
      </c>
      <c r="AC86" s="24">
        <f t="shared" si="57"/>
        <v>28.776151678575452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0</v>
      </c>
      <c r="AJ86" s="14">
        <f>AI86*VLOOKUP('Données projet'!$B$10,Paramètres!$A$1:$I$89,3,0)*VLOOKUP('Données projet'!$B$10,Paramètres!$A$1:$I$89,5,0)</f>
        <v>0</v>
      </c>
      <c r="AK86" s="14" t="e">
        <f t="shared" si="89"/>
        <v>#NUM!</v>
      </c>
      <c r="AL86" s="22" t="e">
        <f t="shared" si="58"/>
        <v>#NUM!</v>
      </c>
      <c r="AM86" s="62" t="e">
        <f t="shared" si="59"/>
        <v>#NUM!</v>
      </c>
      <c r="AN86" s="62">
        <f ca="1">AVERAGE(OFFSET($AM$3,0,0,'Données projet'!$E$10+1,1))-AVERAGE(OFFSET($H$3,0,0,'Données projet'!$E$10+1,1))</f>
        <v>151.58413719376074</v>
      </c>
      <c r="AO86" s="62">
        <f t="shared" si="90"/>
        <v>310.105543138185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34.587715008096588</v>
      </c>
      <c r="AV86" s="23">
        <f>EXP(-LN(2)/25)*AV85+(1-EXP(-LN(2)/25))/(LN(2)/25)*Calculateur!AQ86*Calculateur!AS86*VLOOKUP('Données projet'!$B$10,Paramètres!$A$1:$I$89,3,0)*0.475*44/12</f>
        <v>0</v>
      </c>
      <c r="AW86" s="23">
        <f>EXP(-LN(2)/2)*AW85+(1-EXP(-LN(2)/2))/(LN(2)/2)*AQ86*AT86*VLOOKUP('Données projet'!$B$10,Paramètres!$A$1:$I$89,3,0)*0.475*44/12</f>
        <v>2.8026067851423994E-6</v>
      </c>
      <c r="AX86" s="23">
        <f t="shared" si="60"/>
        <v>34.587717810703374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</v>
      </c>
      <c r="D87" s="12">
        <f t="shared" si="86"/>
        <v>14.673658523093403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10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501.02613596773813</v>
      </c>
      <c r="H87" s="70">
        <f t="shared" si="56"/>
        <v>406.37735526105422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1.1368683772161603E-13</v>
      </c>
      <c r="O87" s="14">
        <f>N87*VLOOKUP('Données projet'!$B$9,Paramètres!$A$1:$I$89,3,0)*VLOOKUP('Données projet'!$B$9,Paramètres!$A$1:$I$89,5,0)</f>
        <v>6.7984728957526396E-14</v>
      </c>
      <c r="P87" s="14">
        <f t="shared" si="87"/>
        <v>1.0682447123141398E-12</v>
      </c>
      <c r="Q87" s="22">
        <f t="shared" si="54"/>
        <v>1.978932943548152E-12</v>
      </c>
      <c r="R87" s="62">
        <f t="shared" si="55"/>
        <v>293.3333333333353</v>
      </c>
      <c r="S87" s="62">
        <f ca="1">AVERAGE(OFFSET($R$3,0,0,'Données projet'!$E$9+1,1))-AVERAGE(OFFSET($H$3,0,0,'Données projet'!$E$9+1,1))</f>
        <v>147.72913422715322</v>
      </c>
      <c r="T87" s="62">
        <f t="shared" si="88"/>
        <v>361.07991692964799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18.299835908624853</v>
      </c>
      <c r="AA87" s="23">
        <f>EXP(-LN(2)/25)*AA86+(1-EXP(-LN(2)/25))/(LN(2)/25)*Calculateur!V87*Calculateur!X87*VLOOKUP('Données projet'!$B$9,Paramètres!$A$1:$I$89,3,0)*0.475*44/12</f>
        <v>9.833822752351173</v>
      </c>
      <c r="AB87" s="23">
        <f>EXP(-LN(2)/2)*AB86+(1-EXP(-LN(2)/2))/(LN(2)/2)*V87*Y87*VLOOKUP('Données projet'!$B$9,Paramètres!$A$1:$I$89,3,0)*0.475*44/12</f>
        <v>3.2460231182656138E-7</v>
      </c>
      <c r="AC87" s="24">
        <f t="shared" si="57"/>
        <v>28.133658985578336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0</v>
      </c>
      <c r="AJ87" s="14">
        <f>AI87*VLOOKUP('Données projet'!$B$10,Paramètres!$A$1:$I$89,3,0)*VLOOKUP('Données projet'!$B$10,Paramètres!$A$1:$I$89,5,0)</f>
        <v>0</v>
      </c>
      <c r="AK87" s="14" t="e">
        <f t="shared" si="89"/>
        <v>#NUM!</v>
      </c>
      <c r="AL87" s="22" t="e">
        <f t="shared" si="58"/>
        <v>#NUM!</v>
      </c>
      <c r="AM87" s="62" t="e">
        <f t="shared" si="59"/>
        <v>#NUM!</v>
      </c>
      <c r="AN87" s="62">
        <f ca="1">AVERAGE(OFFSET($AM$3,0,0,'Données projet'!$E$10+1,1))-AVERAGE(OFFSET($H$3,0,0,'Données projet'!$E$10+1,1))</f>
        <v>151.58413719376074</v>
      </c>
      <c r="AO87" s="62">
        <f t="shared" si="90"/>
        <v>310.105543138185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33.909471013210869</v>
      </c>
      <c r="AV87" s="23">
        <f>EXP(-LN(2)/25)*AV86+(1-EXP(-LN(2)/25))/(LN(2)/25)*Calculateur!AQ87*Calculateur!AS87*VLOOKUP('Données projet'!$B$10,Paramètres!$A$1:$I$89,3,0)*0.475*44/12</f>
        <v>0</v>
      </c>
      <c r="AW87" s="23">
        <f>EXP(-LN(2)/2)*AW86+(1-EXP(-LN(2)/2))/(LN(2)/2)*AQ87*AT87*VLOOKUP('Données projet'!$B$10,Paramètres!$A$1:$I$89,3,0)*0.475*44/12</f>
        <v>1.98174226277362E-6</v>
      </c>
      <c r="AX87" s="23">
        <f t="shared" si="60"/>
        <v>33.909472994953134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50.829999999999949</v>
      </c>
      <c r="D88" s="12">
        <f t="shared" si="86"/>
        <v>14.827904962144244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10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506.83295058497271</v>
      </c>
      <c r="H88" s="70">
        <f t="shared" si="56"/>
        <v>407.6875178090678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1.1368683772161603E-13</v>
      </c>
      <c r="O88" s="14">
        <f>N88*VLOOKUP('Données projet'!$B$9,Paramètres!$A$1:$I$89,3,0)*VLOOKUP('Données projet'!$B$9,Paramètres!$A$1:$I$89,5,0)</f>
        <v>6.7984728957526396E-14</v>
      </c>
      <c r="P88" s="14">
        <f t="shared" si="87"/>
        <v>1.0682447123141398E-12</v>
      </c>
      <c r="Q88" s="22">
        <f t="shared" si="54"/>
        <v>1.978932943548152E-12</v>
      </c>
      <c r="R88" s="62">
        <f t="shared" si="55"/>
        <v>293.3333333333353</v>
      </c>
      <c r="S88" s="62">
        <f ca="1">AVERAGE(OFFSET($R$3,0,0,'Données projet'!$E$9+1,1))-AVERAGE(OFFSET($H$3,0,0,'Données projet'!$E$9+1,1))</f>
        <v>147.72913422715322</v>
      </c>
      <c r="T88" s="62">
        <f t="shared" si="88"/>
        <v>361.07991692964799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17.940987288254487</v>
      </c>
      <c r="AA88" s="23">
        <f>EXP(-LN(2)/25)*AA87+(1-EXP(-LN(2)/25))/(LN(2)/25)*Calculateur!V88*Calculateur!X88*VLOOKUP('Données projet'!$B$9,Paramètres!$A$1:$I$89,3,0)*0.475*44/12</f>
        <v>9.5649163520498668</v>
      </c>
      <c r="AB88" s="23">
        <f>EXP(-LN(2)/2)*AB87+(1-EXP(-LN(2)/2))/(LN(2)/2)*V88*Y88*VLOOKUP('Données projet'!$B$9,Paramètres!$A$1:$I$89,3,0)*0.475*44/12</f>
        <v>2.2952849588139182E-7</v>
      </c>
      <c r="AC88" s="24">
        <f t="shared" si="57"/>
        <v>27.505903869832849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0</v>
      </c>
      <c r="AJ88" s="14">
        <f>AI88*VLOOKUP('Données projet'!$B$10,Paramètres!$A$1:$I$89,3,0)*VLOOKUP('Données projet'!$B$10,Paramètres!$A$1:$I$89,5,0)</f>
        <v>0</v>
      </c>
      <c r="AK88" s="14" t="e">
        <f t="shared" si="89"/>
        <v>#NUM!</v>
      </c>
      <c r="AL88" s="22" t="e">
        <f t="shared" si="58"/>
        <v>#NUM!</v>
      </c>
      <c r="AM88" s="62" t="e">
        <f t="shared" si="59"/>
        <v>#NUM!</v>
      </c>
      <c r="AN88" s="62">
        <f ca="1">AVERAGE(OFFSET($AM$3,0,0,'Données projet'!$E$10+1,1))-AVERAGE(OFFSET($H$3,0,0,'Données projet'!$E$10+1,1))</f>
        <v>151.58413719376074</v>
      </c>
      <c r="AO88" s="62">
        <f t="shared" si="90"/>
        <v>310.105543138185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33.244526969376871</v>
      </c>
      <c r="AV88" s="23">
        <f>EXP(-LN(2)/25)*AV87+(1-EXP(-LN(2)/25))/(LN(2)/25)*Calculateur!AQ88*Calculateur!AS88*VLOOKUP('Données projet'!$B$10,Paramètres!$A$1:$I$89,3,0)*0.475*44/12</f>
        <v>0</v>
      </c>
      <c r="AW88" s="23">
        <f>EXP(-LN(2)/2)*AW87+(1-EXP(-LN(2)/2))/(LN(2)/2)*AQ88*AT88*VLOOKUP('Données projet'!$B$10,Paramètres!$A$1:$I$89,3,0)*0.475*44/12</f>
        <v>1.4013033925711997E-6</v>
      </c>
      <c r="AX88" s="23">
        <f t="shared" si="60"/>
        <v>33.244528370680264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51.427999999999948</v>
      </c>
      <c r="D89" s="12">
        <f t="shared" si="86"/>
        <v>14.981940313719663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10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512.63813575502866</v>
      </c>
      <c r="H89" s="70">
        <f t="shared" si="56"/>
        <v>408.99731271306166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1.1368683772161603E-13</v>
      </c>
      <c r="O89" s="14">
        <f>N89*VLOOKUP('Données projet'!$B$9,Paramètres!$A$1:$I$89,3,0)*VLOOKUP('Données projet'!$B$9,Paramètres!$A$1:$I$89,5,0)</f>
        <v>6.7984728957526396E-14</v>
      </c>
      <c r="P89" s="14">
        <f t="shared" si="87"/>
        <v>1.0682447123141398E-12</v>
      </c>
      <c r="Q89" s="22">
        <f t="shared" si="54"/>
        <v>1.978932943548152E-12</v>
      </c>
      <c r="R89" s="62">
        <f t="shared" si="55"/>
        <v>293.3333333333353</v>
      </c>
      <c r="S89" s="62">
        <f ca="1">AVERAGE(OFFSET($R$3,0,0,'Données projet'!$E$9+1,1))-AVERAGE(OFFSET($H$3,0,0,'Données projet'!$E$9+1,1))</f>
        <v>147.72913422715322</v>
      </c>
      <c r="T89" s="62">
        <f t="shared" si="88"/>
        <v>361.07991692964799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17.589175470453537</v>
      </c>
      <c r="AA89" s="23">
        <f>EXP(-LN(2)/25)*AA88+(1-EXP(-LN(2)/25))/(LN(2)/25)*Calculateur!V89*Calculateur!X89*VLOOKUP('Données projet'!$B$9,Paramètres!$A$1:$I$89,3,0)*0.475*44/12</f>
        <v>9.3033632114059728</v>
      </c>
      <c r="AB89" s="23">
        <f>EXP(-LN(2)/2)*AB88+(1-EXP(-LN(2)/2))/(LN(2)/2)*V89*Y89*VLOOKUP('Données projet'!$B$9,Paramètres!$A$1:$I$89,3,0)*0.475*44/12</f>
        <v>1.6230115591328072E-7</v>
      </c>
      <c r="AC89" s="24">
        <f t="shared" si="57"/>
        <v>26.892538844160665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0</v>
      </c>
      <c r="AJ89" s="14">
        <f>AI89*VLOOKUP('Données projet'!$B$10,Paramètres!$A$1:$I$89,3,0)*VLOOKUP('Données projet'!$B$10,Paramètres!$A$1:$I$89,5,0)</f>
        <v>0</v>
      </c>
      <c r="AK89" s="14" t="e">
        <f t="shared" si="89"/>
        <v>#NUM!</v>
      </c>
      <c r="AL89" s="22" t="e">
        <f t="shared" si="58"/>
        <v>#NUM!</v>
      </c>
      <c r="AM89" s="62" t="e">
        <f t="shared" si="59"/>
        <v>#NUM!</v>
      </c>
      <c r="AN89" s="62">
        <f ca="1">AVERAGE(OFFSET($AM$3,0,0,'Données projet'!$E$10+1,1))-AVERAGE(OFFSET($H$3,0,0,'Données projet'!$E$10+1,1))</f>
        <v>151.58413719376074</v>
      </c>
      <c r="AO89" s="62">
        <f t="shared" si="90"/>
        <v>310.105543138185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32.592622072666636</v>
      </c>
      <c r="AV89" s="23">
        <f>EXP(-LN(2)/25)*AV88+(1-EXP(-LN(2)/25))/(LN(2)/25)*Calculateur!AQ89*Calculateur!AS89*VLOOKUP('Données projet'!$B$10,Paramètres!$A$1:$I$89,3,0)*0.475*44/12</f>
        <v>0</v>
      </c>
      <c r="AW89" s="23">
        <f>EXP(-LN(2)/2)*AW88+(1-EXP(-LN(2)/2))/(LN(2)/2)*AQ89*AT89*VLOOKUP('Données projet'!$B$10,Paramètres!$A$1:$I$89,3,0)*0.475*44/12</f>
        <v>9.9087113138680999E-7</v>
      </c>
      <c r="AX89" s="23">
        <f t="shared" si="60"/>
        <v>32.592623063537765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52.025999999999947</v>
      </c>
      <c r="D90" s="12">
        <f t="shared" si="86"/>
        <v>15.135767316300113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10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518.44171261705321</v>
      </c>
      <c r="H90" s="70">
        <f t="shared" si="56"/>
        <v>410.30674474255591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1.1368683772161603E-13</v>
      </c>
      <c r="O90" s="14">
        <f>N90*VLOOKUP('Données projet'!$B$9,Paramètres!$A$1:$I$89,3,0)*VLOOKUP('Données projet'!$B$9,Paramètres!$A$1:$I$89,5,0)</f>
        <v>6.7984728957526396E-14</v>
      </c>
      <c r="P90" s="14">
        <f t="shared" si="87"/>
        <v>1.0682447123141398E-12</v>
      </c>
      <c r="Q90" s="22">
        <f t="shared" si="54"/>
        <v>1.978932943548152E-12</v>
      </c>
      <c r="R90" s="62">
        <f t="shared" si="55"/>
        <v>293.3333333333353</v>
      </c>
      <c r="S90" s="62">
        <f ca="1">AVERAGE(OFFSET($R$3,0,0,'Données projet'!$E$9+1,1))-AVERAGE(OFFSET($H$3,0,0,'Données projet'!$E$9+1,1))</f>
        <v>147.72913422715322</v>
      </c>
      <c r="T90" s="62">
        <f t="shared" si="88"/>
        <v>361.07991692964799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17.244262467815645</v>
      </c>
      <c r="AA90" s="23">
        <f>EXP(-LN(2)/25)*AA89+(1-EXP(-LN(2)/25))/(LN(2)/25)*Calculateur!V90*Calculateur!X90*VLOOKUP('Données projet'!$B$9,Paramètres!$A$1:$I$89,3,0)*0.475*44/12</f>
        <v>9.0489622551474689</v>
      </c>
      <c r="AB90" s="23">
        <f>EXP(-LN(2)/2)*AB89+(1-EXP(-LN(2)/2))/(LN(2)/2)*V90*Y90*VLOOKUP('Données projet'!$B$9,Paramètres!$A$1:$I$89,3,0)*0.475*44/12</f>
        <v>1.1476424794069594E-7</v>
      </c>
      <c r="AC90" s="24">
        <f t="shared" si="57"/>
        <v>26.293224837727362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0</v>
      </c>
      <c r="AJ90" s="14">
        <f>AI90*VLOOKUP('Données projet'!$B$10,Paramètres!$A$1:$I$89,3,0)*VLOOKUP('Données projet'!$B$10,Paramètres!$A$1:$I$89,5,0)</f>
        <v>0</v>
      </c>
      <c r="AK90" s="14" t="e">
        <f t="shared" si="89"/>
        <v>#NUM!</v>
      </c>
      <c r="AL90" s="22" t="e">
        <f t="shared" si="58"/>
        <v>#NUM!</v>
      </c>
      <c r="AM90" s="62" t="e">
        <f t="shared" si="59"/>
        <v>#NUM!</v>
      </c>
      <c r="AN90" s="62">
        <f ca="1">AVERAGE(OFFSET($AM$3,0,0,'Données projet'!$E$10+1,1))-AVERAGE(OFFSET($H$3,0,0,'Données projet'!$E$10+1,1))</f>
        <v>151.58413719376074</v>
      </c>
      <c r="AO90" s="62">
        <f t="shared" si="90"/>
        <v>310.105543138185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31.953500633358168</v>
      </c>
      <c r="AV90" s="23">
        <f>EXP(-LN(2)/25)*AV89+(1-EXP(-LN(2)/25))/(LN(2)/25)*Calculateur!AQ90*Calculateur!AS90*VLOOKUP('Données projet'!$B$10,Paramètres!$A$1:$I$89,3,0)*0.475*44/12</f>
        <v>0</v>
      </c>
      <c r="AW90" s="23">
        <f>EXP(-LN(2)/2)*AW89+(1-EXP(-LN(2)/2))/(LN(2)/2)*AQ90*AT90*VLOOKUP('Données projet'!$B$10,Paramètres!$A$1:$I$89,3,0)*0.475*44/12</f>
        <v>7.0065169628559984E-7</v>
      </c>
      <c r="AX90" s="23">
        <f t="shared" si="60"/>
        <v>31.953501334009864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52.623999999999945</v>
      </c>
      <c r="D91" s="12">
        <f t="shared" si="86"/>
        <v>15.289388641788751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10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524.24370179626362</v>
      </c>
      <c r="H91" s="70">
        <f t="shared" si="56"/>
        <v>411.6158185511153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1.1368683772161603E-13</v>
      </c>
      <c r="O91" s="14">
        <f>N91*VLOOKUP('Données projet'!$B$9,Paramètres!$A$1:$I$89,3,0)*VLOOKUP('Données projet'!$B$9,Paramètres!$A$1:$I$89,5,0)</f>
        <v>6.7984728957526396E-14</v>
      </c>
      <c r="P91" s="14">
        <f t="shared" si="87"/>
        <v>1.0682447123141398E-12</v>
      </c>
      <c r="Q91" s="22">
        <f t="shared" si="54"/>
        <v>1.978932943548152E-12</v>
      </c>
      <c r="R91" s="62">
        <f t="shared" si="55"/>
        <v>293.3333333333353</v>
      </c>
      <c r="S91" s="62">
        <f ca="1">AVERAGE(OFFSET($R$3,0,0,'Données projet'!$E$9+1,1))-AVERAGE(OFFSET($H$3,0,0,'Données projet'!$E$9+1,1))</f>
        <v>147.72913422715322</v>
      </c>
      <c r="T91" s="62">
        <f t="shared" si="88"/>
        <v>361.07991692964799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16.906112998783325</v>
      </c>
      <c r="AA91" s="23">
        <f>EXP(-LN(2)/25)*AA90+(1-EXP(-LN(2)/25))/(LN(2)/25)*Calculateur!V91*Calculateur!X91*VLOOKUP('Données projet'!$B$9,Paramètres!$A$1:$I$89,3,0)*0.475*44/12</f>
        <v>8.8015179064162172</v>
      </c>
      <c r="AB91" s="23">
        <f>EXP(-LN(2)/2)*AB90+(1-EXP(-LN(2)/2))/(LN(2)/2)*V91*Y91*VLOOKUP('Données projet'!$B$9,Paramètres!$A$1:$I$89,3,0)*0.475*44/12</f>
        <v>8.1150577956640371E-8</v>
      </c>
      <c r="AC91" s="24">
        <f t="shared" si="57"/>
        <v>25.707630986350122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0</v>
      </c>
      <c r="AJ91" s="14">
        <f>AI91*VLOOKUP('Données projet'!$B$10,Paramètres!$A$1:$I$89,3,0)*VLOOKUP('Données projet'!$B$10,Paramètres!$A$1:$I$89,5,0)</f>
        <v>0</v>
      </c>
      <c r="AK91" s="14" t="e">
        <f t="shared" si="89"/>
        <v>#NUM!</v>
      </c>
      <c r="AL91" s="22" t="e">
        <f t="shared" si="58"/>
        <v>#NUM!</v>
      </c>
      <c r="AM91" s="62" t="e">
        <f t="shared" si="59"/>
        <v>#NUM!</v>
      </c>
      <c r="AN91" s="62">
        <f ca="1">AVERAGE(OFFSET($AM$3,0,0,'Données projet'!$E$10+1,1))-AVERAGE(OFFSET($H$3,0,0,'Données projet'!$E$10+1,1))</f>
        <v>151.58413719376074</v>
      </c>
      <c r="AO91" s="62">
        <f t="shared" si="90"/>
        <v>310.105543138185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31.326911975648951</v>
      </c>
      <c r="AV91" s="23">
        <f>EXP(-LN(2)/25)*AV90+(1-EXP(-LN(2)/25))/(LN(2)/25)*Calculateur!AQ91*Calculateur!AS91*VLOOKUP('Données projet'!$B$10,Paramètres!$A$1:$I$89,3,0)*0.475*44/12</f>
        <v>0</v>
      </c>
      <c r="AW91" s="23">
        <f>EXP(-LN(2)/2)*AW90+(1-EXP(-LN(2)/2))/(LN(2)/2)*AQ91*AT91*VLOOKUP('Données projet'!$B$10,Paramètres!$A$1:$I$89,3,0)*0.475*44/12</f>
        <v>4.9543556569340499E-7</v>
      </c>
      <c r="AX91" s="23">
        <f t="shared" si="60"/>
        <v>31.326912471084515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53.221999999999944</v>
      </c>
      <c r="D92" s="12">
        <f t="shared" si="86"/>
        <v>15.442806897867856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10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530.04412342213755</v>
      </c>
      <c r="H92" s="70">
        <f t="shared" si="56"/>
        <v>412.92453868045305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1.1368683772161603E-13</v>
      </c>
      <c r="O92" s="14">
        <f>N92*VLOOKUP('Données projet'!$B$9,Paramètres!$A$1:$I$89,3,0)*VLOOKUP('Données projet'!$B$9,Paramètres!$A$1:$I$89,5,0)</f>
        <v>6.7984728957526396E-14</v>
      </c>
      <c r="P92" s="14">
        <f t="shared" si="87"/>
        <v>1.0682447123141398E-12</v>
      </c>
      <c r="Q92" s="22">
        <f t="shared" si="54"/>
        <v>1.978932943548152E-12</v>
      </c>
      <c r="R92" s="62">
        <f t="shared" si="55"/>
        <v>293.3333333333353</v>
      </c>
      <c r="S92" s="62">
        <f ca="1">AVERAGE(OFFSET($R$3,0,0,'Données projet'!$E$9+1,1))-AVERAGE(OFFSET($H$3,0,0,'Données projet'!$E$9+1,1))</f>
        <v>147.72913422715322</v>
      </c>
      <c r="T92" s="62">
        <f t="shared" si="88"/>
        <v>361.07991692964799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16.574594434587915</v>
      </c>
      <c r="AA92" s="23">
        <f>EXP(-LN(2)/25)*AA91+(1-EXP(-LN(2)/25))/(LN(2)/25)*Calculateur!V92*Calculateur!X92*VLOOKUP('Données projet'!$B$9,Paramètres!$A$1:$I$89,3,0)*0.475*44/12</f>
        <v>8.5608399364135543</v>
      </c>
      <c r="AB92" s="23">
        <f>EXP(-LN(2)/2)*AB91+(1-EXP(-LN(2)/2))/(LN(2)/2)*V92*Y92*VLOOKUP('Données projet'!$B$9,Paramètres!$A$1:$I$89,3,0)*0.475*44/12</f>
        <v>5.7382123970347974E-8</v>
      </c>
      <c r="AC92" s="24">
        <f t="shared" si="57"/>
        <v>25.135434428383594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0</v>
      </c>
      <c r="AJ92" s="14">
        <f>AI92*VLOOKUP('Données projet'!$B$10,Paramètres!$A$1:$I$89,3,0)*VLOOKUP('Données projet'!$B$10,Paramètres!$A$1:$I$89,5,0)</f>
        <v>0</v>
      </c>
      <c r="AK92" s="14" t="e">
        <f t="shared" si="89"/>
        <v>#NUM!</v>
      </c>
      <c r="AL92" s="22" t="e">
        <f t="shared" si="58"/>
        <v>#NUM!</v>
      </c>
      <c r="AM92" s="62" t="e">
        <f t="shared" si="59"/>
        <v>#NUM!</v>
      </c>
      <c r="AN92" s="62">
        <f ca="1">AVERAGE(OFFSET($AM$3,0,0,'Données projet'!$E$10+1,1))-AVERAGE(OFFSET($H$3,0,0,'Données projet'!$E$10+1,1))</f>
        <v>151.58413719376074</v>
      </c>
      <c r="AO92" s="62">
        <f t="shared" si="90"/>
        <v>310.105543138185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30.712610339336067</v>
      </c>
      <c r="AV92" s="23">
        <f>EXP(-LN(2)/25)*AV91+(1-EXP(-LN(2)/25))/(LN(2)/25)*Calculateur!AQ92*Calculateur!AS92*VLOOKUP('Données projet'!$B$10,Paramètres!$A$1:$I$89,3,0)*0.475*44/12</f>
        <v>0</v>
      </c>
      <c r="AW92" s="23">
        <f>EXP(-LN(2)/2)*AW91+(1-EXP(-LN(2)/2))/(LN(2)/2)*AQ92*AT92*VLOOKUP('Données projet'!$B$10,Paramètres!$A$1:$I$89,3,0)*0.475*44/12</f>
        <v>3.5032584814279992E-7</v>
      </c>
      <c r="AX92" s="23">
        <f t="shared" si="60"/>
        <v>30.712610689661915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53.819999999999943</v>
      </c>
      <c r="D93" s="12">
        <f t="shared" si="86"/>
        <v>15.596024630246252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10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535.84299714576014</v>
      </c>
      <c r="H93" s="70">
        <f t="shared" si="56"/>
        <v>414.23290956434545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1.1368683772161603E-13</v>
      </c>
      <c r="O93" s="14">
        <f>N93*VLOOKUP('Données projet'!$B$9,Paramètres!$A$1:$I$89,3,0)*VLOOKUP('Données projet'!$B$9,Paramètres!$A$1:$I$89,5,0)</f>
        <v>6.7984728957526396E-14</v>
      </c>
      <c r="P93" s="14">
        <f t="shared" si="87"/>
        <v>1.0682447123141398E-12</v>
      </c>
      <c r="Q93" s="22">
        <f t="shared" si="54"/>
        <v>1.978932943548152E-12</v>
      </c>
      <c r="R93" s="62">
        <f t="shared" si="55"/>
        <v>293.3333333333353</v>
      </c>
      <c r="S93" s="62">
        <f ca="1">AVERAGE(OFFSET($R$3,0,0,'Données projet'!$E$9+1,1))-AVERAGE(OFFSET($H$3,0,0,'Données projet'!$E$9+1,1))</f>
        <v>147.72913422715322</v>
      </c>
      <c r="T93" s="62">
        <f t="shared" si="88"/>
        <v>361.07991692964799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16.249576747230019</v>
      </c>
      <c r="AA93" s="23">
        <f>EXP(-LN(2)/25)*AA92+(1-EXP(-LN(2)/25))/(LN(2)/25)*Calculateur!V93*Calculateur!X93*VLOOKUP('Données projet'!$B$9,Paramètres!$A$1:$I$89,3,0)*0.475*44/12</f>
        <v>8.3267433181573196</v>
      </c>
      <c r="AB93" s="23">
        <f>EXP(-LN(2)/2)*AB92+(1-EXP(-LN(2)/2))/(LN(2)/2)*V93*Y93*VLOOKUP('Données projet'!$B$9,Paramètres!$A$1:$I$89,3,0)*0.475*44/12</f>
        <v>4.0575288978320192E-8</v>
      </c>
      <c r="AC93" s="24">
        <f t="shared" si="57"/>
        <v>24.57632010596263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0</v>
      </c>
      <c r="AJ93" s="14">
        <f>AI93*VLOOKUP('Données projet'!$B$10,Paramètres!$A$1:$I$89,3,0)*VLOOKUP('Données projet'!$B$10,Paramètres!$A$1:$I$89,5,0)</f>
        <v>0</v>
      </c>
      <c r="AK93" s="14" t="e">
        <f t="shared" si="89"/>
        <v>#NUM!</v>
      </c>
      <c r="AL93" s="22" t="e">
        <f t="shared" si="58"/>
        <v>#NUM!</v>
      </c>
      <c r="AM93" s="62" t="e">
        <f t="shared" si="59"/>
        <v>#NUM!</v>
      </c>
      <c r="AN93" s="62">
        <f ca="1">AVERAGE(OFFSET($AM$3,0,0,'Données projet'!$E$10+1,1))-AVERAGE(OFFSET($H$3,0,0,'Données projet'!$E$10+1,1))</f>
        <v>151.58413719376074</v>
      </c>
      <c r="AO93" s="62">
        <f t="shared" si="90"/>
        <v>310.105543138185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30.110354783424278</v>
      </c>
      <c r="AV93" s="23">
        <f>EXP(-LN(2)/25)*AV92+(1-EXP(-LN(2)/25))/(LN(2)/25)*Calculateur!AQ93*Calculateur!AS93*VLOOKUP('Données projet'!$B$10,Paramètres!$A$1:$I$89,3,0)*0.475*44/12</f>
        <v>0</v>
      </c>
      <c r="AW93" s="23">
        <f>EXP(-LN(2)/2)*AW92+(1-EXP(-LN(2)/2))/(LN(2)/2)*AQ93*AT93*VLOOKUP('Données projet'!$B$10,Paramètres!$A$1:$I$89,3,0)*0.475*44/12</f>
        <v>2.477177828467025E-7</v>
      </c>
      <c r="AX93" s="23">
        <f t="shared" si="60"/>
        <v>30.11035503114206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54.417999999999942</v>
      </c>
      <c r="D94" s="12">
        <f t="shared" si="86"/>
        <v>15.749044324804029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10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541.64034215638151</v>
      </c>
      <c r="H94" s="70">
        <f t="shared" si="56"/>
        <v>415.54093553236692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1.1368683772161603E-13</v>
      </c>
      <c r="O94" s="14">
        <f>N94*VLOOKUP('Données projet'!$B$9,Paramètres!$A$1:$I$89,3,0)*VLOOKUP('Données projet'!$B$9,Paramètres!$A$1:$I$89,5,0)</f>
        <v>6.7984728957526396E-14</v>
      </c>
      <c r="P94" s="14">
        <f t="shared" si="87"/>
        <v>1.0682447123141398E-12</v>
      </c>
      <c r="Q94" s="22">
        <f t="shared" si="54"/>
        <v>1.978932943548152E-12</v>
      </c>
      <c r="R94" s="62">
        <f t="shared" si="55"/>
        <v>293.3333333333353</v>
      </c>
      <c r="S94" s="62">
        <f ca="1">AVERAGE(OFFSET($R$3,0,0,'Données projet'!$E$9+1,1))-AVERAGE(OFFSET($H$3,0,0,'Données projet'!$E$9+1,1))</f>
        <v>147.72913422715322</v>
      </c>
      <c r="T94" s="62">
        <f t="shared" si="88"/>
        <v>361.07991692964799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15.930932458479999</v>
      </c>
      <c r="AA94" s="23">
        <f>EXP(-LN(2)/25)*AA93+(1-EXP(-LN(2)/25))/(LN(2)/25)*Calculateur!V94*Calculateur!X94*VLOOKUP('Données projet'!$B$9,Paramètres!$A$1:$I$89,3,0)*0.475*44/12</f>
        <v>8.0990480842379071</v>
      </c>
      <c r="AB94" s="23">
        <f>EXP(-LN(2)/2)*AB93+(1-EXP(-LN(2)/2))/(LN(2)/2)*V94*Y94*VLOOKUP('Données projet'!$B$9,Paramètres!$A$1:$I$89,3,0)*0.475*44/12</f>
        <v>2.869106198517399E-8</v>
      </c>
      <c r="AC94" s="24">
        <f t="shared" si="57"/>
        <v>24.02998057140897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>
        <f>AI94*VLOOKUP('Données projet'!$B$10,Paramètres!$A$1:$I$89,3,0)*VLOOKUP('Données projet'!$B$10,Paramètres!$A$1:$I$89,5,0)</f>
        <v>0</v>
      </c>
      <c r="AK94" s="14" t="e">
        <f t="shared" si="89"/>
        <v>#NUM!</v>
      </c>
      <c r="AL94" s="22" t="e">
        <f t="shared" si="58"/>
        <v>#NUM!</v>
      </c>
      <c r="AM94" s="62" t="e">
        <f t="shared" si="59"/>
        <v>#NUM!</v>
      </c>
      <c r="AN94" s="62">
        <f ca="1">AVERAGE(OFFSET($AM$3,0,0,'Données projet'!$E$10+1,1))-AVERAGE(OFFSET($H$3,0,0,'Données projet'!$E$10+1,1))</f>
        <v>151.58413719376074</v>
      </c>
      <c r="AO94" s="62">
        <f t="shared" si="90"/>
        <v>310.105543138185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29.519909091624303</v>
      </c>
      <c r="AV94" s="23">
        <f>EXP(-LN(2)/25)*AV93+(1-EXP(-LN(2)/25))/(LN(2)/25)*Calculateur!AQ94*Calculateur!AS94*VLOOKUP('Données projet'!$B$10,Paramètres!$A$1:$I$89,3,0)*0.475*44/12</f>
        <v>0</v>
      </c>
      <c r="AW94" s="23">
        <f>EXP(-LN(2)/2)*AW93+(1-EXP(-LN(2)/2))/(LN(2)/2)*AQ94*AT94*VLOOKUP('Données projet'!$B$10,Paramètres!$A$1:$I$89,3,0)*0.475*44/12</f>
        <v>1.7516292407139996E-7</v>
      </c>
      <c r="AX94" s="23">
        <f t="shared" si="60"/>
        <v>29.519909266787227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55.015999999999941</v>
      </c>
      <c r="D95" s="12">
        <f t="shared" si="86"/>
        <v>15.901868409640313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10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547.43617719722295</v>
      </c>
      <c r="H95" s="70">
        <f t="shared" si="56"/>
        <v>416.84862081345676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1.1368683772161603E-13</v>
      </c>
      <c r="O95" s="14">
        <f>N95*VLOOKUP('Données projet'!$B$9,Paramètres!$A$1:$I$89,3,0)*VLOOKUP('Données projet'!$B$9,Paramètres!$A$1:$I$89,5,0)</f>
        <v>6.7984728957526396E-14</v>
      </c>
      <c r="P95" s="14">
        <f t="shared" si="87"/>
        <v>1.0682447123141398E-12</v>
      </c>
      <c r="Q95" s="22">
        <f t="shared" si="54"/>
        <v>1.978932943548152E-12</v>
      </c>
      <c r="R95" s="62">
        <f t="shared" si="55"/>
        <v>293.3333333333353</v>
      </c>
      <c r="S95" s="62">
        <f ca="1">AVERAGE(OFFSET($R$3,0,0,'Données projet'!$E$9+1,1))-AVERAGE(OFFSET($H$3,0,0,'Données projet'!$E$9+1,1))</f>
        <v>147.72913422715322</v>
      </c>
      <c r="T95" s="62">
        <f t="shared" si="88"/>
        <v>361.07991692964799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15.618536589878541</v>
      </c>
      <c r="AA95" s="23">
        <f>EXP(-LN(2)/25)*AA94+(1-EXP(-LN(2)/25))/(LN(2)/25)*Calculateur!V95*Calculateur!X95*VLOOKUP('Données projet'!$B$9,Paramètres!$A$1:$I$89,3,0)*0.475*44/12</f>
        <v>7.8775791884639936</v>
      </c>
      <c r="AB95" s="23">
        <f>EXP(-LN(2)/2)*AB94+(1-EXP(-LN(2)/2))/(LN(2)/2)*V95*Y95*VLOOKUP('Données projet'!$B$9,Paramètres!$A$1:$I$89,3,0)*0.475*44/12</f>
        <v>2.0287644489160099E-8</v>
      </c>
      <c r="AC95" s="24">
        <f t="shared" si="57"/>
        <v>23.496115798630179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>
        <f>AI95*VLOOKUP('Données projet'!$B$10,Paramètres!$A$1:$I$89,3,0)*VLOOKUP('Données projet'!$B$10,Paramètres!$A$1:$I$89,5,0)</f>
        <v>0</v>
      </c>
      <c r="AK95" s="14" t="e">
        <f t="shared" si="89"/>
        <v>#NUM!</v>
      </c>
      <c r="AL95" s="22" t="e">
        <f t="shared" si="58"/>
        <v>#NUM!</v>
      </c>
      <c r="AM95" s="62" t="e">
        <f t="shared" si="59"/>
        <v>#NUM!</v>
      </c>
      <c r="AN95" s="62">
        <f ca="1">AVERAGE(OFFSET($AM$3,0,0,'Données projet'!$E$10+1,1))-AVERAGE(OFFSET($H$3,0,0,'Données projet'!$E$10+1,1))</f>
        <v>151.58413719376074</v>
      </c>
      <c r="AO95" s="62">
        <f t="shared" si="90"/>
        <v>310.105543138185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28.941041679704213</v>
      </c>
      <c r="AV95" s="23">
        <f>EXP(-LN(2)/25)*AV94+(1-EXP(-LN(2)/25))/(LN(2)/25)*Calculateur!AQ95*Calculateur!AS95*VLOOKUP('Données projet'!$B$10,Paramètres!$A$1:$I$89,3,0)*0.475*44/12</f>
        <v>0</v>
      </c>
      <c r="AW95" s="23">
        <f>EXP(-LN(2)/2)*AW94+(1-EXP(-LN(2)/2))/(LN(2)/2)*AQ95*AT95*VLOOKUP('Données projet'!$B$10,Paramètres!$A$1:$I$89,3,0)*0.475*44/12</f>
        <v>1.2385889142335125E-7</v>
      </c>
      <c r="AX95" s="23">
        <f t="shared" si="60"/>
        <v>28.941041803563106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55.61399999999994</v>
      </c>
      <c r="D96" s="12">
        <f t="shared" si="86"/>
        <v>16.054499257029473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10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553.23052058057795</v>
      </c>
      <c r="H96" s="70">
        <f t="shared" si="56"/>
        <v>418.15596953932624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1.1368683772161603E-13</v>
      </c>
      <c r="O96" s="14">
        <f>N96*VLOOKUP('Données projet'!$B$9,Paramètres!$A$1:$I$89,3,0)*VLOOKUP('Données projet'!$B$9,Paramètres!$A$1:$I$89,5,0)</f>
        <v>6.7984728957526396E-14</v>
      </c>
      <c r="P96" s="14">
        <f t="shared" si="87"/>
        <v>1.0682447123141398E-12</v>
      </c>
      <c r="Q96" s="22">
        <f t="shared" si="54"/>
        <v>1.978932943548152E-12</v>
      </c>
      <c r="R96" s="62">
        <f t="shared" si="55"/>
        <v>293.3333333333353</v>
      </c>
      <c r="S96" s="62">
        <f ca="1">AVERAGE(OFFSET($R$3,0,0,'Données projet'!$E$9+1,1))-AVERAGE(OFFSET($H$3,0,0,'Données projet'!$E$9+1,1))</f>
        <v>147.72913422715322</v>
      </c>
      <c r="T96" s="62">
        <f t="shared" si="88"/>
        <v>361.07991692964799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15.312266613717693</v>
      </c>
      <c r="AA96" s="23">
        <f>EXP(-LN(2)/25)*AA95+(1-EXP(-LN(2)/25))/(LN(2)/25)*Calculateur!V96*Calculateur!X96*VLOOKUP('Données projet'!$B$9,Paramètres!$A$1:$I$89,3,0)*0.475*44/12</f>
        <v>7.6621663712915611</v>
      </c>
      <c r="AB96" s="23">
        <f>EXP(-LN(2)/2)*AB95+(1-EXP(-LN(2)/2))/(LN(2)/2)*V96*Y96*VLOOKUP('Données projet'!$B$9,Paramètres!$A$1:$I$89,3,0)*0.475*44/12</f>
        <v>1.4345530992586999E-8</v>
      </c>
      <c r="AC96" s="24">
        <f t="shared" si="57"/>
        <v>22.974432999354786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>
        <f>AI96*VLOOKUP('Données projet'!$B$10,Paramètres!$A$1:$I$89,3,0)*VLOOKUP('Données projet'!$B$10,Paramètres!$A$1:$I$89,5,0)</f>
        <v>0</v>
      </c>
      <c r="AK96" s="14" t="e">
        <f t="shared" si="89"/>
        <v>#NUM!</v>
      </c>
      <c r="AL96" s="22" t="e">
        <f t="shared" si="58"/>
        <v>#NUM!</v>
      </c>
      <c r="AM96" s="62" t="e">
        <f t="shared" si="59"/>
        <v>#NUM!</v>
      </c>
      <c r="AN96" s="62">
        <f ca="1">AVERAGE(OFFSET($AM$3,0,0,'Données projet'!$E$10+1,1))-AVERAGE(OFFSET($H$3,0,0,'Données projet'!$E$10+1,1))</f>
        <v>151.58413719376074</v>
      </c>
      <c r="AO96" s="62">
        <f t="shared" si="90"/>
        <v>310.105543138185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28.373525504657618</v>
      </c>
      <c r="AV96" s="23">
        <f>EXP(-LN(2)/25)*AV95+(1-EXP(-LN(2)/25))/(LN(2)/25)*Calculateur!AQ96*Calculateur!AS96*VLOOKUP('Données projet'!$B$10,Paramètres!$A$1:$I$89,3,0)*0.475*44/12</f>
        <v>0</v>
      </c>
      <c r="AW96" s="23">
        <f>EXP(-LN(2)/2)*AW95+(1-EXP(-LN(2)/2))/(LN(2)/2)*AQ96*AT96*VLOOKUP('Données projet'!$B$10,Paramètres!$A$1:$I$89,3,0)*0.475*44/12</f>
        <v>8.7581462035699981E-8</v>
      </c>
      <c r="AX96" s="23">
        <f t="shared" si="60"/>
        <v>28.37352559223908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56.211999999999939</v>
      </c>
      <c r="D97" s="12">
        <f t="shared" si="86"/>
        <v>16.206939185290693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10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559.0233902022436</v>
      </c>
      <c r="H97" s="70">
        <f t="shared" si="56"/>
        <v>419.46298574771453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1.1368683772161603E-13</v>
      </c>
      <c r="O97" s="14">
        <f>N97*VLOOKUP('Données projet'!$B$9,Paramètres!$A$1:$I$89,3,0)*VLOOKUP('Données projet'!$B$9,Paramètres!$A$1:$I$89,5,0)</f>
        <v>6.7984728957526396E-14</v>
      </c>
      <c r="P97" s="14">
        <f t="shared" si="87"/>
        <v>1.0682447123141398E-12</v>
      </c>
      <c r="Q97" s="22">
        <f t="shared" si="54"/>
        <v>1.978932943548152E-12</v>
      </c>
      <c r="R97" s="62">
        <f t="shared" si="55"/>
        <v>293.3333333333353</v>
      </c>
      <c r="S97" s="62">
        <f ca="1">AVERAGE(OFFSET($R$3,0,0,'Données projet'!$E$9+1,1))-AVERAGE(OFFSET($H$3,0,0,'Données projet'!$E$9+1,1))</f>
        <v>147.72913422715322</v>
      </c>
      <c r="T97" s="62">
        <f t="shared" si="88"/>
        <v>361.07991692964799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15.012002404983118</v>
      </c>
      <c r="AA97" s="23">
        <f>EXP(-LN(2)/25)*AA96+(1-EXP(-LN(2)/25))/(LN(2)/25)*Calculateur!V97*Calculateur!X97*VLOOKUP('Données projet'!$B$9,Paramètres!$A$1:$I$89,3,0)*0.475*44/12</f>
        <v>7.4526440289327756</v>
      </c>
      <c r="AB97" s="23">
        <f>EXP(-LN(2)/2)*AB96+(1-EXP(-LN(2)/2))/(LN(2)/2)*V97*Y97*VLOOKUP('Données projet'!$B$9,Paramètres!$A$1:$I$89,3,0)*0.475*44/12</f>
        <v>1.0143822244580051E-8</v>
      </c>
      <c r="AC97" s="24">
        <f t="shared" si="57"/>
        <v>22.464646444059717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>
        <f>AI97*VLOOKUP('Données projet'!$B$10,Paramètres!$A$1:$I$89,3,0)*VLOOKUP('Données projet'!$B$10,Paramètres!$A$1:$I$89,5,0)</f>
        <v>0</v>
      </c>
      <c r="AK97" s="14" t="e">
        <f t="shared" si="89"/>
        <v>#NUM!</v>
      </c>
      <c r="AL97" s="22" t="e">
        <f t="shared" si="58"/>
        <v>#NUM!</v>
      </c>
      <c r="AM97" s="62" t="e">
        <f t="shared" si="59"/>
        <v>#NUM!</v>
      </c>
      <c r="AN97" s="62">
        <f ca="1">AVERAGE(OFFSET($AM$3,0,0,'Données projet'!$E$10+1,1))-AVERAGE(OFFSET($H$3,0,0,'Données projet'!$E$10+1,1))</f>
        <v>151.58413719376074</v>
      </c>
      <c r="AO97" s="62">
        <f t="shared" si="90"/>
        <v>310.105543138185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27.817137975653001</v>
      </c>
      <c r="AV97" s="23">
        <f>EXP(-LN(2)/25)*AV96+(1-EXP(-LN(2)/25))/(LN(2)/25)*Calculateur!AQ97*Calculateur!AS97*VLOOKUP('Données projet'!$B$10,Paramètres!$A$1:$I$89,3,0)*0.475*44/12</f>
        <v>0</v>
      </c>
      <c r="AW97" s="23">
        <f>EXP(-LN(2)/2)*AW96+(1-EXP(-LN(2)/2))/(LN(2)/2)*AQ97*AT97*VLOOKUP('Données projet'!$B$10,Paramètres!$A$1:$I$89,3,0)*0.475*44/12</f>
        <v>6.1929445711675624E-8</v>
      </c>
      <c r="AX97" s="23">
        <f t="shared" si="60"/>
        <v>27.817138037582446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56.809999999999938</v>
      </c>
      <c r="D98" s="12">
        <f t="shared" si="86"/>
        <v>16.359190460575874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10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564.8148035553221</v>
      </c>
      <c r="H98" s="70">
        <f t="shared" si="56"/>
        <v>420.76967338550281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1.1368683772161603E-13</v>
      </c>
      <c r="O98" s="14">
        <f>N98*VLOOKUP('Données projet'!$B$9,Paramètres!$A$1:$I$89,3,0)*VLOOKUP('Données projet'!$B$9,Paramètres!$A$1:$I$89,5,0)</f>
        <v>6.7984728957526396E-14</v>
      </c>
      <c r="P98" s="14">
        <f t="shared" si="87"/>
        <v>1.0682447123141398E-12</v>
      </c>
      <c r="Q98" s="22">
        <f t="shared" si="54"/>
        <v>1.978932943548152E-12</v>
      </c>
      <c r="R98" s="62">
        <f t="shared" si="55"/>
        <v>293.3333333333353</v>
      </c>
      <c r="S98" s="62">
        <f ca="1">AVERAGE(OFFSET($R$3,0,0,'Données projet'!$E$9+1,1))-AVERAGE(OFFSET($H$3,0,0,'Données projet'!$E$9+1,1))</f>
        <v>147.72913422715322</v>
      </c>
      <c r="T98" s="62">
        <f t="shared" si="88"/>
        <v>361.07991692964799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14.717626194238745</v>
      </c>
      <c r="AA98" s="23">
        <f>EXP(-LN(2)/25)*AA97+(1-EXP(-LN(2)/25))/(LN(2)/25)*Calculateur!V98*Calculateur!X98*VLOOKUP('Données projet'!$B$9,Paramètres!$A$1:$I$89,3,0)*0.475*44/12</f>
        <v>7.2488510860440929</v>
      </c>
      <c r="AB98" s="23">
        <f>EXP(-LN(2)/2)*AB97+(1-EXP(-LN(2)/2))/(LN(2)/2)*V98*Y98*VLOOKUP('Données projet'!$B$9,Paramètres!$A$1:$I$89,3,0)*0.475*44/12</f>
        <v>7.1727654962935001E-9</v>
      </c>
      <c r="AC98" s="24">
        <f t="shared" si="57"/>
        <v>21.966477287455604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>
        <f>AI98*VLOOKUP('Données projet'!$B$10,Paramètres!$A$1:$I$89,3,0)*VLOOKUP('Données projet'!$B$10,Paramètres!$A$1:$I$89,5,0)</f>
        <v>0</v>
      </c>
      <c r="AK98" s="14" t="e">
        <f t="shared" si="89"/>
        <v>#NUM!</v>
      </c>
      <c r="AL98" s="22" t="e">
        <f t="shared" si="58"/>
        <v>#NUM!</v>
      </c>
      <c r="AM98" s="62" t="e">
        <f t="shared" si="59"/>
        <v>#NUM!</v>
      </c>
      <c r="AN98" s="62">
        <f ca="1">AVERAGE(OFFSET($AM$3,0,0,'Données projet'!$E$10+1,1))-AVERAGE(OFFSET($H$3,0,0,'Données projet'!$E$10+1,1))</f>
        <v>151.58413719376074</v>
      </c>
      <c r="AO98" s="62">
        <f t="shared" si="90"/>
        <v>310.105543138185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27.271660866729281</v>
      </c>
      <c r="AV98" s="23">
        <f>EXP(-LN(2)/25)*AV97+(1-EXP(-LN(2)/25))/(LN(2)/25)*Calculateur!AQ98*Calculateur!AS98*VLOOKUP('Données projet'!$B$10,Paramètres!$A$1:$I$89,3,0)*0.475*44/12</f>
        <v>0</v>
      </c>
      <c r="AW98" s="23">
        <f>EXP(-LN(2)/2)*AW97+(1-EXP(-LN(2)/2))/(LN(2)/2)*AQ98*AT98*VLOOKUP('Données projet'!$B$10,Paramètres!$A$1:$I$89,3,0)*0.475*44/12</f>
        <v>4.379073101784999E-8</v>
      </c>
      <c r="AX98" s="23">
        <f t="shared" si="60"/>
        <v>27.271660910520012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57.407999999999937</v>
      </c>
      <c r="D99" s="12">
        <f t="shared" si="86"/>
        <v>16.51125529857994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10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570.60477774342371</v>
      </c>
      <c r="H99" s="70">
        <f t="shared" si="56"/>
        <v>422.07603631169331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1.1368683772161603E-13</v>
      </c>
      <c r="O99" s="14">
        <f>N99*VLOOKUP('Données projet'!$B$9,Paramètres!$A$1:$I$89,3,0)*VLOOKUP('Données projet'!$B$9,Paramètres!$A$1:$I$89,5,0)</f>
        <v>6.7984728957526396E-14</v>
      </c>
      <c r="P99" s="14">
        <f t="shared" si="87"/>
        <v>1.0682447123141398E-12</v>
      </c>
      <c r="Q99" s="22">
        <f t="shared" ref="Q99:Q130" si="107">(O99+P99)*0.475*44/12</f>
        <v>1.978932943548152E-12</v>
      </c>
      <c r="R99" s="62">
        <f t="shared" si="55"/>
        <v>293.3333333333353</v>
      </c>
      <c r="S99" s="62">
        <f ca="1">AVERAGE(OFFSET($R$3,0,0,'Données projet'!$E$9+1,1))-AVERAGE(OFFSET($H$3,0,0,'Données projet'!$E$9+1,1))</f>
        <v>147.72913422715322</v>
      </c>
      <c r="T99" s="62">
        <f t="shared" si="88"/>
        <v>361.07991692964799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14.429022521435311</v>
      </c>
      <c r="AA99" s="23">
        <f>EXP(-LN(2)/25)*AA98+(1-EXP(-LN(2)/25))/(LN(2)/25)*Calculateur!V99*Calculateur!X99*VLOOKUP('Données projet'!$B$9,Paramètres!$A$1:$I$89,3,0)*0.475*44/12</f>
        <v>7.0506308718957058</v>
      </c>
      <c r="AB99" s="23">
        <f>EXP(-LN(2)/2)*AB98+(1-EXP(-LN(2)/2))/(LN(2)/2)*V99*Y99*VLOOKUP('Données projet'!$B$9,Paramètres!$A$1:$I$89,3,0)*0.475*44/12</f>
        <v>5.0719111222900265E-9</v>
      </c>
      <c r="AC99" s="24">
        <f t="shared" si="57"/>
        <v>21.479653398402927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>
        <f>AI99*VLOOKUP('Données projet'!$B$10,Paramètres!$A$1:$I$89,3,0)*VLOOKUP('Données projet'!$B$10,Paramètres!$A$1:$I$89,5,0)</f>
        <v>0</v>
      </c>
      <c r="AK99" s="14" t="e">
        <f t="shared" si="89"/>
        <v>#NUM!</v>
      </c>
      <c r="AL99" s="22" t="e">
        <f t="shared" si="58"/>
        <v>#NUM!</v>
      </c>
      <c r="AM99" s="62" t="e">
        <f t="shared" si="59"/>
        <v>#NUM!</v>
      </c>
      <c r="AN99" s="62">
        <f ca="1">AVERAGE(OFFSET($AM$3,0,0,'Données projet'!$E$10+1,1))-AVERAGE(OFFSET($H$3,0,0,'Données projet'!$E$10+1,1))</f>
        <v>151.58413719376074</v>
      </c>
      <c r="AO99" s="62">
        <f t="shared" si="90"/>
        <v>310.105543138185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26.736880231203372</v>
      </c>
      <c r="AV99" s="23">
        <f>EXP(-LN(2)/25)*AV98+(1-EXP(-LN(2)/25))/(LN(2)/25)*Calculateur!AQ99*Calculateur!AS99*VLOOKUP('Données projet'!$B$10,Paramètres!$A$1:$I$89,3,0)*0.475*44/12</f>
        <v>0</v>
      </c>
      <c r="AW99" s="23">
        <f>EXP(-LN(2)/2)*AW98+(1-EXP(-LN(2)/2))/(LN(2)/2)*AQ99*AT99*VLOOKUP('Données projet'!$B$10,Paramètres!$A$1:$I$89,3,0)*0.475*44/12</f>
        <v>3.0964722855837812E-8</v>
      </c>
      <c r="AX99" s="23">
        <f t="shared" si="60"/>
        <v>26.736880262168096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58.005999999999936</v>
      </c>
      <c r="D100" s="12">
        <f t="shared" si="86"/>
        <v>16.663135866177953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10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576.3933294933031</v>
      </c>
      <c r="H100" s="70">
        <f t="shared" si="56"/>
        <v>423.38207830025976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1.1368683772161603E-13</v>
      </c>
      <c r="O100" s="14">
        <f>N100*VLOOKUP('Données projet'!$B$9,Paramètres!$A$1:$I$89,3,0)*VLOOKUP('Données projet'!$B$9,Paramètres!$A$1:$I$89,5,0)</f>
        <v>6.7984728957526396E-14</v>
      </c>
      <c r="P100" s="14">
        <f t="shared" si="87"/>
        <v>1.0682447123141398E-12</v>
      </c>
      <c r="Q100" s="22">
        <f t="shared" si="107"/>
        <v>1.978932943548152E-12</v>
      </c>
      <c r="R100" s="62">
        <f t="shared" si="55"/>
        <v>293.3333333333353</v>
      </c>
      <c r="S100" s="62">
        <f ca="1">AVERAGE(OFFSET($R$3,0,0,'Données projet'!$E$9+1,1))-AVERAGE(OFFSET($H$3,0,0,'Données projet'!$E$9+1,1))</f>
        <v>147.72913422715322</v>
      </c>
      <c r="T100" s="62">
        <f t="shared" si="88"/>
        <v>361.07991692964799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14.146078190624692</v>
      </c>
      <c r="AA100" s="23">
        <f>EXP(-LN(2)/25)*AA99+(1-EXP(-LN(2)/25))/(LN(2)/25)*Calculateur!V100*Calculateur!X100*VLOOKUP('Données projet'!$B$9,Paramètres!$A$1:$I$89,3,0)*0.475*44/12</f>
        <v>6.8578309999271543</v>
      </c>
      <c r="AB100" s="23">
        <f>EXP(-LN(2)/2)*AB99+(1-EXP(-LN(2)/2))/(LN(2)/2)*V100*Y100*VLOOKUP('Données projet'!$B$9,Paramètres!$A$1:$I$89,3,0)*0.475*44/12</f>
        <v>3.5863827481467509E-9</v>
      </c>
      <c r="AC100" s="24">
        <f t="shared" si="57"/>
        <v>21.003909194138227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>
        <f>AI100*VLOOKUP('Données projet'!$B$10,Paramètres!$A$1:$I$89,3,0)*VLOOKUP('Données projet'!$B$10,Paramètres!$A$1:$I$89,5,0)</f>
        <v>0</v>
      </c>
      <c r="AK100" s="14" t="e">
        <f t="shared" si="89"/>
        <v>#NUM!</v>
      </c>
      <c r="AL100" s="22" t="e">
        <f t="shared" si="58"/>
        <v>#NUM!</v>
      </c>
      <c r="AM100" s="62" t="e">
        <f t="shared" si="59"/>
        <v>#NUM!</v>
      </c>
      <c r="AN100" s="62">
        <f ca="1">AVERAGE(OFFSET($AM$3,0,0,'Données projet'!$E$10+1,1))-AVERAGE(OFFSET($H$3,0,0,'Données projet'!$E$10+1,1))</f>
        <v>151.58413719376074</v>
      </c>
      <c r="AO100" s="62">
        <f t="shared" si="90"/>
        <v>310.105543138185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26.212586317756145</v>
      </c>
      <c r="AV100" s="23">
        <f>EXP(-LN(2)/25)*AV99+(1-EXP(-LN(2)/25))/(LN(2)/25)*Calculateur!AQ100*Calculateur!AS100*VLOOKUP('Données projet'!$B$10,Paramètres!$A$1:$I$89,3,0)*0.475*44/12</f>
        <v>0</v>
      </c>
      <c r="AW100" s="23">
        <f>EXP(-LN(2)/2)*AW99+(1-EXP(-LN(2)/2))/(LN(2)/2)*AQ100*AT100*VLOOKUP('Données projet'!$B$10,Paramètres!$A$1:$I$89,3,0)*0.475*44/12</f>
        <v>2.1895365508924995E-8</v>
      </c>
      <c r="AX100" s="23">
        <f t="shared" si="60"/>
        <v>26.212586339651509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58.603999999999935</v>
      </c>
      <c r="D101" s="12">
        <f t="shared" si="86"/>
        <v>16.81483428299277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10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582.18047516696117</v>
      </c>
      <c r="H101" s="70">
        <f t="shared" si="56"/>
        <v>424.68780304287895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1.1368683772161603E-13</v>
      </c>
      <c r="O101" s="14">
        <f>N101*VLOOKUP('Données projet'!$B$9,Paramètres!$A$1:$I$89,3,0)*VLOOKUP('Données projet'!$B$9,Paramètres!$A$1:$I$89,5,0)</f>
        <v>6.7984728957526396E-14</v>
      </c>
      <c r="P101" s="14">
        <f t="shared" si="87"/>
        <v>1.0682447123141398E-12</v>
      </c>
      <c r="Q101" s="22">
        <f t="shared" si="107"/>
        <v>1.978932943548152E-12</v>
      </c>
      <c r="R101" s="62">
        <f t="shared" si="55"/>
        <v>293.3333333333353</v>
      </c>
      <c r="S101" s="62">
        <f ca="1">AVERAGE(OFFSET($R$3,0,0,'Données projet'!$E$9+1,1))-AVERAGE(OFFSET($H$3,0,0,'Données projet'!$E$9+1,1))</f>
        <v>147.72913422715322</v>
      </c>
      <c r="T101" s="62">
        <f t="shared" si="88"/>
        <v>361.07991692964799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13.868682225562269</v>
      </c>
      <c r="AA101" s="23">
        <f>EXP(-LN(2)/25)*AA100+(1-EXP(-LN(2)/25))/(LN(2)/25)*Calculateur!V101*Calculateur!X101*VLOOKUP('Données projet'!$B$9,Paramètres!$A$1:$I$89,3,0)*0.475*44/12</f>
        <v>6.6703032505964881</v>
      </c>
      <c r="AB101" s="23">
        <f>EXP(-LN(2)/2)*AB100+(1-EXP(-LN(2)/2))/(LN(2)/2)*V101*Y101*VLOOKUP('Données projet'!$B$9,Paramètres!$A$1:$I$89,3,0)*0.475*44/12</f>
        <v>2.5359555611450137E-9</v>
      </c>
      <c r="AC101" s="24">
        <f t="shared" si="57"/>
        <v>20.538985478694713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>
        <f>AI101*VLOOKUP('Données projet'!$B$10,Paramètres!$A$1:$I$89,3,0)*VLOOKUP('Données projet'!$B$10,Paramètres!$A$1:$I$89,5,0)</f>
        <v>0</v>
      </c>
      <c r="AK101" s="14" t="e">
        <f t="shared" si="89"/>
        <v>#NUM!</v>
      </c>
      <c r="AL101" s="22" t="e">
        <f t="shared" si="58"/>
        <v>#NUM!</v>
      </c>
      <c r="AM101" s="62" t="e">
        <f t="shared" si="59"/>
        <v>#NUM!</v>
      </c>
      <c r="AN101" s="62">
        <f ca="1">AVERAGE(OFFSET($AM$3,0,0,'Données projet'!$E$10+1,1))-AVERAGE(OFFSET($H$3,0,0,'Données projet'!$E$10+1,1))</f>
        <v>151.58413719376074</v>
      </c>
      <c r="AO101" s="62">
        <f t="shared" si="90"/>
        <v>310.105543138185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25.698573488163905</v>
      </c>
      <c r="AV101" s="23">
        <f>EXP(-LN(2)/25)*AV100+(1-EXP(-LN(2)/25))/(LN(2)/25)*Calculateur!AQ101*Calculateur!AS101*VLOOKUP('Données projet'!$B$10,Paramètres!$A$1:$I$89,3,0)*0.475*44/12</f>
        <v>0</v>
      </c>
      <c r="AW101" s="23">
        <f>EXP(-LN(2)/2)*AW100+(1-EXP(-LN(2)/2))/(LN(2)/2)*AQ101*AT101*VLOOKUP('Données projet'!$B$10,Paramètres!$A$1:$I$89,3,0)*0.475*44/12</f>
        <v>1.5482361427918906E-8</v>
      </c>
      <c r="AX101" s="23">
        <f t="shared" si="60"/>
        <v>25.698573503646266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59.201999999999934</v>
      </c>
      <c r="D102" s="12">
        <f t="shared" si="86"/>
        <v>16.96635262289686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10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587.96623077323841</v>
      </c>
      <c r="H102" s="70">
        <f t="shared" si="56"/>
        <v>425.9932141515452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1.1368683772161603E-13</v>
      </c>
      <c r="O102" s="14">
        <f>N102*VLOOKUP('Données projet'!$B$9,Paramètres!$A$1:$I$89,3,0)*VLOOKUP('Données projet'!$B$9,Paramètres!$A$1:$I$89,5,0)</f>
        <v>6.7984728957526396E-14</v>
      </c>
      <c r="P102" s="14">
        <f t="shared" si="87"/>
        <v>1.0682447123141398E-12</v>
      </c>
      <c r="Q102" s="22">
        <f t="shared" si="107"/>
        <v>1.978932943548152E-12</v>
      </c>
      <c r="R102" s="62">
        <f t="shared" si="55"/>
        <v>293.3333333333353</v>
      </c>
      <c r="S102" s="62">
        <f ca="1">AVERAGE(OFFSET($R$3,0,0,'Données projet'!$E$9+1,1))-AVERAGE(OFFSET($H$3,0,0,'Données projet'!$E$9+1,1))</f>
        <v>147.72913422715322</v>
      </c>
      <c r="T102" s="62">
        <f t="shared" si="88"/>
        <v>361.07991692964799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13.596725826179888</v>
      </c>
      <c r="AA102" s="23">
        <f>EXP(-LN(2)/25)*AA101+(1-EXP(-LN(2)/25))/(LN(2)/25)*Calculateur!V102*Calculateur!X102*VLOOKUP('Données projet'!$B$9,Paramètres!$A$1:$I$89,3,0)*0.475*44/12</f>
        <v>6.4879034574329246</v>
      </c>
      <c r="AB102" s="23">
        <f>EXP(-LN(2)/2)*AB101+(1-EXP(-LN(2)/2))/(LN(2)/2)*V102*Y102*VLOOKUP('Données projet'!$B$9,Paramètres!$A$1:$I$89,3,0)*0.475*44/12</f>
        <v>1.7931913740733756E-9</v>
      </c>
      <c r="AC102" s="24">
        <f t="shared" si="57"/>
        <v>20.084629285406006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>
        <f>AI102*VLOOKUP('Données projet'!$B$10,Paramètres!$A$1:$I$89,3,0)*VLOOKUP('Données projet'!$B$10,Paramètres!$A$1:$I$89,5,0)</f>
        <v>0</v>
      </c>
      <c r="AK102" s="14" t="e">
        <f t="shared" si="89"/>
        <v>#NUM!</v>
      </c>
      <c r="AL102" s="22" t="e">
        <f t="shared" si="58"/>
        <v>#NUM!</v>
      </c>
      <c r="AM102" s="62" t="e">
        <f t="shared" si="59"/>
        <v>#NUM!</v>
      </c>
      <c r="AN102" s="62">
        <f ca="1">AVERAGE(OFFSET($AM$3,0,0,'Données projet'!$E$10+1,1))-AVERAGE(OFFSET($H$3,0,0,'Données projet'!$E$10+1,1))</f>
        <v>151.58413719376074</v>
      </c>
      <c r="AO102" s="62">
        <f t="shared" si="90"/>
        <v>310.105543138185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25.194640136643102</v>
      </c>
      <c r="AV102" s="23">
        <f>EXP(-LN(2)/25)*AV101+(1-EXP(-LN(2)/25))/(LN(2)/25)*Calculateur!AQ102*Calculateur!AS102*VLOOKUP('Données projet'!$B$10,Paramètres!$A$1:$I$89,3,0)*0.475*44/12</f>
        <v>0</v>
      </c>
      <c r="AW102" s="23">
        <f>EXP(-LN(2)/2)*AW101+(1-EXP(-LN(2)/2))/(LN(2)/2)*AQ102*AT102*VLOOKUP('Données projet'!$B$10,Paramètres!$A$1:$I$89,3,0)*0.475*44/12</f>
        <v>1.0947682754462498E-8</v>
      </c>
      <c r="AX102" s="23">
        <f t="shared" si="60"/>
        <v>25.194640147590786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59.799999999999933</v>
      </c>
      <c r="D103" s="12">
        <f t="shared" si="86"/>
        <v>17.117692915451709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10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593.75061197892501</v>
      </c>
      <c r="H103" s="70">
        <f t="shared" si="56"/>
        <v>427.29831516107822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1.1368683772161603E-13</v>
      </c>
      <c r="O103" s="14">
        <f>N103*VLOOKUP('Données projet'!$B$9,Paramètres!$A$1:$I$89,3,0)*VLOOKUP('Données projet'!$B$9,Paramètres!$A$1:$I$89,5,0)</f>
        <v>6.7984728957526396E-14</v>
      </c>
      <c r="P103" s="14">
        <f t="shared" si="87"/>
        <v>1.0682447123141398E-12</v>
      </c>
      <c r="Q103" s="22">
        <f t="shared" si="107"/>
        <v>1.978932943548152E-12</v>
      </c>
      <c r="R103" s="62">
        <f t="shared" si="55"/>
        <v>293.3333333333353</v>
      </c>
      <c r="S103" s="62">
        <f ca="1">AVERAGE(OFFSET($R$3,0,0,'Données projet'!$E$9+1,1))-AVERAGE(OFFSET($H$3,0,0,'Données projet'!$E$9+1,1))</f>
        <v>147.72913422715322</v>
      </c>
      <c r="T103" s="62">
        <f t="shared" si="88"/>
        <v>361.07991692964799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13.330102325912371</v>
      </c>
      <c r="AA103" s="23">
        <f>EXP(-LN(2)/25)*AA102+(1-EXP(-LN(2)/25))/(LN(2)/25)*Calculateur!V103*Calculateur!X103*VLOOKUP('Données projet'!$B$9,Paramètres!$A$1:$I$89,3,0)*0.475*44/12</f>
        <v>6.310491396205407</v>
      </c>
      <c r="AB103" s="23">
        <f>EXP(-LN(2)/2)*AB102+(1-EXP(-LN(2)/2))/(LN(2)/2)*V103*Y103*VLOOKUP('Données projet'!$B$9,Paramètres!$A$1:$I$89,3,0)*0.475*44/12</f>
        <v>1.267977780572507E-9</v>
      </c>
      <c r="AC103" s="24">
        <f t="shared" si="57"/>
        <v>19.640593723385756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>
        <f>AI103*VLOOKUP('Données projet'!$B$10,Paramètres!$A$1:$I$89,3,0)*VLOOKUP('Données projet'!$B$10,Paramètres!$A$1:$I$89,5,0)</f>
        <v>0</v>
      </c>
      <c r="AK103" s="14" t="e">
        <f t="shared" si="89"/>
        <v>#NUM!</v>
      </c>
      <c r="AL103" s="22" t="e">
        <f t="shared" si="58"/>
        <v>#NUM!</v>
      </c>
      <c r="AM103" s="62" t="e">
        <f t="shared" si="59"/>
        <v>#NUM!</v>
      </c>
      <c r="AN103" s="62">
        <f ca="1">AVERAGE(OFFSET($AM$3,0,0,'Données projet'!$E$10+1,1))-AVERAGE(OFFSET($H$3,0,0,'Données projet'!$E$10+1,1))</f>
        <v>151.58413719376074</v>
      </c>
      <c r="AO103" s="62">
        <f t="shared" si="90"/>
        <v>310.105543138185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24.700588610776627</v>
      </c>
      <c r="AV103" s="23">
        <f>EXP(-LN(2)/25)*AV102+(1-EXP(-LN(2)/25))/(LN(2)/25)*Calculateur!AQ103*Calculateur!AS103*VLOOKUP('Données projet'!$B$10,Paramètres!$A$1:$I$89,3,0)*0.475*44/12</f>
        <v>0</v>
      </c>
      <c r="AW103" s="23">
        <f>EXP(-LN(2)/2)*AW102+(1-EXP(-LN(2)/2))/(LN(2)/2)*AQ103*AT103*VLOOKUP('Données projet'!$B$10,Paramètres!$A$1:$I$89,3,0)*0.475*44/12</f>
        <v>7.741180713959453E-9</v>
      </c>
      <c r="AX103" s="23">
        <f t="shared" si="60"/>
        <v>24.700588618517809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60.397999999999932</v>
      </c>
      <c r="D104" s="12">
        <f t="shared" si="86"/>
        <v>17.268857147288056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10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599.53363411941609</v>
      </c>
      <c r="H104" s="70">
        <f t="shared" si="56"/>
        <v>428.60310953152657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1.1368683772161603E-13</v>
      </c>
      <c r="O104" s="14">
        <f>N104*VLOOKUP('Données projet'!$B$9,Paramètres!$A$1:$I$89,3,0)*VLOOKUP('Données projet'!$B$9,Paramètres!$A$1:$I$89,5,0)</f>
        <v>6.7984728957526396E-14</v>
      </c>
      <c r="P104" s="14">
        <f t="shared" si="87"/>
        <v>1.0682447123141398E-12</v>
      </c>
      <c r="Q104" s="22">
        <f t="shared" si="107"/>
        <v>1.978932943548152E-12</v>
      </c>
      <c r="R104" s="62">
        <f t="shared" si="55"/>
        <v>293.3333333333353</v>
      </c>
      <c r="S104" s="62">
        <f ca="1">AVERAGE(OFFSET($R$3,0,0,'Données projet'!$E$9+1,1))-AVERAGE(OFFSET($H$3,0,0,'Données projet'!$E$9+1,1))</f>
        <v>147.72913422715322</v>
      </c>
      <c r="T104" s="62">
        <f t="shared" si="88"/>
        <v>361.07991692964799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13.068707149860822</v>
      </c>
      <c r="AA104" s="23">
        <f>EXP(-LN(2)/25)*AA103+(1-EXP(-LN(2)/25))/(LN(2)/25)*Calculateur!V104*Calculateur!X104*VLOOKUP('Données projet'!$B$9,Paramètres!$A$1:$I$89,3,0)*0.475*44/12</f>
        <v>6.13793067712185</v>
      </c>
      <c r="AB104" s="23">
        <f>EXP(-LN(2)/2)*AB103+(1-EXP(-LN(2)/2))/(LN(2)/2)*V104*Y104*VLOOKUP('Données projet'!$B$9,Paramètres!$A$1:$I$89,3,0)*0.475*44/12</f>
        <v>8.9659568703668793E-10</v>
      </c>
      <c r="AC104" s="24">
        <f t="shared" si="57"/>
        <v>19.206637827879266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>
        <f>AI104*VLOOKUP('Données projet'!$B$10,Paramètres!$A$1:$I$89,3,0)*VLOOKUP('Données projet'!$B$10,Paramètres!$A$1:$I$89,5,0)</f>
        <v>0</v>
      </c>
      <c r="AK104" s="14" t="e">
        <f t="shared" si="89"/>
        <v>#NUM!</v>
      </c>
      <c r="AL104" s="22" t="e">
        <f t="shared" si="58"/>
        <v>#NUM!</v>
      </c>
      <c r="AM104" s="62" t="e">
        <f t="shared" si="59"/>
        <v>#NUM!</v>
      </c>
      <c r="AN104" s="62">
        <f ca="1">AVERAGE(OFFSET($AM$3,0,0,'Données projet'!$E$10+1,1))-AVERAGE(OFFSET($H$3,0,0,'Données projet'!$E$10+1,1))</f>
        <v>151.58413719376074</v>
      </c>
      <c r="AO104" s="62">
        <f t="shared" si="90"/>
        <v>310.105543138185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24.216225133990719</v>
      </c>
      <c r="AV104" s="23">
        <f>EXP(-LN(2)/25)*AV103+(1-EXP(-LN(2)/25))/(LN(2)/25)*Calculateur!AQ104*Calculateur!AS104*VLOOKUP('Données projet'!$B$10,Paramètres!$A$1:$I$89,3,0)*0.475*44/12</f>
        <v>0</v>
      </c>
      <c r="AW104" s="23">
        <f>EXP(-LN(2)/2)*AW103+(1-EXP(-LN(2)/2))/(LN(2)/2)*AQ104*AT104*VLOOKUP('Données projet'!$B$10,Paramètres!$A$1:$I$89,3,0)*0.475*44/12</f>
        <v>5.4738413772312488E-9</v>
      </c>
      <c r="AX104" s="23">
        <f t="shared" si="60"/>
        <v>24.216225139464559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60.995999999999931</v>
      </c>
      <c r="D105" s="12">
        <f t="shared" si="86"/>
        <v>17.419847263429784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10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605.31531220893112</v>
      </c>
      <c r="H105" s="70">
        <f t="shared" si="56"/>
        <v>429.9076006504734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1.1368683772161603E-13</v>
      </c>
      <c r="O105" s="14">
        <f>N105*VLOOKUP('Données projet'!$B$9,Paramètres!$A$1:$I$89,3,0)*VLOOKUP('Données projet'!$B$9,Paramètres!$A$1:$I$89,5,0)</f>
        <v>6.7984728957526396E-14</v>
      </c>
      <c r="P105" s="14">
        <f t="shared" si="87"/>
        <v>1.0682447123141398E-12</v>
      </c>
      <c r="Q105" s="22">
        <f t="shared" si="107"/>
        <v>1.978932943548152E-12</v>
      </c>
      <c r="R105" s="62">
        <f t="shared" si="55"/>
        <v>293.3333333333353</v>
      </c>
      <c r="S105" s="62">
        <f ca="1">AVERAGE(OFFSET($R$3,0,0,'Données projet'!$E$9+1,1))-AVERAGE(OFFSET($H$3,0,0,'Données projet'!$E$9+1,1))</f>
        <v>147.72913422715322</v>
      </c>
      <c r="T105" s="62">
        <f t="shared" si="88"/>
        <v>361.07991692964799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12.812437773776329</v>
      </c>
      <c r="AA105" s="23">
        <f>EXP(-LN(2)/25)*AA104+(1-EXP(-LN(2)/25))/(LN(2)/25)*Calculateur!V105*Calculateur!X105*VLOOKUP('Données projet'!$B$9,Paramètres!$A$1:$I$89,3,0)*0.475*44/12</f>
        <v>5.9700886399762068</v>
      </c>
      <c r="AB105" s="23">
        <f>EXP(-LN(2)/2)*AB104+(1-EXP(-LN(2)/2))/(LN(2)/2)*V105*Y105*VLOOKUP('Données projet'!$B$9,Paramètres!$A$1:$I$89,3,0)*0.475*44/12</f>
        <v>6.3398889028625362E-10</v>
      </c>
      <c r="AC105" s="24">
        <f t="shared" si="57"/>
        <v>18.782526414386524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>
        <f>AI105*VLOOKUP('Données projet'!$B$10,Paramètres!$A$1:$I$89,3,0)*VLOOKUP('Données projet'!$B$10,Paramètres!$A$1:$I$89,5,0)</f>
        <v>0</v>
      </c>
      <c r="AK105" s="14" t="e">
        <f t="shared" si="89"/>
        <v>#NUM!</v>
      </c>
      <c r="AL105" s="22" t="e">
        <f t="shared" si="58"/>
        <v>#NUM!</v>
      </c>
      <c r="AM105" s="62" t="e">
        <f t="shared" si="59"/>
        <v>#NUM!</v>
      </c>
      <c r="AN105" s="62">
        <f ca="1">AVERAGE(OFFSET($AM$3,0,0,'Données projet'!$E$10+1,1))-AVERAGE(OFFSET($H$3,0,0,'Données projet'!$E$10+1,1))</f>
        <v>151.58413719376074</v>
      </c>
      <c r="AO105" s="62">
        <f t="shared" si="90"/>
        <v>310.105543138185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23.741359729552034</v>
      </c>
      <c r="AV105" s="23">
        <f>EXP(-LN(2)/25)*AV104+(1-EXP(-LN(2)/25))/(LN(2)/25)*Calculateur!AQ105*Calculateur!AS105*VLOOKUP('Données projet'!$B$10,Paramètres!$A$1:$I$89,3,0)*0.475*44/12</f>
        <v>0</v>
      </c>
      <c r="AW105" s="23">
        <f>EXP(-LN(2)/2)*AW104+(1-EXP(-LN(2)/2))/(LN(2)/2)*AQ105*AT105*VLOOKUP('Données projet'!$B$10,Paramètres!$A$1:$I$89,3,0)*0.475*44/12</f>
        <v>3.8705903569797265E-9</v>
      </c>
      <c r="AX105" s="23">
        <f t="shared" si="60"/>
        <v>23.741359733422623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61.59399999999993</v>
      </c>
      <c r="D106" s="12">
        <f t="shared" si="86"/>
        <v>17.570665168564602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10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611.09566095032289</v>
      </c>
      <c r="H106" s="70">
        <f t="shared" si="56"/>
        <v>431.21179183524987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1.1368683772161603E-13</v>
      </c>
      <c r="O106" s="14">
        <f>N106*VLOOKUP('Données projet'!$B$9,Paramètres!$A$1:$I$89,3,0)*VLOOKUP('Données projet'!$B$9,Paramètres!$A$1:$I$89,5,0)</f>
        <v>6.7984728957526396E-14</v>
      </c>
      <c r="P106" s="14">
        <f t="shared" si="87"/>
        <v>1.0682447123141398E-12</v>
      </c>
      <c r="Q106" s="22">
        <f t="shared" si="107"/>
        <v>1.978932943548152E-12</v>
      </c>
      <c r="R106" s="62">
        <f t="shared" si="55"/>
        <v>293.3333333333353</v>
      </c>
      <c r="S106" s="62">
        <f ca="1">AVERAGE(OFFSET($R$3,0,0,'Données projet'!$E$9+1,1))-AVERAGE(OFFSET($H$3,0,0,'Données projet'!$E$9+1,1))</f>
        <v>147.72913422715322</v>
      </c>
      <c r="T106" s="62">
        <f t="shared" si="88"/>
        <v>361.07991692964799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12.561193683847968</v>
      </c>
      <c r="AA106" s="23">
        <f>EXP(-LN(2)/25)*AA105+(1-EXP(-LN(2)/25))/(LN(2)/25)*Calculateur!V106*Calculateur!X106*VLOOKUP('Données projet'!$B$9,Paramètres!$A$1:$I$89,3,0)*0.475*44/12</f>
        <v>5.806836252162741</v>
      </c>
      <c r="AB106" s="23">
        <f>EXP(-LN(2)/2)*AB105+(1-EXP(-LN(2)/2))/(LN(2)/2)*V106*Y106*VLOOKUP('Données projet'!$B$9,Paramètres!$A$1:$I$89,3,0)*0.475*44/12</f>
        <v>4.4829784351834407E-10</v>
      </c>
      <c r="AC106" s="24">
        <f t="shared" si="57"/>
        <v>18.368029936459006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>
        <f>AI106*VLOOKUP('Données projet'!$B$10,Paramètres!$A$1:$I$89,3,0)*VLOOKUP('Données projet'!$B$10,Paramètres!$A$1:$I$89,5,0)</f>
        <v>0</v>
      </c>
      <c r="AK106" s="14" t="e">
        <f t="shared" si="89"/>
        <v>#NUM!</v>
      </c>
      <c r="AL106" s="22" t="e">
        <f t="shared" si="58"/>
        <v>#NUM!</v>
      </c>
      <c r="AM106" s="62" t="e">
        <f t="shared" si="59"/>
        <v>#NUM!</v>
      </c>
      <c r="AN106" s="62">
        <f ca="1">AVERAGE(OFFSET($AM$3,0,0,'Données projet'!$E$10+1,1))-AVERAGE(OFFSET($H$3,0,0,'Données projet'!$E$10+1,1))</f>
        <v>151.58413719376074</v>
      </c>
      <c r="AO106" s="62">
        <f t="shared" si="90"/>
        <v>310.105543138185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23.275806146055093</v>
      </c>
      <c r="AV106" s="23">
        <f>EXP(-LN(2)/25)*AV105+(1-EXP(-LN(2)/25))/(LN(2)/25)*Calculateur!AQ106*Calculateur!AS106*VLOOKUP('Données projet'!$B$10,Paramètres!$A$1:$I$89,3,0)*0.475*44/12</f>
        <v>0</v>
      </c>
      <c r="AW106" s="23">
        <f>EXP(-LN(2)/2)*AW105+(1-EXP(-LN(2)/2))/(LN(2)/2)*AQ106*AT106*VLOOKUP('Données projet'!$B$10,Paramètres!$A$1:$I$89,3,0)*0.475*44/12</f>
        <v>2.7369206886156244E-9</v>
      </c>
      <c r="AX106" s="23">
        <f t="shared" si="60"/>
        <v>23.275806148792014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62.191999999999929</v>
      </c>
      <c r="D107" s="12">
        <f t="shared" si="86"/>
        <v>17.721312728263729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10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616.87469474449142</v>
      </c>
      <c r="H107" s="70">
        <f t="shared" si="56"/>
        <v>432.51568633505917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1.1368683772161603E-13</v>
      </c>
      <c r="O107" s="14">
        <f>N107*VLOOKUP('Données projet'!$B$9,Paramètres!$A$1:$I$89,3,0)*VLOOKUP('Données projet'!$B$9,Paramètres!$A$1:$I$89,5,0)</f>
        <v>6.7984728957526396E-14</v>
      </c>
      <c r="P107" s="14">
        <f t="shared" si="87"/>
        <v>1.0682447123141398E-12</v>
      </c>
      <c r="Q107" s="22">
        <f t="shared" si="107"/>
        <v>1.978932943548152E-12</v>
      </c>
      <c r="R107" s="62">
        <f t="shared" si="55"/>
        <v>293.3333333333353</v>
      </c>
      <c r="S107" s="62">
        <f ca="1">AVERAGE(OFFSET($R$3,0,0,'Données projet'!$E$9+1,1))-AVERAGE(OFFSET($H$3,0,0,'Données projet'!$E$9+1,1))</f>
        <v>147.72913422715322</v>
      </c>
      <c r="T107" s="62">
        <f t="shared" si="88"/>
        <v>361.07991692964799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12.314876337279339</v>
      </c>
      <c r="AA107" s="23">
        <f>EXP(-LN(2)/25)*AA106+(1-EXP(-LN(2)/25))/(LN(2)/25)*Calculateur!V107*Calculateur!X107*VLOOKUP('Données projet'!$B$9,Paramètres!$A$1:$I$89,3,0)*0.475*44/12</f>
        <v>5.6480480094791039</v>
      </c>
      <c r="AB107" s="23">
        <f>EXP(-LN(2)/2)*AB106+(1-EXP(-LN(2)/2))/(LN(2)/2)*V107*Y107*VLOOKUP('Données projet'!$B$9,Paramètres!$A$1:$I$89,3,0)*0.475*44/12</f>
        <v>3.1699444514312686E-10</v>
      </c>
      <c r="AC107" s="24">
        <f t="shared" si="57"/>
        <v>17.962924347075436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>
        <f>AI107*VLOOKUP('Données projet'!$B$10,Paramètres!$A$1:$I$89,3,0)*VLOOKUP('Données projet'!$B$10,Paramètres!$A$1:$I$89,5,0)</f>
        <v>0</v>
      </c>
      <c r="AK107" s="14" t="e">
        <f t="shared" si="89"/>
        <v>#NUM!</v>
      </c>
      <c r="AL107" s="22" t="e">
        <f t="shared" si="58"/>
        <v>#NUM!</v>
      </c>
      <c r="AM107" s="62" t="e">
        <f t="shared" si="59"/>
        <v>#NUM!</v>
      </c>
      <c r="AN107" s="62">
        <f ca="1">AVERAGE(OFFSET($AM$3,0,0,'Données projet'!$E$10+1,1))-AVERAGE(OFFSET($H$3,0,0,'Données projet'!$E$10+1,1))</f>
        <v>151.58413719376074</v>
      </c>
      <c r="AO107" s="62">
        <f t="shared" si="90"/>
        <v>310.105543138185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22.819381784370879</v>
      </c>
      <c r="AV107" s="23">
        <f>EXP(-LN(2)/25)*AV106+(1-EXP(-LN(2)/25))/(LN(2)/25)*Calculateur!AQ107*Calculateur!AS107*VLOOKUP('Données projet'!$B$10,Paramètres!$A$1:$I$89,3,0)*0.475*44/12</f>
        <v>0</v>
      </c>
      <c r="AW107" s="23">
        <f>EXP(-LN(2)/2)*AW106+(1-EXP(-LN(2)/2))/(LN(2)/2)*AQ107*AT107*VLOOKUP('Données projet'!$B$10,Paramètres!$A$1:$I$89,3,0)*0.475*44/12</f>
        <v>1.9352951784898633E-9</v>
      </c>
      <c r="AX107" s="23">
        <f t="shared" si="60"/>
        <v>22.819381786306174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62.789999999999928</v>
      </c>
      <c r="D108" s="12">
        <f t="shared" si="86"/>
        <v>17.871791770153557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10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622.6524276994304</v>
      </c>
      <c r="H108" s="70">
        <f t="shared" si="56"/>
        <v>433.81928733301731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1.1368683772161603E-13</v>
      </c>
      <c r="O108" s="14">
        <f>N108*VLOOKUP('Données projet'!$B$9,Paramètres!$A$1:$I$89,3,0)*VLOOKUP('Données projet'!$B$9,Paramètres!$A$1:$I$89,5,0)</f>
        <v>6.7984728957526396E-14</v>
      </c>
      <c r="P108" s="14">
        <f t="shared" si="87"/>
        <v>1.0682447123141398E-12</v>
      </c>
      <c r="Q108" s="22">
        <f t="shared" si="107"/>
        <v>1.978932943548152E-12</v>
      </c>
      <c r="R108" s="62">
        <f t="shared" si="55"/>
        <v>293.3333333333353</v>
      </c>
      <c r="S108" s="62">
        <f ca="1">AVERAGE(OFFSET($R$3,0,0,'Données projet'!$E$9+1,1))-AVERAGE(OFFSET($H$3,0,0,'Données projet'!$E$9+1,1))</f>
        <v>147.72913422715322</v>
      </c>
      <c r="T108" s="62">
        <f t="shared" si="88"/>
        <v>361.07991692964799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12.073389123638174</v>
      </c>
      <c r="AA108" s="23">
        <f>EXP(-LN(2)/25)*AA107+(1-EXP(-LN(2)/25))/(LN(2)/25)*Calculateur!V108*Calculateur!X108*VLOOKUP('Données projet'!$B$9,Paramètres!$A$1:$I$89,3,0)*0.475*44/12</f>
        <v>5.4936018396419621</v>
      </c>
      <c r="AB108" s="23">
        <f>EXP(-LN(2)/2)*AB107+(1-EXP(-LN(2)/2))/(LN(2)/2)*V108*Y108*VLOOKUP('Données projet'!$B$9,Paramètres!$A$1:$I$89,3,0)*0.475*44/12</f>
        <v>2.2414892175917206E-10</v>
      </c>
      <c r="AC108" s="24">
        <f t="shared" si="57"/>
        <v>17.566990963504285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>
        <f>AI108*VLOOKUP('Données projet'!$B$10,Paramètres!$A$1:$I$89,3,0)*VLOOKUP('Données projet'!$B$10,Paramètres!$A$1:$I$89,5,0)</f>
        <v>0</v>
      </c>
      <c r="AK108" s="14" t="e">
        <f t="shared" si="89"/>
        <v>#NUM!</v>
      </c>
      <c r="AL108" s="22" t="e">
        <f t="shared" si="58"/>
        <v>#NUM!</v>
      </c>
      <c r="AM108" s="62" t="e">
        <f t="shared" si="59"/>
        <v>#NUM!</v>
      </c>
      <c r="AN108" s="62">
        <f ca="1">AVERAGE(OFFSET($AM$3,0,0,'Données projet'!$E$10+1,1))-AVERAGE(OFFSET($H$3,0,0,'Données projet'!$E$10+1,1))</f>
        <v>151.58413719376074</v>
      </c>
      <c r="AO108" s="62">
        <f t="shared" si="90"/>
        <v>310.105543138185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22.371907626027923</v>
      </c>
      <c r="AV108" s="23">
        <f>EXP(-LN(2)/25)*AV107+(1-EXP(-LN(2)/25))/(LN(2)/25)*Calculateur!AQ108*Calculateur!AS108*VLOOKUP('Données projet'!$B$10,Paramètres!$A$1:$I$89,3,0)*0.475*44/12</f>
        <v>0</v>
      </c>
      <c r="AW108" s="23">
        <f>EXP(-LN(2)/2)*AW107+(1-EXP(-LN(2)/2))/(LN(2)/2)*AQ108*AT108*VLOOKUP('Données projet'!$B$10,Paramètres!$A$1:$I$89,3,0)*0.475*44/12</f>
        <v>1.3684603443078122E-9</v>
      </c>
      <c r="AX108" s="23">
        <f t="shared" si="60"/>
        <v>22.371907627396382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63.387999999999927</v>
      </c>
      <c r="D109" s="12">
        <f t="shared" si="86"/>
        <v>18.022104085041239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10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628.4288736389143</v>
      </c>
      <c r="H109" s="70">
        <f t="shared" si="56"/>
        <v>435.12259794811337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1.1368683772161603E-13</v>
      </c>
      <c r="O109" s="14">
        <f>N109*VLOOKUP('Données projet'!$B$9,Paramètres!$A$1:$I$89,3,0)*VLOOKUP('Données projet'!$B$9,Paramètres!$A$1:$I$89,5,0)</f>
        <v>6.7984728957526396E-14</v>
      </c>
      <c r="P109" s="14">
        <f t="shared" si="87"/>
        <v>1.0682447123141398E-12</v>
      </c>
      <c r="Q109" s="22">
        <f t="shared" si="107"/>
        <v>1.978932943548152E-12</v>
      </c>
      <c r="R109" s="62">
        <f t="shared" si="55"/>
        <v>293.3333333333353</v>
      </c>
      <c r="S109" s="62">
        <f ca="1">AVERAGE(OFFSET($R$3,0,0,'Données projet'!$E$9+1,1))-AVERAGE(OFFSET($H$3,0,0,'Données projet'!$E$9+1,1))</f>
        <v>147.72913422715322</v>
      </c>
      <c r="T109" s="62">
        <f t="shared" si="88"/>
        <v>361.07991692964799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11.836637326963857</v>
      </c>
      <c r="AA109" s="23">
        <f>EXP(-LN(2)/25)*AA108+(1-EXP(-LN(2)/25))/(LN(2)/25)*Calculateur!V109*Calculateur!X109*VLOOKUP('Données projet'!$B$9,Paramètres!$A$1:$I$89,3,0)*0.475*44/12</f>
        <v>5.343379008440988</v>
      </c>
      <c r="AB109" s="23">
        <f>EXP(-LN(2)/2)*AB108+(1-EXP(-LN(2)/2))/(LN(2)/2)*V109*Y109*VLOOKUP('Données projet'!$B$9,Paramètres!$A$1:$I$89,3,0)*0.475*44/12</f>
        <v>1.5849722257156346E-10</v>
      </c>
      <c r="AC109" s="24">
        <f t="shared" si="57"/>
        <v>17.180016335563341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>
        <f>AI109*VLOOKUP('Données projet'!$B$10,Paramètres!$A$1:$I$89,3,0)*VLOOKUP('Données projet'!$B$10,Paramètres!$A$1:$I$89,5,0)</f>
        <v>0</v>
      </c>
      <c r="AK109" s="14" t="e">
        <f t="shared" si="89"/>
        <v>#NUM!</v>
      </c>
      <c r="AL109" s="22" t="e">
        <f t="shared" si="58"/>
        <v>#NUM!</v>
      </c>
      <c r="AM109" s="62" t="e">
        <f t="shared" si="59"/>
        <v>#NUM!</v>
      </c>
      <c r="AN109" s="62">
        <f ca="1">AVERAGE(OFFSET($AM$3,0,0,'Données projet'!$E$10+1,1))-AVERAGE(OFFSET($H$3,0,0,'Données projet'!$E$10+1,1))</f>
        <v>151.58413719376074</v>
      </c>
      <c r="AO109" s="62">
        <f t="shared" si="90"/>
        <v>310.105543138185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21.933208162997783</v>
      </c>
      <c r="AV109" s="23">
        <f>EXP(-LN(2)/25)*AV108+(1-EXP(-LN(2)/25))/(LN(2)/25)*Calculateur!AQ109*Calculateur!AS109*VLOOKUP('Données projet'!$B$10,Paramètres!$A$1:$I$89,3,0)*0.475*44/12</f>
        <v>0</v>
      </c>
      <c r="AW109" s="23">
        <f>EXP(-LN(2)/2)*AW108+(1-EXP(-LN(2)/2))/(LN(2)/2)*AQ109*AT109*VLOOKUP('Données projet'!$B$10,Paramètres!$A$1:$I$89,3,0)*0.475*44/12</f>
        <v>9.6764758924493163E-10</v>
      </c>
      <c r="AX109" s="23">
        <f t="shared" si="60"/>
        <v>21.933208163965432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63.985999999999926</v>
      </c>
      <c r="D110" s="12">
        <f t="shared" si="86"/>
        <v>18.172251427996631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10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634.20404611085064</v>
      </c>
      <c r="H110" s="70">
        <f t="shared" si="56"/>
        <v>436.42562123709399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1.1368683772161603E-13</v>
      </c>
      <c r="O110" s="14">
        <f>N110*VLOOKUP('Données projet'!$B$9,Paramètres!$A$1:$I$89,3,0)*VLOOKUP('Données projet'!$B$9,Paramètres!$A$1:$I$89,5,0)</f>
        <v>6.7984728957526396E-14</v>
      </c>
      <c r="P110" s="14">
        <f t="shared" si="87"/>
        <v>1.0682447123141398E-12</v>
      </c>
      <c r="Q110" s="22">
        <f t="shared" si="107"/>
        <v>1.978932943548152E-12</v>
      </c>
      <c r="R110" s="62">
        <f t="shared" si="55"/>
        <v>293.3333333333353</v>
      </c>
      <c r="S110" s="62">
        <f ca="1">AVERAGE(OFFSET($R$3,0,0,'Données projet'!$E$9+1,1))-AVERAGE(OFFSET($H$3,0,0,'Données projet'!$E$9+1,1))</f>
        <v>147.72913422715322</v>
      </c>
      <c r="T110" s="62">
        <f t="shared" si="88"/>
        <v>361.07991692964799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11.604528088617984</v>
      </c>
      <c r="AA110" s="23">
        <f>EXP(-LN(2)/25)*AA109+(1-EXP(-LN(2)/25))/(LN(2)/25)*Calculateur!V110*Calculateur!X110*VLOOKUP('Données projet'!$B$9,Paramètres!$A$1:$I$89,3,0)*0.475*44/12</f>
        <v>5.1972640284590792</v>
      </c>
      <c r="AB110" s="23">
        <f>EXP(-LN(2)/2)*AB109+(1-EXP(-LN(2)/2))/(LN(2)/2)*V110*Y110*VLOOKUP('Données projet'!$B$9,Paramètres!$A$1:$I$89,3,0)*0.475*44/12</f>
        <v>1.1207446087958606E-10</v>
      </c>
      <c r="AC110" s="24">
        <f t="shared" si="57"/>
        <v>16.801792117189137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>
        <f>AI110*VLOOKUP('Données projet'!$B$10,Paramètres!$A$1:$I$89,3,0)*VLOOKUP('Données projet'!$B$10,Paramètres!$A$1:$I$89,5,0)</f>
        <v>0</v>
      </c>
      <c r="AK110" s="14" t="e">
        <f t="shared" si="89"/>
        <v>#NUM!</v>
      </c>
      <c r="AL110" s="22" t="e">
        <f t="shared" si="58"/>
        <v>#NUM!</v>
      </c>
      <c r="AM110" s="62" t="e">
        <f t="shared" si="59"/>
        <v>#NUM!</v>
      </c>
      <c r="AN110" s="62">
        <f ca="1">AVERAGE(OFFSET($AM$3,0,0,'Données projet'!$E$10+1,1))-AVERAGE(OFFSET($H$3,0,0,'Données projet'!$E$10+1,1))</f>
        <v>151.58413719376074</v>
      </c>
      <c r="AO110" s="62">
        <f t="shared" si="90"/>
        <v>310.105543138185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21.503111328857415</v>
      </c>
      <c r="AV110" s="23">
        <f>EXP(-LN(2)/25)*AV109+(1-EXP(-LN(2)/25))/(LN(2)/25)*Calculateur!AQ110*Calculateur!AS110*VLOOKUP('Données projet'!$B$10,Paramètres!$A$1:$I$89,3,0)*0.475*44/12</f>
        <v>0</v>
      </c>
      <c r="AW110" s="23">
        <f>EXP(-LN(2)/2)*AW109+(1-EXP(-LN(2)/2))/(LN(2)/2)*AQ110*AT110*VLOOKUP('Données projet'!$B$10,Paramètres!$A$1:$I$89,3,0)*0.475*44/12</f>
        <v>6.842301721539061E-10</v>
      </c>
      <c r="AX110" s="23">
        <f t="shared" si="60"/>
        <v>21.503111329541646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64.583999999999932</v>
      </c>
      <c r="D111" s="12">
        <f t="shared" si="86"/>
        <v>18.322235519392716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10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639.9779583953117</v>
      </c>
      <c r="H111" s="70">
        <f t="shared" si="56"/>
        <v>437.7283601962755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1.1368683772161603E-13</v>
      </c>
      <c r="O111" s="14">
        <f>N111*VLOOKUP('Données projet'!$B$9,Paramètres!$A$1:$I$89,3,0)*VLOOKUP('Données projet'!$B$9,Paramètres!$A$1:$I$89,5,0)</f>
        <v>6.7984728957526396E-14</v>
      </c>
      <c r="P111" s="14">
        <f t="shared" si="87"/>
        <v>1.0682447123141398E-12</v>
      </c>
      <c r="Q111" s="22">
        <f t="shared" si="107"/>
        <v>1.978932943548152E-12</v>
      </c>
      <c r="R111" s="62">
        <f t="shared" si="55"/>
        <v>293.3333333333353</v>
      </c>
      <c r="S111" s="62">
        <f ca="1">AVERAGE(OFFSET($R$3,0,0,'Données projet'!$E$9+1,1))-AVERAGE(OFFSET($H$3,0,0,'Données projet'!$E$9+1,1))</f>
        <v>147.72913422715322</v>
      </c>
      <c r="T111" s="62">
        <f t="shared" si="88"/>
        <v>361.07991692964799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11.376970370863418</v>
      </c>
      <c r="AA111" s="23">
        <f>EXP(-LN(2)/25)*AA110+(1-EXP(-LN(2)/25))/(LN(2)/25)*Calculateur!V111*Calculateur!X111*VLOOKUP('Données projet'!$B$9,Paramètres!$A$1:$I$89,3,0)*0.475*44/12</f>
        <v>5.0551445702886291</v>
      </c>
      <c r="AB111" s="23">
        <f>EXP(-LN(2)/2)*AB110+(1-EXP(-LN(2)/2))/(LN(2)/2)*V111*Y111*VLOOKUP('Données projet'!$B$9,Paramètres!$A$1:$I$89,3,0)*0.475*44/12</f>
        <v>7.9248611285781742E-11</v>
      </c>
      <c r="AC111" s="24">
        <f t="shared" si="57"/>
        <v>16.432114941231298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>
        <f>AI111*VLOOKUP('Données projet'!$B$10,Paramètres!$A$1:$I$89,3,0)*VLOOKUP('Données projet'!$B$10,Paramètres!$A$1:$I$89,5,0)</f>
        <v>0</v>
      </c>
      <c r="AK111" s="14" t="e">
        <f t="shared" si="89"/>
        <v>#NUM!</v>
      </c>
      <c r="AL111" s="22" t="e">
        <f t="shared" si="58"/>
        <v>#NUM!</v>
      </c>
      <c r="AM111" s="62" t="e">
        <f t="shared" si="59"/>
        <v>#NUM!</v>
      </c>
      <c r="AN111" s="62">
        <f ca="1">AVERAGE(OFFSET($AM$3,0,0,'Données projet'!$E$10+1,1))-AVERAGE(OFFSET($H$3,0,0,'Données projet'!$E$10+1,1))</f>
        <v>151.58413719376074</v>
      </c>
      <c r="AO111" s="62">
        <f t="shared" si="90"/>
        <v>310.105543138185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21.081448431301371</v>
      </c>
      <c r="AV111" s="23">
        <f>EXP(-LN(2)/25)*AV110+(1-EXP(-LN(2)/25))/(LN(2)/25)*Calculateur!AQ111*Calculateur!AS111*VLOOKUP('Données projet'!$B$10,Paramètres!$A$1:$I$89,3,0)*0.475*44/12</f>
        <v>0</v>
      </c>
      <c r="AW111" s="23">
        <f>EXP(-LN(2)/2)*AW110+(1-EXP(-LN(2)/2))/(LN(2)/2)*AQ111*AT111*VLOOKUP('Données projet'!$B$10,Paramètres!$A$1:$I$89,3,0)*0.475*44/12</f>
        <v>4.8382379462246581E-10</v>
      </c>
      <c r="AX111" s="23">
        <f t="shared" si="60"/>
        <v>21.081448431785194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65.181999999999931</v>
      </c>
      <c r="D112" s="12">
        <f t="shared" si="86"/>
        <v>18.472058045906209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10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645.7506235122579</v>
      </c>
      <c r="H112" s="70">
        <f t="shared" si="56"/>
        <v>439.03081776328651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1.1368683772161603E-13</v>
      </c>
      <c r="O112" s="14">
        <f>N112*VLOOKUP('Données projet'!$B$9,Paramètres!$A$1:$I$89,3,0)*VLOOKUP('Données projet'!$B$9,Paramètres!$A$1:$I$89,5,0)</f>
        <v>6.7984728957526396E-14</v>
      </c>
      <c r="P112" s="14">
        <f t="shared" si="87"/>
        <v>1.0682447123141398E-12</v>
      </c>
      <c r="Q112" s="22">
        <f t="shared" si="107"/>
        <v>1.978932943548152E-12</v>
      </c>
      <c r="R112" s="62">
        <f t="shared" si="55"/>
        <v>293.3333333333353</v>
      </c>
      <c r="S112" s="62">
        <f ca="1">AVERAGE(OFFSET($R$3,0,0,'Données projet'!$E$9+1,1))-AVERAGE(OFFSET($H$3,0,0,'Données projet'!$E$9+1,1))</f>
        <v>147.72913422715322</v>
      </c>
      <c r="T112" s="62">
        <f t="shared" si="88"/>
        <v>361.07991692964799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11.153874921157517</v>
      </c>
      <c r="AA112" s="23">
        <f>EXP(-LN(2)/25)*AA111+(1-EXP(-LN(2)/25))/(LN(2)/25)*Calculateur!V112*Calculateur!X112*VLOOKUP('Données projet'!$B$9,Paramètres!$A$1:$I$89,3,0)*0.475*44/12</f>
        <v>4.9169113761755874</v>
      </c>
      <c r="AB112" s="23">
        <f>EXP(-LN(2)/2)*AB111+(1-EXP(-LN(2)/2))/(LN(2)/2)*V112*Y112*VLOOKUP('Données projet'!$B$9,Paramètres!$A$1:$I$89,3,0)*0.475*44/12</f>
        <v>5.6037230439793034E-11</v>
      </c>
      <c r="AC112" s="24">
        <f t="shared" si="57"/>
        <v>16.070786297389141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>
        <f>AI112*VLOOKUP('Données projet'!$B$10,Paramètres!$A$1:$I$89,3,0)*VLOOKUP('Données projet'!$B$10,Paramètres!$A$1:$I$89,5,0)</f>
        <v>0</v>
      </c>
      <c r="AK112" s="14" t="e">
        <f t="shared" si="89"/>
        <v>#NUM!</v>
      </c>
      <c r="AL112" s="22" t="e">
        <f t="shared" si="58"/>
        <v>#NUM!</v>
      </c>
      <c r="AM112" s="62" t="e">
        <f t="shared" si="59"/>
        <v>#NUM!</v>
      </c>
      <c r="AN112" s="62">
        <f ca="1">AVERAGE(OFFSET($AM$3,0,0,'Données projet'!$E$10+1,1))-AVERAGE(OFFSET($H$3,0,0,'Données projet'!$E$10+1,1))</f>
        <v>151.58413719376074</v>
      </c>
      <c r="AO112" s="62">
        <f t="shared" si="90"/>
        <v>310.105543138185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20.668054085977431</v>
      </c>
      <c r="AV112" s="23">
        <f>EXP(-LN(2)/25)*AV111+(1-EXP(-LN(2)/25))/(LN(2)/25)*Calculateur!AQ112*Calculateur!AS112*VLOOKUP('Données projet'!$B$10,Paramètres!$A$1:$I$89,3,0)*0.475*44/12</f>
        <v>0</v>
      </c>
      <c r="AW112" s="23">
        <f>EXP(-LN(2)/2)*AW111+(1-EXP(-LN(2)/2))/(LN(2)/2)*AQ112*AT112*VLOOKUP('Données projet'!$B$10,Paramètres!$A$1:$I$89,3,0)*0.475*44/12</f>
        <v>3.4211508607695305E-10</v>
      </c>
      <c r="AX112" s="23">
        <f t="shared" si="60"/>
        <v>20.668054086319547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65.77999999999993</v>
      </c>
      <c r="D113" s="12">
        <f t="shared" si="86"/>
        <v>18.621720661480627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10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651.52205422897271</v>
      </c>
      <c r="H113" s="70">
        <f t="shared" si="56"/>
        <v>440.3329968187453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1.1368683772161603E-13</v>
      </c>
      <c r="O113" s="14">
        <f>N113*VLOOKUP('Données projet'!$B$9,Paramètres!$A$1:$I$89,3,0)*VLOOKUP('Données projet'!$B$9,Paramètres!$A$1:$I$89,5,0)</f>
        <v>6.7984728957526396E-14</v>
      </c>
      <c r="P113" s="14">
        <f t="shared" si="87"/>
        <v>1.0682447123141398E-12</v>
      </c>
      <c r="Q113" s="22">
        <f t="shared" si="107"/>
        <v>1.978932943548152E-12</v>
      </c>
      <c r="R113" s="62">
        <f t="shared" si="55"/>
        <v>293.3333333333353</v>
      </c>
      <c r="S113" s="62">
        <f ca="1">AVERAGE(OFFSET($R$3,0,0,'Données projet'!$E$9+1,1))-AVERAGE(OFFSET($H$3,0,0,'Données projet'!$E$9+1,1))</f>
        <v>147.72913422715322</v>
      </c>
      <c r="T113" s="62">
        <f t="shared" si="88"/>
        <v>361.07991692964799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10.935154237145561</v>
      </c>
      <c r="AA113" s="23">
        <f>EXP(-LN(2)/25)*AA112+(1-EXP(-LN(2)/25))/(LN(2)/25)*Calculateur!V113*Calculateur!X113*VLOOKUP('Données projet'!$B$9,Paramètres!$A$1:$I$89,3,0)*0.475*44/12</f>
        <v>4.7824581760249343</v>
      </c>
      <c r="AB113" s="23">
        <f>EXP(-LN(2)/2)*AB112+(1-EXP(-LN(2)/2))/(LN(2)/2)*V113*Y113*VLOOKUP('Données projet'!$B$9,Paramètres!$A$1:$I$89,3,0)*0.475*44/12</f>
        <v>3.9624305642890877E-11</v>
      </c>
      <c r="AC113" s="24">
        <f t="shared" si="57"/>
        <v>15.717612413210121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>
        <f>AI113*VLOOKUP('Données projet'!$B$10,Paramètres!$A$1:$I$89,3,0)*VLOOKUP('Données projet'!$B$10,Paramètres!$A$1:$I$89,5,0)</f>
        <v>0</v>
      </c>
      <c r="AK113" s="14" t="e">
        <f t="shared" si="89"/>
        <v>#NUM!</v>
      </c>
      <c r="AL113" s="22" t="e">
        <f t="shared" si="58"/>
        <v>#NUM!</v>
      </c>
      <c r="AM113" s="62" t="e">
        <f t="shared" si="59"/>
        <v>#NUM!</v>
      </c>
      <c r="AN113" s="62">
        <f ca="1">AVERAGE(OFFSET($AM$3,0,0,'Données projet'!$E$10+1,1))-AVERAGE(OFFSET($H$3,0,0,'Données projet'!$E$10+1,1))</f>
        <v>151.58413719376074</v>
      </c>
      <c r="AO113" s="62">
        <f t="shared" si="90"/>
        <v>310.105543138185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20.26276615161964</v>
      </c>
      <c r="AV113" s="23">
        <f>EXP(-LN(2)/25)*AV112+(1-EXP(-LN(2)/25))/(LN(2)/25)*Calculateur!AQ113*Calculateur!AS113*VLOOKUP('Données projet'!$B$10,Paramètres!$A$1:$I$89,3,0)*0.475*44/12</f>
        <v>0</v>
      </c>
      <c r="AW113" s="23">
        <f>EXP(-LN(2)/2)*AW112+(1-EXP(-LN(2)/2))/(LN(2)/2)*AQ113*AT113*VLOOKUP('Données projet'!$B$10,Paramètres!$A$1:$I$89,3,0)*0.475*44/12</f>
        <v>2.4191189731123291E-10</v>
      </c>
      <c r="AX113" s="23">
        <f t="shared" si="60"/>
        <v>20.262766151861552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66.377999999999929</v>
      </c>
      <c r="D114" s="12">
        <f t="shared" si="86"/>
        <v>18.771224988253078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10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657.29226306721625</v>
      </c>
      <c r="H114" s="70">
        <f t="shared" si="56"/>
        <v>441.634900187874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1.1368683772161603E-13</v>
      </c>
      <c r="O114" s="14">
        <f>N114*VLOOKUP('Données projet'!$B$9,Paramètres!$A$1:$I$89,3,0)*VLOOKUP('Données projet'!$B$9,Paramètres!$A$1:$I$89,5,0)</f>
        <v>6.7984728957526396E-14</v>
      </c>
      <c r="P114" s="14">
        <f t="shared" si="87"/>
        <v>1.0682447123141398E-12</v>
      </c>
      <c r="Q114" s="22">
        <f t="shared" si="107"/>
        <v>1.978932943548152E-12</v>
      </c>
      <c r="R114" s="62">
        <f t="shared" si="55"/>
        <v>293.3333333333353</v>
      </c>
      <c r="S114" s="62">
        <f ca="1">AVERAGE(OFFSET($R$3,0,0,'Données projet'!$E$9+1,1))-AVERAGE(OFFSET($H$3,0,0,'Données projet'!$E$9+1,1))</f>
        <v>147.72913422715322</v>
      </c>
      <c r="T114" s="62">
        <f t="shared" si="88"/>
        <v>361.07991692964799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10.720722532340634</v>
      </c>
      <c r="AA114" s="23">
        <f>EXP(-LN(2)/25)*AA113+(1-EXP(-LN(2)/25))/(LN(2)/25)*Calculateur!V114*Calculateur!X114*VLOOKUP('Données projet'!$B$9,Paramètres!$A$1:$I$89,3,0)*0.475*44/12</f>
        <v>4.6516816057029873</v>
      </c>
      <c r="AB114" s="23">
        <f>EXP(-LN(2)/2)*AB113+(1-EXP(-LN(2)/2))/(LN(2)/2)*V114*Y114*VLOOKUP('Données projet'!$B$9,Paramètres!$A$1:$I$89,3,0)*0.475*44/12</f>
        <v>2.801861521989652E-11</v>
      </c>
      <c r="AC114" s="24">
        <f t="shared" si="57"/>
        <v>15.372404138071639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>
        <f>AI114*VLOOKUP('Données projet'!$B$10,Paramètres!$A$1:$I$89,3,0)*VLOOKUP('Données projet'!$B$10,Paramètres!$A$1:$I$89,5,0)</f>
        <v>0</v>
      </c>
      <c r="AK114" s="14" t="e">
        <f t="shared" si="89"/>
        <v>#NUM!</v>
      </c>
      <c r="AL114" s="22" t="e">
        <f t="shared" si="58"/>
        <v>#NUM!</v>
      </c>
      <c r="AM114" s="62" t="e">
        <f t="shared" si="59"/>
        <v>#NUM!</v>
      </c>
      <c r="AN114" s="62">
        <f ca="1">AVERAGE(OFFSET($AM$3,0,0,'Données projet'!$E$10+1,1))-AVERAGE(OFFSET($H$3,0,0,'Données projet'!$E$10+1,1))</f>
        <v>151.58413719376074</v>
      </c>
      <c r="AO114" s="62">
        <f t="shared" si="90"/>
        <v>310.105543138185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19.865425666453376</v>
      </c>
      <c r="AV114" s="23">
        <f>EXP(-LN(2)/25)*AV113+(1-EXP(-LN(2)/25))/(LN(2)/25)*Calculateur!AQ114*Calculateur!AS114*VLOOKUP('Données projet'!$B$10,Paramètres!$A$1:$I$89,3,0)*0.475*44/12</f>
        <v>0</v>
      </c>
      <c r="AW114" s="23">
        <f>EXP(-LN(2)/2)*AW113+(1-EXP(-LN(2)/2))/(LN(2)/2)*AQ114*AT114*VLOOKUP('Données projet'!$B$10,Paramètres!$A$1:$I$89,3,0)*0.475*44/12</f>
        <v>1.7105754303847652E-10</v>
      </c>
      <c r="AX114" s="23">
        <f t="shared" si="60"/>
        <v>19.865425666624432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66.975999999999928</v>
      </c>
      <c r="D115" s="12">
        <f t="shared" si="86"/>
        <v>18.92057261744694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10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663.06126231011615</v>
      </c>
      <c r="H115" s="70">
        <f t="shared" si="56"/>
        <v>442.9365306420533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1.1368683772161603E-13</v>
      </c>
      <c r="O115" s="14">
        <f>N115*VLOOKUP('Données projet'!$B$9,Paramètres!$A$1:$I$89,3,0)*VLOOKUP('Données projet'!$B$9,Paramètres!$A$1:$I$89,5,0)</f>
        <v>6.7984728957526396E-14</v>
      </c>
      <c r="P115" s="14">
        <f t="shared" si="87"/>
        <v>1.0682447123141398E-12</v>
      </c>
      <c r="Q115" s="22">
        <f t="shared" si="107"/>
        <v>1.978932943548152E-12</v>
      </c>
      <c r="R115" s="62">
        <f t="shared" si="55"/>
        <v>293.3333333333353</v>
      </c>
      <c r="S115" s="62">
        <f ca="1">AVERAGE(OFFSET($R$3,0,0,'Données projet'!$E$9+1,1))-AVERAGE(OFFSET($H$3,0,0,'Données projet'!$E$9+1,1))</f>
        <v>147.72913422715322</v>
      </c>
      <c r="T115" s="62">
        <f t="shared" si="88"/>
        <v>361.07991692964799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10.510495702476506</v>
      </c>
      <c r="AA115" s="23">
        <f>EXP(-LN(2)/25)*AA114+(1-EXP(-LN(2)/25))/(LN(2)/25)*Calculateur!V115*Calculateur!X115*VLOOKUP('Données projet'!$B$9,Paramètres!$A$1:$I$89,3,0)*0.475*44/12</f>
        <v>4.5244811275737353</v>
      </c>
      <c r="AB115" s="23">
        <f>EXP(-LN(2)/2)*AB114+(1-EXP(-LN(2)/2))/(LN(2)/2)*V115*Y115*VLOOKUP('Données projet'!$B$9,Paramètres!$A$1:$I$89,3,0)*0.475*44/12</f>
        <v>1.9812152821445439E-11</v>
      </c>
      <c r="AC115" s="24">
        <f t="shared" si="57"/>
        <v>15.034976830070052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>
        <f>AI115*VLOOKUP('Données projet'!$B$10,Paramètres!$A$1:$I$89,3,0)*VLOOKUP('Données projet'!$B$10,Paramètres!$A$1:$I$89,5,0)</f>
        <v>0</v>
      </c>
      <c r="AK115" s="14" t="e">
        <f t="shared" si="89"/>
        <v>#NUM!</v>
      </c>
      <c r="AL115" s="22" t="e">
        <f t="shared" si="58"/>
        <v>#NUM!</v>
      </c>
      <c r="AM115" s="62" t="e">
        <f t="shared" si="59"/>
        <v>#NUM!</v>
      </c>
      <c r="AN115" s="62">
        <f ca="1">AVERAGE(OFFSET($AM$3,0,0,'Données projet'!$E$10+1,1))-AVERAGE(OFFSET($H$3,0,0,'Données projet'!$E$10+1,1))</f>
        <v>151.58413719376074</v>
      </c>
      <c r="AO115" s="62">
        <f t="shared" si="90"/>
        <v>310.105543138185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19.475876785847454</v>
      </c>
      <c r="AV115" s="23">
        <f>EXP(-LN(2)/25)*AV114+(1-EXP(-LN(2)/25))/(LN(2)/25)*Calculateur!AQ115*Calculateur!AS115*VLOOKUP('Données projet'!$B$10,Paramètres!$A$1:$I$89,3,0)*0.475*44/12</f>
        <v>0</v>
      </c>
      <c r="AW115" s="23">
        <f>EXP(-LN(2)/2)*AW114+(1-EXP(-LN(2)/2))/(LN(2)/2)*AQ115*AT115*VLOOKUP('Données projet'!$B$10,Paramètres!$A$1:$I$89,3,0)*0.475*44/12</f>
        <v>1.2095594865561645E-10</v>
      </c>
      <c r="AX115" s="23">
        <f t="shared" si="60"/>
        <v>19.47587678596841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67.573999999999927</v>
      </c>
      <c r="D116" s="12">
        <f t="shared" si="86"/>
        <v>19.069765110231589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10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668.82906400880472</v>
      </c>
      <c r="H116" s="70">
        <f t="shared" si="56"/>
        <v>444.23789090031983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1.1368683772161603E-13</v>
      </c>
      <c r="O116" s="14">
        <f>N116*VLOOKUP('Données projet'!$B$9,Paramètres!$A$1:$I$89,3,0)*VLOOKUP('Données projet'!$B$9,Paramètres!$A$1:$I$89,5,0)</f>
        <v>6.7984728957526396E-14</v>
      </c>
      <c r="P116" s="14">
        <f t="shared" si="87"/>
        <v>1.0682447123141398E-12</v>
      </c>
      <c r="Q116" s="22">
        <f t="shared" si="107"/>
        <v>1.978932943548152E-12</v>
      </c>
      <c r="R116" s="62">
        <f t="shared" si="55"/>
        <v>293.3333333333353</v>
      </c>
      <c r="S116" s="62">
        <f ca="1">AVERAGE(OFFSET($R$3,0,0,'Données projet'!$E$9+1,1))-AVERAGE(OFFSET($H$3,0,0,'Données projet'!$E$9+1,1))</f>
        <v>147.72913422715322</v>
      </c>
      <c r="T116" s="62">
        <f t="shared" si="88"/>
        <v>361.07991692964799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10.304391292520309</v>
      </c>
      <c r="AA116" s="23">
        <f>EXP(-LN(2)/25)*AA115+(1-EXP(-LN(2)/25))/(LN(2)/25)*Calculateur!V116*Calculateur!X116*VLOOKUP('Données projet'!$B$9,Paramètres!$A$1:$I$89,3,0)*0.475*44/12</f>
        <v>4.4007589532081095</v>
      </c>
      <c r="AB116" s="23">
        <f>EXP(-LN(2)/2)*AB115+(1-EXP(-LN(2)/2))/(LN(2)/2)*V116*Y116*VLOOKUP('Données projet'!$B$9,Paramètres!$A$1:$I$89,3,0)*0.475*44/12</f>
        <v>1.400930760994826E-11</v>
      </c>
      <c r="AC116" s="24">
        <f t="shared" si="57"/>
        <v>14.705150245742429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>
        <f>AI116*VLOOKUP('Données projet'!$B$10,Paramètres!$A$1:$I$89,3,0)*VLOOKUP('Données projet'!$B$10,Paramètres!$A$1:$I$89,5,0)</f>
        <v>0</v>
      </c>
      <c r="AK116" s="14" t="e">
        <f t="shared" si="89"/>
        <v>#NUM!</v>
      </c>
      <c r="AL116" s="22" t="e">
        <f t="shared" si="58"/>
        <v>#NUM!</v>
      </c>
      <c r="AM116" s="62" t="e">
        <f t="shared" si="59"/>
        <v>#NUM!</v>
      </c>
      <c r="AN116" s="62">
        <f ca="1">AVERAGE(OFFSET($AM$3,0,0,'Données projet'!$E$10+1,1))-AVERAGE(OFFSET($H$3,0,0,'Données projet'!$E$10+1,1))</f>
        <v>151.58413719376074</v>
      </c>
      <c r="AO116" s="62">
        <f t="shared" si="90"/>
        <v>310.105543138185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19.09396672118886</v>
      </c>
      <c r="AV116" s="23">
        <f>EXP(-LN(2)/25)*AV115+(1-EXP(-LN(2)/25))/(LN(2)/25)*Calculateur!AQ116*Calculateur!AS116*VLOOKUP('Données projet'!$B$10,Paramètres!$A$1:$I$89,3,0)*0.475*44/12</f>
        <v>0</v>
      </c>
      <c r="AW116" s="23">
        <f>EXP(-LN(2)/2)*AW115+(1-EXP(-LN(2)/2))/(LN(2)/2)*AQ116*AT116*VLOOKUP('Données projet'!$B$10,Paramètres!$A$1:$I$89,3,0)*0.475*44/12</f>
        <v>8.5528771519238262E-11</v>
      </c>
      <c r="AX116" s="23">
        <f t="shared" si="60"/>
        <v>19.093966721274388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68.171999999999926</v>
      </c>
      <c r="D117" s="12">
        <f t="shared" si="86"/>
        <v>19.218803998550822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10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674.59567998881278</v>
      </c>
      <c r="H117" s="70">
        <f t="shared" si="56"/>
        <v>445.53898363080918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1.1368683772161603E-13</v>
      </c>
      <c r="O117" s="14">
        <f>N117*VLOOKUP('Données projet'!$B$9,Paramètres!$A$1:$I$89,3,0)*VLOOKUP('Données projet'!$B$9,Paramètres!$A$1:$I$89,5,0)</f>
        <v>6.7984728957526396E-14</v>
      </c>
      <c r="P117" s="14">
        <f t="shared" si="87"/>
        <v>1.0682447123141398E-12</v>
      </c>
      <c r="Q117" s="22">
        <f t="shared" si="107"/>
        <v>1.978932943548152E-12</v>
      </c>
      <c r="R117" s="62">
        <f t="shared" si="55"/>
        <v>293.3333333333353</v>
      </c>
      <c r="S117" s="62">
        <f ca="1">AVERAGE(OFFSET($R$3,0,0,'Données projet'!$E$9+1,1))-AVERAGE(OFFSET($H$3,0,0,'Données projet'!$E$9+1,1))</f>
        <v>147.72913422715322</v>
      </c>
      <c r="T117" s="62">
        <f t="shared" si="88"/>
        <v>361.07991692964799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10.102328464332077</v>
      </c>
      <c r="AA117" s="23">
        <f>EXP(-LN(2)/25)*AA116+(1-EXP(-LN(2)/25))/(LN(2)/25)*Calculateur!V117*Calculateur!X117*VLOOKUP('Données projet'!$B$9,Paramètres!$A$1:$I$89,3,0)*0.475*44/12</f>
        <v>4.2804199682067781</v>
      </c>
      <c r="AB117" s="23">
        <f>EXP(-LN(2)/2)*AB116+(1-EXP(-LN(2)/2))/(LN(2)/2)*V117*Y117*VLOOKUP('Données projet'!$B$9,Paramètres!$A$1:$I$89,3,0)*0.475*44/12</f>
        <v>9.9060764107227193E-12</v>
      </c>
      <c r="AC117" s="24">
        <f t="shared" si="57"/>
        <v>14.382748432548761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>
        <f>AI117*VLOOKUP('Données projet'!$B$10,Paramètres!$A$1:$I$89,3,0)*VLOOKUP('Données projet'!$B$10,Paramètres!$A$1:$I$89,5,0)</f>
        <v>0</v>
      </c>
      <c r="AK117" s="14" t="e">
        <f t="shared" si="89"/>
        <v>#NUM!</v>
      </c>
      <c r="AL117" s="22" t="e">
        <f t="shared" si="58"/>
        <v>#NUM!</v>
      </c>
      <c r="AM117" s="62" t="e">
        <f t="shared" si="59"/>
        <v>#NUM!</v>
      </c>
      <c r="AN117" s="62">
        <f ca="1">AVERAGE(OFFSET($AM$3,0,0,'Données projet'!$E$10+1,1))-AVERAGE(OFFSET($H$3,0,0,'Données projet'!$E$10+1,1))</f>
        <v>151.58413719376074</v>
      </c>
      <c r="AO117" s="62">
        <f t="shared" si="90"/>
        <v>310.105543138185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18.719545679956081</v>
      </c>
      <c r="AV117" s="23">
        <f>EXP(-LN(2)/25)*AV116+(1-EXP(-LN(2)/25))/(LN(2)/25)*Calculateur!AQ117*Calculateur!AS117*VLOOKUP('Données projet'!$B$10,Paramètres!$A$1:$I$89,3,0)*0.475*44/12</f>
        <v>0</v>
      </c>
      <c r="AW117" s="23">
        <f>EXP(-LN(2)/2)*AW116+(1-EXP(-LN(2)/2))/(LN(2)/2)*AQ117*AT117*VLOOKUP('Données projet'!$B$10,Paramètres!$A$1:$I$89,3,0)*0.475*44/12</f>
        <v>6.0477974327808227E-11</v>
      </c>
      <c r="AX117" s="23">
        <f t="shared" si="60"/>
        <v>18.719545680016559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68.769999999999925</v>
      </c>
      <c r="D118" s="12">
        <f t="shared" si="86"/>
        <v>19.367690785921507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10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680.36112185623563</v>
      </c>
      <c r="H118" s="70">
        <f t="shared" si="56"/>
        <v>446.83981145214648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1.1368683772161603E-13</v>
      </c>
      <c r="O118" s="14">
        <f>N118*VLOOKUP('Données projet'!$B$9,Paramètres!$A$1:$I$89,3,0)*VLOOKUP('Données projet'!$B$9,Paramètres!$A$1:$I$89,5,0)</f>
        <v>6.7984728957526396E-14</v>
      </c>
      <c r="P118" s="14">
        <f t="shared" si="87"/>
        <v>1.0682447123141398E-12</v>
      </c>
      <c r="Q118" s="22">
        <f t="shared" si="107"/>
        <v>1.978932943548152E-12</v>
      </c>
      <c r="R118" s="62">
        <f t="shared" si="55"/>
        <v>293.3333333333353</v>
      </c>
      <c r="S118" s="62">
        <f ca="1">AVERAGE(OFFSET($R$3,0,0,'Données projet'!$E$9+1,1))-AVERAGE(OFFSET($H$3,0,0,'Données projet'!$E$9+1,1))</f>
        <v>147.72913422715322</v>
      </c>
      <c r="T118" s="62">
        <f t="shared" si="88"/>
        <v>361.07991692964799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9.9042279649584604</v>
      </c>
      <c r="AA118" s="23">
        <f>EXP(-LN(2)/25)*AA117+(1-EXP(-LN(2)/25))/(LN(2)/25)*Calculateur!V118*Calculateur!X118*VLOOKUP('Données projet'!$B$9,Paramètres!$A$1:$I$89,3,0)*0.475*44/12</f>
        <v>4.1633716590786607</v>
      </c>
      <c r="AB118" s="23">
        <f>EXP(-LN(2)/2)*AB117+(1-EXP(-LN(2)/2))/(LN(2)/2)*V118*Y118*VLOOKUP('Données projet'!$B$9,Paramètres!$A$1:$I$89,3,0)*0.475*44/12</f>
        <v>7.0046538049741301E-12</v>
      </c>
      <c r="AC118" s="24">
        <f t="shared" si="57"/>
        <v>14.067599624044126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>
        <f>AI118*VLOOKUP('Données projet'!$B$10,Paramètres!$A$1:$I$89,3,0)*VLOOKUP('Données projet'!$B$10,Paramètres!$A$1:$I$89,5,0)</f>
        <v>0</v>
      </c>
      <c r="AK118" s="14" t="e">
        <f t="shared" si="89"/>
        <v>#NUM!</v>
      </c>
      <c r="AL118" s="22" t="e">
        <f t="shared" si="58"/>
        <v>#NUM!</v>
      </c>
      <c r="AM118" s="62" t="e">
        <f t="shared" si="59"/>
        <v>#NUM!</v>
      </c>
      <c r="AN118" s="62">
        <f ca="1">AVERAGE(OFFSET($AM$3,0,0,'Données projet'!$E$10+1,1))-AVERAGE(OFFSET($H$3,0,0,'Données projet'!$E$10+1,1))</f>
        <v>151.58413719376074</v>
      </c>
      <c r="AO118" s="62">
        <f t="shared" si="90"/>
        <v>310.105543138185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18.352466806967595</v>
      </c>
      <c r="AV118" s="23">
        <f>EXP(-LN(2)/25)*AV117+(1-EXP(-LN(2)/25))/(LN(2)/25)*Calculateur!AQ118*Calculateur!AS118*VLOOKUP('Données projet'!$B$10,Paramètres!$A$1:$I$89,3,0)*0.475*44/12</f>
        <v>0</v>
      </c>
      <c r="AW118" s="23">
        <f>EXP(-LN(2)/2)*AW117+(1-EXP(-LN(2)/2))/(LN(2)/2)*AQ118*AT118*VLOOKUP('Données projet'!$B$10,Paramètres!$A$1:$I$89,3,0)*0.475*44/12</f>
        <v>4.2764385759619131E-11</v>
      </c>
      <c r="AX118" s="23">
        <f t="shared" si="60"/>
        <v>18.352466807010359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69.367999999999924</v>
      </c>
      <c r="D119" s="12">
        <f t="shared" si="86"/>
        <v>19.516426948203513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10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686.12540100367562</v>
      </c>
      <c r="H119" s="70">
        <f t="shared" si="56"/>
        <v>448.14037693478764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1.1368683772161603E-13</v>
      </c>
      <c r="O119" s="14">
        <f>N119*VLOOKUP('Données projet'!$B$9,Paramètres!$A$1:$I$89,3,0)*VLOOKUP('Données projet'!$B$9,Paramètres!$A$1:$I$89,5,0)</f>
        <v>6.7984728957526396E-14</v>
      </c>
      <c r="P119" s="14">
        <f t="shared" si="87"/>
        <v>1.0682447123141398E-12</v>
      </c>
      <c r="Q119" s="22">
        <f t="shared" si="107"/>
        <v>1.978932943548152E-12</v>
      </c>
      <c r="R119" s="62">
        <f t="shared" si="55"/>
        <v>293.3333333333353</v>
      </c>
      <c r="S119" s="62">
        <f ca="1">AVERAGE(OFFSET($R$3,0,0,'Données projet'!$E$9+1,1))-AVERAGE(OFFSET($H$3,0,0,'Données projet'!$E$9+1,1))</f>
        <v>147.72913422715322</v>
      </c>
      <c r="T119" s="62">
        <f t="shared" si="88"/>
        <v>361.07991692964799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9.7100120955481852</v>
      </c>
      <c r="AA119" s="23">
        <f>EXP(-LN(2)/25)*AA118+(1-EXP(-LN(2)/25))/(LN(2)/25)*Calculateur!V119*Calculateur!X119*VLOOKUP('Données projet'!$B$9,Paramètres!$A$1:$I$89,3,0)*0.475*44/12</f>
        <v>4.0495240421189544</v>
      </c>
      <c r="AB119" s="23">
        <f>EXP(-LN(2)/2)*AB118+(1-EXP(-LN(2)/2))/(LN(2)/2)*V119*Y119*VLOOKUP('Données projet'!$B$9,Paramètres!$A$1:$I$89,3,0)*0.475*44/12</f>
        <v>4.9530382053613597E-12</v>
      </c>
      <c r="AC119" s="24">
        <f t="shared" si="57"/>
        <v>13.759536137672093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>
        <f>AI119*VLOOKUP('Données projet'!$B$10,Paramètres!$A$1:$I$89,3,0)*VLOOKUP('Données projet'!$B$10,Paramètres!$A$1:$I$89,5,0)</f>
        <v>0</v>
      </c>
      <c r="AK119" s="14" t="e">
        <f t="shared" si="89"/>
        <v>#NUM!</v>
      </c>
      <c r="AL119" s="22" t="e">
        <f t="shared" si="58"/>
        <v>#NUM!</v>
      </c>
      <c r="AM119" s="62" t="e">
        <f t="shared" si="59"/>
        <v>#NUM!</v>
      </c>
      <c r="AN119" s="62">
        <f ca="1">AVERAGE(OFFSET($AM$3,0,0,'Données projet'!$E$10+1,1))-AVERAGE(OFFSET($H$3,0,0,'Données projet'!$E$10+1,1))</f>
        <v>151.58413719376074</v>
      </c>
      <c r="AO119" s="62">
        <f t="shared" si="90"/>
        <v>310.105543138185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17.992586126782406</v>
      </c>
      <c r="AV119" s="23">
        <f>EXP(-LN(2)/25)*AV118+(1-EXP(-LN(2)/25))/(LN(2)/25)*Calculateur!AQ119*Calculateur!AS119*VLOOKUP('Données projet'!$B$10,Paramètres!$A$1:$I$89,3,0)*0.475*44/12</f>
        <v>0</v>
      </c>
      <c r="AW119" s="23">
        <f>EXP(-LN(2)/2)*AW118+(1-EXP(-LN(2)/2))/(LN(2)/2)*AQ119*AT119*VLOOKUP('Données projet'!$B$10,Paramètres!$A$1:$I$89,3,0)*0.475*44/12</f>
        <v>3.0238987163904113E-11</v>
      </c>
      <c r="AX119" s="23">
        <f t="shared" si="60"/>
        <v>17.992586126812647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69.965999999999923</v>
      </c>
      <c r="D120" s="12">
        <f t="shared" si="86"/>
        <v>19.665013934342443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10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691.88852861597616</v>
      </c>
      <c r="H120" s="70">
        <f t="shared" si="56"/>
        <v>449.4406826023129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1.1368683772161603E-13</v>
      </c>
      <c r="O120" s="14">
        <f>N120*VLOOKUP('Données projet'!$B$9,Paramètres!$A$1:$I$89,3,0)*VLOOKUP('Données projet'!$B$9,Paramètres!$A$1:$I$89,5,0)</f>
        <v>6.7984728957526396E-14</v>
      </c>
      <c r="P120" s="14">
        <f t="shared" si="87"/>
        <v>1.0682447123141398E-12</v>
      </c>
      <c r="Q120" s="22">
        <f t="shared" si="107"/>
        <v>1.978932943548152E-12</v>
      </c>
      <c r="R120" s="62">
        <f t="shared" si="55"/>
        <v>293.3333333333353</v>
      </c>
      <c r="S120" s="62">
        <f ca="1">AVERAGE(OFFSET($R$3,0,0,'Données projet'!$E$9+1,1))-AVERAGE(OFFSET($H$3,0,0,'Données projet'!$E$9+1,1))</f>
        <v>147.72913422715322</v>
      </c>
      <c r="T120" s="62">
        <f t="shared" si="88"/>
        <v>361.07991692964799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9.5196046808770625</v>
      </c>
      <c r="AA120" s="23">
        <f>EXP(-LN(2)/25)*AA119+(1-EXP(-LN(2)/25))/(LN(2)/25)*Calculateur!V120*Calculateur!X120*VLOOKUP('Données projet'!$B$9,Paramètres!$A$1:$I$89,3,0)*0.475*44/12</f>
        <v>3.9387895942319977</v>
      </c>
      <c r="AB120" s="23">
        <f>EXP(-LN(2)/2)*AB119+(1-EXP(-LN(2)/2))/(LN(2)/2)*V120*Y120*VLOOKUP('Données projet'!$B$9,Paramètres!$A$1:$I$89,3,0)*0.475*44/12</f>
        <v>3.502326902487065E-12</v>
      </c>
      <c r="AC120" s="24">
        <f t="shared" si="57"/>
        <v>13.458394275112564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>
        <f>AI120*VLOOKUP('Données projet'!$B$10,Paramètres!$A$1:$I$89,3,0)*VLOOKUP('Données projet'!$B$10,Paramètres!$A$1:$I$89,5,0)</f>
        <v>0</v>
      </c>
      <c r="AK120" s="14" t="e">
        <f t="shared" si="89"/>
        <v>#NUM!</v>
      </c>
      <c r="AL120" s="22" t="e">
        <f t="shared" si="58"/>
        <v>#NUM!</v>
      </c>
      <c r="AM120" s="62" t="e">
        <f t="shared" si="59"/>
        <v>#NUM!</v>
      </c>
      <c r="AN120" s="62">
        <f ca="1">AVERAGE(OFFSET($AM$3,0,0,'Données projet'!$E$10+1,1))-AVERAGE(OFFSET($H$3,0,0,'Données projet'!$E$10+1,1))</f>
        <v>151.58413719376074</v>
      </c>
      <c r="AO120" s="62">
        <f t="shared" si="90"/>
        <v>310.105543138185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17.639762487230108</v>
      </c>
      <c r="AV120" s="23">
        <f>EXP(-LN(2)/25)*AV119+(1-EXP(-LN(2)/25))/(LN(2)/25)*Calculateur!AQ120*Calculateur!AS120*VLOOKUP('Données projet'!$B$10,Paramètres!$A$1:$I$89,3,0)*0.475*44/12</f>
        <v>0</v>
      </c>
      <c r="AW120" s="23">
        <f>EXP(-LN(2)/2)*AW119+(1-EXP(-LN(2)/2))/(LN(2)/2)*AQ120*AT120*VLOOKUP('Données projet'!$B$10,Paramètres!$A$1:$I$89,3,0)*0.475*44/12</f>
        <v>2.1382192879809566E-11</v>
      </c>
      <c r="AX120" s="23">
        <f t="shared" si="60"/>
        <v>17.639762487251492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70.563999999999922</v>
      </c>
      <c r="D121" s="12">
        <f t="shared" si="86"/>
        <v>19.813453167086145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10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697.6505156757521</v>
      </c>
      <c r="H121" s="70">
        <f t="shared" si="56"/>
        <v>450.74073093267486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1.1368683772161603E-13</v>
      </c>
      <c r="O121" s="14">
        <f>N121*VLOOKUP('Données projet'!$B$9,Paramètres!$A$1:$I$89,3,0)*VLOOKUP('Données projet'!$B$9,Paramètres!$A$1:$I$89,5,0)</f>
        <v>6.7984728957526396E-14</v>
      </c>
      <c r="P121" s="14">
        <f t="shared" si="87"/>
        <v>1.0682447123141398E-12</v>
      </c>
      <c r="Q121" s="22">
        <f t="shared" si="107"/>
        <v>1.978932943548152E-12</v>
      </c>
      <c r="R121" s="62">
        <f t="shared" si="55"/>
        <v>293.3333333333353</v>
      </c>
      <c r="S121" s="62">
        <f ca="1">AVERAGE(OFFSET($R$3,0,0,'Données projet'!$E$9+1,1))-AVERAGE(OFFSET($H$3,0,0,'Données projet'!$E$9+1,1))</f>
        <v>147.72913422715322</v>
      </c>
      <c r="T121" s="62">
        <f t="shared" si="88"/>
        <v>361.07991692964799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9.3329310394705853</v>
      </c>
      <c r="AA121" s="23">
        <f>EXP(-LN(2)/25)*AA120+(1-EXP(-LN(2)/25))/(LN(2)/25)*Calculateur!V121*Calculateur!X121*VLOOKUP('Données projet'!$B$9,Paramètres!$A$1:$I$89,3,0)*0.475*44/12</f>
        <v>3.831083185645781</v>
      </c>
      <c r="AB121" s="23">
        <f>EXP(-LN(2)/2)*AB120+(1-EXP(-LN(2)/2))/(LN(2)/2)*V121*Y121*VLOOKUP('Données projet'!$B$9,Paramètres!$A$1:$I$89,3,0)*0.475*44/12</f>
        <v>2.4765191026806798E-12</v>
      </c>
      <c r="AC121" s="24">
        <f t="shared" si="57"/>
        <v>13.164014225118843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>
        <f>AI121*VLOOKUP('Données projet'!$B$10,Paramètres!$A$1:$I$89,3,0)*VLOOKUP('Données projet'!$B$10,Paramètres!$A$1:$I$89,5,0)</f>
        <v>0</v>
      </c>
      <c r="AK121" s="14" t="e">
        <f t="shared" si="89"/>
        <v>#NUM!</v>
      </c>
      <c r="AL121" s="22" t="e">
        <f t="shared" si="58"/>
        <v>#NUM!</v>
      </c>
      <c r="AM121" s="62" t="e">
        <f t="shared" si="59"/>
        <v>#NUM!</v>
      </c>
      <c r="AN121" s="62">
        <f ca="1">AVERAGE(OFFSET($AM$3,0,0,'Données projet'!$E$10+1,1))-AVERAGE(OFFSET($H$3,0,0,'Données projet'!$E$10+1,1))</f>
        <v>151.58413719376074</v>
      </c>
      <c r="AO121" s="62">
        <f t="shared" si="90"/>
        <v>310.105543138185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17.293857504048262</v>
      </c>
      <c r="AV121" s="23">
        <f>EXP(-LN(2)/25)*AV120+(1-EXP(-LN(2)/25))/(LN(2)/25)*Calculateur!AQ121*Calculateur!AS121*VLOOKUP('Données projet'!$B$10,Paramètres!$A$1:$I$89,3,0)*0.475*44/12</f>
        <v>0</v>
      </c>
      <c r="AW121" s="23">
        <f>EXP(-LN(2)/2)*AW120+(1-EXP(-LN(2)/2))/(LN(2)/2)*AQ121*AT121*VLOOKUP('Données projet'!$B$10,Paramètres!$A$1:$I$89,3,0)*0.475*44/12</f>
        <v>1.5119493581952057E-11</v>
      </c>
      <c r="AX121" s="23">
        <f t="shared" si="60"/>
        <v>17.293857504063382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71.161999999999921</v>
      </c>
      <c r="D122" s="12">
        <f t="shared" si="86"/>
        <v>19.961746043676328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10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703.4113729687291</v>
      </c>
      <c r="H122" s="70">
        <f t="shared" si="56"/>
        <v>452.04052435940275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1.1368683772161603E-13</v>
      </c>
      <c r="O122" s="14">
        <f>N122*VLOOKUP('Données projet'!$B$9,Paramètres!$A$1:$I$89,3,0)*VLOOKUP('Données projet'!$B$9,Paramètres!$A$1:$I$89,5,0)</f>
        <v>6.7984728957526396E-14</v>
      </c>
      <c r="P122" s="14">
        <f t="shared" si="87"/>
        <v>1.0682447123141398E-12</v>
      </c>
      <c r="Q122" s="22">
        <f t="shared" si="107"/>
        <v>1.978932943548152E-12</v>
      </c>
      <c r="R122" s="62">
        <f t="shared" si="55"/>
        <v>293.3333333333353</v>
      </c>
      <c r="S122" s="62">
        <f ca="1">AVERAGE(OFFSET($R$3,0,0,'Données projet'!$E$9+1,1))-AVERAGE(OFFSET($H$3,0,0,'Données projet'!$E$9+1,1))</f>
        <v>147.72913422715322</v>
      </c>
      <c r="T122" s="62">
        <f t="shared" si="88"/>
        <v>361.07991692964799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9.1499179543124107</v>
      </c>
      <c r="AA122" s="23">
        <f>EXP(-LN(2)/25)*AA121+(1-EXP(-LN(2)/25))/(LN(2)/25)*Calculateur!V122*Calculateur!X122*VLOOKUP('Données projet'!$B$9,Paramètres!$A$1:$I$89,3,0)*0.475*44/12</f>
        <v>3.7263220144663882</v>
      </c>
      <c r="AB122" s="23">
        <f>EXP(-LN(2)/2)*AB121+(1-EXP(-LN(2)/2))/(LN(2)/2)*V122*Y122*VLOOKUP('Données projet'!$B$9,Paramètres!$A$1:$I$89,3,0)*0.475*44/12</f>
        <v>1.7511634512435325E-12</v>
      </c>
      <c r="AC122" s="24">
        <f t="shared" si="57"/>
        <v>12.876239968780551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>
        <f>AI122*VLOOKUP('Données projet'!$B$10,Paramètres!$A$1:$I$89,3,0)*VLOOKUP('Données projet'!$B$10,Paramètres!$A$1:$I$89,5,0)</f>
        <v>0</v>
      </c>
      <c r="AK122" s="14" t="e">
        <f t="shared" si="89"/>
        <v>#NUM!</v>
      </c>
      <c r="AL122" s="22" t="e">
        <f t="shared" si="58"/>
        <v>#NUM!</v>
      </c>
      <c r="AM122" s="62" t="e">
        <f t="shared" si="59"/>
        <v>#NUM!</v>
      </c>
      <c r="AN122" s="62">
        <f ca="1">AVERAGE(OFFSET($AM$3,0,0,'Données projet'!$E$10+1,1))-AVERAGE(OFFSET($H$3,0,0,'Données projet'!$E$10+1,1))</f>
        <v>151.58413719376074</v>
      </c>
      <c r="AO122" s="62">
        <f t="shared" si="90"/>
        <v>310.105543138185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16.954735506605402</v>
      </c>
      <c r="AV122" s="23">
        <f>EXP(-LN(2)/25)*AV121+(1-EXP(-LN(2)/25))/(LN(2)/25)*Calculateur!AQ122*Calculateur!AS122*VLOOKUP('Données projet'!$B$10,Paramètres!$A$1:$I$89,3,0)*0.475*44/12</f>
        <v>0</v>
      </c>
      <c r="AW122" s="23">
        <f>EXP(-LN(2)/2)*AW121+(1-EXP(-LN(2)/2))/(LN(2)/2)*AQ122*AT122*VLOOKUP('Données projet'!$B$10,Paramètres!$A$1:$I$89,3,0)*0.475*44/12</f>
        <v>1.0691096439904783E-11</v>
      </c>
      <c r="AX122" s="23">
        <f t="shared" si="60"/>
        <v>16.954735506616093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71.75999999999992</v>
      </c>
      <c r="D123" s="12">
        <f t="shared" si="86"/>
        <v>20.109893936516197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10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709.1711110888964</v>
      </c>
      <c r="H123" s="70">
        <f t="shared" si="56"/>
        <v>453.34006527276551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1.1368683772161603E-13</v>
      </c>
      <c r="O123" s="14">
        <f>N123*VLOOKUP('Données projet'!$B$9,Paramètres!$A$1:$I$89,3,0)*VLOOKUP('Données projet'!$B$9,Paramètres!$A$1:$I$89,5,0)</f>
        <v>6.7984728957526396E-14</v>
      </c>
      <c r="P123" s="14">
        <f t="shared" si="87"/>
        <v>1.0682447123141398E-12</v>
      </c>
      <c r="Q123" s="22">
        <f t="shared" si="107"/>
        <v>1.978932943548152E-12</v>
      </c>
      <c r="R123" s="62">
        <f t="shared" si="55"/>
        <v>293.3333333333353</v>
      </c>
      <c r="S123" s="62">
        <f ca="1">AVERAGE(OFFSET($R$3,0,0,'Données projet'!$E$9+1,1))-AVERAGE(OFFSET($H$3,0,0,'Données projet'!$E$9+1,1))</f>
        <v>147.72913422715322</v>
      </c>
      <c r="T123" s="62">
        <f t="shared" si="88"/>
        <v>361.07991692964799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8.9704936441272292</v>
      </c>
      <c r="AA123" s="23">
        <f>EXP(-LN(2)/25)*AA122+(1-EXP(-LN(2)/25))/(LN(2)/25)*Calculateur!V123*Calculateur!X123*VLOOKUP('Données projet'!$B$9,Paramètres!$A$1:$I$89,3,0)*0.475*44/12</f>
        <v>3.6244255430220469</v>
      </c>
      <c r="AB123" s="23">
        <f>EXP(-LN(2)/2)*AB122+(1-EXP(-LN(2)/2))/(LN(2)/2)*V123*Y123*VLOOKUP('Données projet'!$B$9,Paramètres!$A$1:$I$89,3,0)*0.475*44/12</f>
        <v>1.2382595513403399E-12</v>
      </c>
      <c r="AC123" s="24">
        <f t="shared" si="57"/>
        <v>12.594919187150515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>
        <f>AI123*VLOOKUP('Données projet'!$B$10,Paramètres!$A$1:$I$89,3,0)*VLOOKUP('Données projet'!$B$10,Paramètres!$A$1:$I$89,5,0)</f>
        <v>0</v>
      </c>
      <c r="AK123" s="14" t="e">
        <f t="shared" si="89"/>
        <v>#NUM!</v>
      </c>
      <c r="AL123" s="22" t="e">
        <f t="shared" si="58"/>
        <v>#NUM!</v>
      </c>
      <c r="AM123" s="62" t="e">
        <f t="shared" si="59"/>
        <v>#NUM!</v>
      </c>
      <c r="AN123" s="62">
        <f ca="1">AVERAGE(OFFSET($AM$3,0,0,'Données projet'!$E$10+1,1))-AVERAGE(OFFSET($H$3,0,0,'Données projet'!$E$10+1,1))</f>
        <v>151.58413719376074</v>
      </c>
      <c r="AO123" s="62">
        <f t="shared" si="90"/>
        <v>310.105543138185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16.622263484688403</v>
      </c>
      <c r="AV123" s="23">
        <f>EXP(-LN(2)/25)*AV122+(1-EXP(-LN(2)/25))/(LN(2)/25)*Calculateur!AQ123*Calculateur!AS123*VLOOKUP('Données projet'!$B$10,Paramètres!$A$1:$I$89,3,0)*0.475*44/12</f>
        <v>0</v>
      </c>
      <c r="AW123" s="23">
        <f>EXP(-LN(2)/2)*AW122+(1-EXP(-LN(2)/2))/(LN(2)/2)*AQ123*AT123*VLOOKUP('Données projet'!$B$10,Paramètres!$A$1:$I$89,3,0)*0.475*44/12</f>
        <v>7.5597467909760283E-12</v>
      </c>
      <c r="AX123" s="23">
        <f t="shared" si="60"/>
        <v>16.622263484695964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72.357999999999919</v>
      </c>
      <c r="D124" s="12">
        <f t="shared" si="86"/>
        <v>20.257898193815301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10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714.92974044348591</v>
      </c>
      <c r="H124" s="70">
        <f t="shared" si="56"/>
        <v>454.63935602089481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1.1368683772161603E-13</v>
      </c>
      <c r="O124" s="14">
        <f>N124*VLOOKUP('Données projet'!$B$9,Paramètres!$A$1:$I$89,3,0)*VLOOKUP('Données projet'!$B$9,Paramètres!$A$1:$I$89,5,0)</f>
        <v>6.7984728957526396E-14</v>
      </c>
      <c r="P124" s="14">
        <f t="shared" si="87"/>
        <v>1.0682447123141398E-12</v>
      </c>
      <c r="Q124" s="22">
        <f t="shared" si="107"/>
        <v>1.978932943548152E-12</v>
      </c>
      <c r="R124" s="62">
        <f t="shared" si="55"/>
        <v>293.3333333333353</v>
      </c>
      <c r="S124" s="62">
        <f ca="1">AVERAGE(OFFSET($R$3,0,0,'Données projet'!$E$9+1,1))-AVERAGE(OFFSET($H$3,0,0,'Données projet'!$E$9+1,1))</f>
        <v>147.72913422715322</v>
      </c>
      <c r="T124" s="62">
        <f t="shared" si="88"/>
        <v>361.07991692964799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8.7945877352267559</v>
      </c>
      <c r="AA124" s="23">
        <f>EXP(-LN(2)/25)*AA123+(1-EXP(-LN(2)/25))/(LN(2)/25)*Calculateur!V124*Calculateur!X124*VLOOKUP('Données projet'!$B$9,Paramètres!$A$1:$I$89,3,0)*0.475*44/12</f>
        <v>3.5253154359478533</v>
      </c>
      <c r="AB124" s="23">
        <f>EXP(-LN(2)/2)*AB123+(1-EXP(-LN(2)/2))/(LN(2)/2)*V124*Y124*VLOOKUP('Données projet'!$B$9,Paramètres!$A$1:$I$89,3,0)*0.475*44/12</f>
        <v>8.7558172562176626E-13</v>
      </c>
      <c r="AC124" s="24">
        <f t="shared" si="57"/>
        <v>12.319903171175485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>
        <f>AI124*VLOOKUP('Données projet'!$B$10,Paramètres!$A$1:$I$89,3,0)*VLOOKUP('Données projet'!$B$10,Paramètres!$A$1:$I$89,5,0)</f>
        <v>0</v>
      </c>
      <c r="AK124" s="14" t="e">
        <f t="shared" si="89"/>
        <v>#NUM!</v>
      </c>
      <c r="AL124" s="22" t="e">
        <f t="shared" si="58"/>
        <v>#NUM!</v>
      </c>
      <c r="AM124" s="62" t="e">
        <f t="shared" si="59"/>
        <v>#NUM!</v>
      </c>
      <c r="AN124" s="62">
        <f ca="1">AVERAGE(OFFSET($AM$3,0,0,'Données projet'!$E$10+1,1))-AVERAGE(OFFSET($H$3,0,0,'Données projet'!$E$10+1,1))</f>
        <v>151.58413719376074</v>
      </c>
      <c r="AO124" s="62">
        <f t="shared" si="90"/>
        <v>310.105543138185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16.296311036333289</v>
      </c>
      <c r="AV124" s="23">
        <f>EXP(-LN(2)/25)*AV123+(1-EXP(-LN(2)/25))/(LN(2)/25)*Calculateur!AQ124*Calculateur!AS124*VLOOKUP('Données projet'!$B$10,Paramètres!$A$1:$I$89,3,0)*0.475*44/12</f>
        <v>0</v>
      </c>
      <c r="AW124" s="23">
        <f>EXP(-LN(2)/2)*AW123+(1-EXP(-LN(2)/2))/(LN(2)/2)*AQ124*AT124*VLOOKUP('Données projet'!$B$10,Paramètres!$A$1:$I$89,3,0)*0.475*44/12</f>
        <v>5.3455482199523914E-12</v>
      </c>
      <c r="AX124" s="23">
        <f t="shared" si="60"/>
        <v>16.296311036338636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72.955999999999918</v>
      </c>
      <c r="D125" s="12">
        <f t="shared" si="86"/>
        <v>20.405760140212255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10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720.68727125777821</v>
      </c>
      <c r="H125" s="70">
        <f t="shared" si="56"/>
        <v>455.93839891086952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1.1368683772161603E-13</v>
      </c>
      <c r="O125" s="14">
        <f>N125*VLOOKUP('Données projet'!$B$9,Paramètres!$A$1:$I$89,3,0)*VLOOKUP('Données projet'!$B$9,Paramètres!$A$1:$I$89,5,0)</f>
        <v>6.7984728957526396E-14</v>
      </c>
      <c r="P125" s="14">
        <f t="shared" si="87"/>
        <v>1.0682447123141398E-12</v>
      </c>
      <c r="Q125" s="22">
        <f t="shared" si="107"/>
        <v>1.978932943548152E-12</v>
      </c>
      <c r="R125" s="62">
        <f t="shared" si="55"/>
        <v>293.3333333333353</v>
      </c>
      <c r="S125" s="62">
        <f ca="1">AVERAGE(OFFSET($R$3,0,0,'Données projet'!$E$9+1,1))-AVERAGE(OFFSET($H$3,0,0,'Données projet'!$E$9+1,1))</f>
        <v>147.72913422715322</v>
      </c>
      <c r="T125" s="62">
        <f t="shared" si="88"/>
        <v>361.07991692964799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8.62213123390781</v>
      </c>
      <c r="AA125" s="23">
        <f>EXP(-LN(2)/25)*AA124+(1-EXP(-LN(2)/25))/(LN(2)/25)*Calculateur!V125*Calculateur!X125*VLOOKUP('Données projet'!$B$9,Paramètres!$A$1:$I$89,3,0)*0.475*44/12</f>
        <v>3.4289154999635776</v>
      </c>
      <c r="AB125" s="23">
        <f>EXP(-LN(2)/2)*AB124+(1-EXP(-LN(2)/2))/(LN(2)/2)*V125*Y125*VLOOKUP('Données projet'!$B$9,Paramètres!$A$1:$I$89,3,0)*0.475*44/12</f>
        <v>6.1912977567016996E-13</v>
      </c>
      <c r="AC125" s="24">
        <f t="shared" si="57"/>
        <v>12.051046733872008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>
        <f>AI125*VLOOKUP('Données projet'!$B$10,Paramètres!$A$1:$I$89,3,0)*VLOOKUP('Données projet'!$B$10,Paramètres!$A$1:$I$89,5,0)</f>
        <v>0</v>
      </c>
      <c r="AK125" s="14" t="e">
        <f t="shared" si="89"/>
        <v>#NUM!</v>
      </c>
      <c r="AL125" s="22" t="e">
        <f t="shared" si="58"/>
        <v>#NUM!</v>
      </c>
      <c r="AM125" s="62" t="e">
        <f t="shared" si="59"/>
        <v>#NUM!</v>
      </c>
      <c r="AN125" s="62">
        <f ca="1">AVERAGE(OFFSET($AM$3,0,0,'Données projet'!$E$10+1,1))-AVERAGE(OFFSET($H$3,0,0,'Données projet'!$E$10+1,1))</f>
        <v>151.58413719376074</v>
      </c>
      <c r="AO125" s="62">
        <f t="shared" si="90"/>
        <v>310.105543138185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15.976750316679055</v>
      </c>
      <c r="AV125" s="23">
        <f>EXP(-LN(2)/25)*AV124+(1-EXP(-LN(2)/25))/(LN(2)/25)*Calculateur!AQ125*Calculateur!AS125*VLOOKUP('Données projet'!$B$10,Paramètres!$A$1:$I$89,3,0)*0.475*44/12</f>
        <v>0</v>
      </c>
      <c r="AW125" s="23">
        <f>EXP(-LN(2)/2)*AW124+(1-EXP(-LN(2)/2))/(LN(2)/2)*AQ125*AT125*VLOOKUP('Données projet'!$B$10,Paramètres!$A$1:$I$89,3,0)*0.475*44/12</f>
        <v>3.7798733954880142E-12</v>
      </c>
      <c r="AX125" s="23">
        <f t="shared" si="60"/>
        <v>15.976750316682836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73.553999999999917</v>
      </c>
      <c r="D126" s="12">
        <f t="shared" si="86"/>
        <v>20.553481077376667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10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726.44371357974899</v>
      </c>
      <c r="H126" s="70">
        <f t="shared" si="56"/>
        <v>457.23719620976419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1.1368683772161603E-13</v>
      </c>
      <c r="O126" s="14">
        <f>N126*VLOOKUP('Données projet'!$B$9,Paramètres!$A$1:$I$89,3,0)*VLOOKUP('Données projet'!$B$9,Paramètres!$A$1:$I$89,5,0)</f>
        <v>6.7984728957526396E-14</v>
      </c>
      <c r="P126" s="14">
        <f t="shared" si="87"/>
        <v>1.0682447123141398E-12</v>
      </c>
      <c r="Q126" s="22">
        <f t="shared" si="107"/>
        <v>1.978932943548152E-12</v>
      </c>
      <c r="R126" s="62">
        <f t="shared" si="55"/>
        <v>293.3333333333353</v>
      </c>
      <c r="S126" s="62">
        <f ca="1">AVERAGE(OFFSET($R$3,0,0,'Données projet'!$E$9+1,1))-AVERAGE(OFFSET($H$3,0,0,'Données projet'!$E$9+1,1))</f>
        <v>147.72913422715322</v>
      </c>
      <c r="T126" s="62">
        <f t="shared" si="88"/>
        <v>361.07991692964799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8.4530564993916499</v>
      </c>
      <c r="AA126" s="23">
        <f>EXP(-LN(2)/25)*AA125+(1-EXP(-LN(2)/25))/(LN(2)/25)*Calculateur!V126*Calculateur!X126*VLOOKUP('Données projet'!$B$9,Paramètres!$A$1:$I$89,3,0)*0.475*44/12</f>
        <v>3.3351516252982445</v>
      </c>
      <c r="AB126" s="23">
        <f>EXP(-LN(2)/2)*AB125+(1-EXP(-LN(2)/2))/(LN(2)/2)*V126*Y126*VLOOKUP('Données projet'!$B$9,Paramètres!$A$1:$I$89,3,0)*0.475*44/12</f>
        <v>4.3779086281088313E-13</v>
      </c>
      <c r="AC126" s="24">
        <f t="shared" si="57"/>
        <v>11.788208124690332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>
        <f>AI126*VLOOKUP('Données projet'!$B$10,Paramètres!$A$1:$I$89,3,0)*VLOOKUP('Données projet'!$B$10,Paramètres!$A$1:$I$89,5,0)</f>
        <v>0</v>
      </c>
      <c r="AK126" s="14" t="e">
        <f t="shared" si="89"/>
        <v>#NUM!</v>
      </c>
      <c r="AL126" s="22" t="e">
        <f t="shared" si="58"/>
        <v>#NUM!</v>
      </c>
      <c r="AM126" s="62" t="e">
        <f t="shared" si="59"/>
        <v>#NUM!</v>
      </c>
      <c r="AN126" s="62">
        <f ca="1">AVERAGE(OFFSET($AM$3,0,0,'Données projet'!$E$10+1,1))-AVERAGE(OFFSET($H$3,0,0,'Données projet'!$E$10+1,1))</f>
        <v>151.58413719376074</v>
      </c>
      <c r="AO126" s="62">
        <f t="shared" si="90"/>
        <v>310.105543138185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15.663455987824447</v>
      </c>
      <c r="AV126" s="23">
        <f>EXP(-LN(2)/25)*AV125+(1-EXP(-LN(2)/25))/(LN(2)/25)*Calculateur!AQ126*Calculateur!AS126*VLOOKUP('Données projet'!$B$10,Paramètres!$A$1:$I$89,3,0)*0.475*44/12</f>
        <v>0</v>
      </c>
      <c r="AW126" s="23">
        <f>EXP(-LN(2)/2)*AW125+(1-EXP(-LN(2)/2))/(LN(2)/2)*AQ126*AT126*VLOOKUP('Données projet'!$B$10,Paramètres!$A$1:$I$89,3,0)*0.475*44/12</f>
        <v>2.6727741099761957E-12</v>
      </c>
      <c r="AX126" s="23">
        <f t="shared" si="60"/>
        <v>15.66345598782712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74.151999999999916</v>
      </c>
      <c r="D127" s="12">
        <f t="shared" si="86"/>
        <v>20.701062284590861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10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732.19907728456053</v>
      </c>
      <c r="H127" s="70">
        <f t="shared" si="56"/>
        <v>458.53575014566229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1.1368683772161603E-13</v>
      </c>
      <c r="O127" s="14">
        <f>N127*VLOOKUP('Données projet'!$B$9,Paramètres!$A$1:$I$89,3,0)*VLOOKUP('Données projet'!$B$9,Paramètres!$A$1:$I$89,5,0)</f>
        <v>6.7984728957526396E-14</v>
      </c>
      <c r="P127" s="14">
        <f t="shared" si="87"/>
        <v>1.0682447123141398E-12</v>
      </c>
      <c r="Q127" s="22">
        <f t="shared" si="107"/>
        <v>1.978932943548152E-12</v>
      </c>
      <c r="R127" s="62">
        <f t="shared" si="55"/>
        <v>293.3333333333353</v>
      </c>
      <c r="S127" s="62">
        <f ca="1">AVERAGE(OFFSET($R$3,0,0,'Données projet'!$E$9+1,1))-AVERAGE(OFFSET($H$3,0,0,'Données projet'!$E$9+1,1))</f>
        <v>147.72913422715322</v>
      </c>
      <c r="T127" s="62">
        <f t="shared" si="88"/>
        <v>361.07991692964799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8.2872972172939452</v>
      </c>
      <c r="AA127" s="23">
        <f>EXP(-LN(2)/25)*AA126+(1-EXP(-LN(2)/25))/(LN(2)/25)*Calculateur!V127*Calculateur!X127*VLOOKUP('Données projet'!$B$9,Paramètres!$A$1:$I$89,3,0)*0.475*44/12</f>
        <v>3.2439517287164628</v>
      </c>
      <c r="AB127" s="23">
        <f>EXP(-LN(2)/2)*AB126+(1-EXP(-LN(2)/2))/(LN(2)/2)*V127*Y127*VLOOKUP('Données projet'!$B$9,Paramètres!$A$1:$I$89,3,0)*0.475*44/12</f>
        <v>3.0956488783508498E-13</v>
      </c>
      <c r="AC127" s="24">
        <f t="shared" si="57"/>
        <v>11.531248946010717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>
        <f>AI127*VLOOKUP('Données projet'!$B$10,Paramètres!$A$1:$I$89,3,0)*VLOOKUP('Données projet'!$B$10,Paramètres!$A$1:$I$89,5,0)</f>
        <v>0</v>
      </c>
      <c r="AK127" s="14" t="e">
        <f t="shared" si="89"/>
        <v>#NUM!</v>
      </c>
      <c r="AL127" s="22" t="e">
        <f t="shared" si="58"/>
        <v>#NUM!</v>
      </c>
      <c r="AM127" s="62" t="e">
        <f t="shared" si="59"/>
        <v>#NUM!</v>
      </c>
      <c r="AN127" s="62">
        <f ca="1">AVERAGE(OFFSET($AM$3,0,0,'Données projet'!$E$10+1,1))-AVERAGE(OFFSET($H$3,0,0,'Données projet'!$E$10+1,1))</f>
        <v>151.58413719376074</v>
      </c>
      <c r="AO127" s="62">
        <f t="shared" si="90"/>
        <v>310.105543138185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15.356305169668007</v>
      </c>
      <c r="AV127" s="23">
        <f>EXP(-LN(2)/25)*AV126+(1-EXP(-LN(2)/25))/(LN(2)/25)*Calculateur!AQ127*Calculateur!AS127*VLOOKUP('Données projet'!$B$10,Paramètres!$A$1:$I$89,3,0)*0.475*44/12</f>
        <v>0</v>
      </c>
      <c r="AW127" s="23">
        <f>EXP(-LN(2)/2)*AW126+(1-EXP(-LN(2)/2))/(LN(2)/2)*AQ127*AT127*VLOOKUP('Données projet'!$B$10,Paramètres!$A$1:$I$89,3,0)*0.475*44/12</f>
        <v>1.8899366977440071E-12</v>
      </c>
      <c r="AX127" s="23">
        <f t="shared" si="60"/>
        <v>15.356305169669897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74.749999999999915</v>
      </c>
      <c r="D128" s="12">
        <f t="shared" si="86"/>
        <v>20.848505019312185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10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737.95337207890043</v>
      </c>
      <c r="H128" s="70">
        <f t="shared" si="56"/>
        <v>459.83406290863525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1.1368683772161603E-13</v>
      </c>
      <c r="O128" s="14">
        <f>N128*VLOOKUP('Données projet'!$B$9,Paramètres!$A$1:$I$89,3,0)*VLOOKUP('Données projet'!$B$9,Paramètres!$A$1:$I$89,5,0)</f>
        <v>6.7984728957526396E-14</v>
      </c>
      <c r="P128" s="14">
        <f t="shared" si="87"/>
        <v>1.0682447123141398E-12</v>
      </c>
      <c r="Q128" s="22">
        <f t="shared" si="107"/>
        <v>1.978932943548152E-12</v>
      </c>
      <c r="R128" s="62">
        <f t="shared" si="55"/>
        <v>293.3333333333353</v>
      </c>
      <c r="S128" s="62">
        <f ca="1">AVERAGE(OFFSET($R$3,0,0,'Données projet'!$E$9+1,1))-AVERAGE(OFFSET($H$3,0,0,'Données projet'!$E$9+1,1))</f>
        <v>147.72913422715322</v>
      </c>
      <c r="T128" s="62">
        <f t="shared" si="88"/>
        <v>361.07991692964799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8.1247883736149973</v>
      </c>
      <c r="AA128" s="23">
        <f>EXP(-LN(2)/25)*AA127+(1-EXP(-LN(2)/25))/(LN(2)/25)*Calculateur!V128*Calculateur!X128*VLOOKUP('Données projet'!$B$9,Paramètres!$A$1:$I$89,3,0)*0.475*44/12</f>
        <v>3.1552456981027039</v>
      </c>
      <c r="AB128" s="23">
        <f>EXP(-LN(2)/2)*AB127+(1-EXP(-LN(2)/2))/(LN(2)/2)*V128*Y128*VLOOKUP('Données projet'!$B$9,Paramètres!$A$1:$I$89,3,0)*0.475*44/12</f>
        <v>2.1889543140544156E-13</v>
      </c>
      <c r="AC128" s="24">
        <f t="shared" si="57"/>
        <v>11.280034071717919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>
        <f>AI128*VLOOKUP('Données projet'!$B$10,Paramètres!$A$1:$I$89,3,0)*VLOOKUP('Données projet'!$B$10,Paramètres!$A$1:$I$89,5,0)</f>
        <v>0</v>
      </c>
      <c r="AK128" s="14" t="e">
        <f t="shared" si="89"/>
        <v>#NUM!</v>
      </c>
      <c r="AL128" s="22" t="e">
        <f t="shared" si="58"/>
        <v>#NUM!</v>
      </c>
      <c r="AM128" s="62" t="e">
        <f t="shared" si="59"/>
        <v>#NUM!</v>
      </c>
      <c r="AN128" s="62">
        <f ca="1">AVERAGE(OFFSET($AM$3,0,0,'Données projet'!$E$10+1,1))-AVERAGE(OFFSET($H$3,0,0,'Données projet'!$E$10+1,1))</f>
        <v>151.58413719376074</v>
      </c>
      <c r="AO128" s="62">
        <f t="shared" si="90"/>
        <v>310.105543138185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15.055177391712114</v>
      </c>
      <c r="AV128" s="23">
        <f>EXP(-LN(2)/25)*AV127+(1-EXP(-LN(2)/25))/(LN(2)/25)*Calculateur!AQ128*Calculateur!AS128*VLOOKUP('Données projet'!$B$10,Paramètres!$A$1:$I$89,3,0)*0.475*44/12</f>
        <v>0</v>
      </c>
      <c r="AW128" s="23">
        <f>EXP(-LN(2)/2)*AW127+(1-EXP(-LN(2)/2))/(LN(2)/2)*AQ128*AT128*VLOOKUP('Données projet'!$B$10,Paramètres!$A$1:$I$89,3,0)*0.475*44/12</f>
        <v>1.3363870549880978E-12</v>
      </c>
      <c r="AX128" s="23">
        <f t="shared" si="60"/>
        <v>15.05517739171345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75.347999999999914</v>
      </c>
      <c r="D129" s="12">
        <f t="shared" si="86"/>
        <v>20.995810517717022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10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743.70660750518334</v>
      </c>
      <c r="H129" s="70">
        <f t="shared" si="56"/>
        <v>461.1321366516903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1.1368683772161603E-13</v>
      </c>
      <c r="O129" s="14">
        <f>N129*VLOOKUP('Données projet'!$B$9,Paramètres!$A$1:$I$89,3,0)*VLOOKUP('Données projet'!$B$9,Paramètres!$A$1:$I$89,5,0)</f>
        <v>6.7984728957526396E-14</v>
      </c>
      <c r="P129" s="14">
        <f t="shared" si="87"/>
        <v>1.0682447123141398E-12</v>
      </c>
      <c r="Q129" s="22">
        <f t="shared" si="107"/>
        <v>1.978932943548152E-12</v>
      </c>
      <c r="R129" s="62">
        <f t="shared" si="55"/>
        <v>293.3333333333353</v>
      </c>
      <c r="S129" s="62">
        <f ca="1">AVERAGE(OFFSET($R$3,0,0,'Données projet'!$E$9+1,1))-AVERAGE(OFFSET($H$3,0,0,'Données projet'!$E$9+1,1))</f>
        <v>147.72913422715322</v>
      </c>
      <c r="T129" s="62">
        <f t="shared" si="88"/>
        <v>361.07991692964799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7.9654662292399872</v>
      </c>
      <c r="AA129" s="23">
        <f>EXP(-LN(2)/25)*AA128+(1-EXP(-LN(2)/25))/(LN(2)/25)*Calculateur!V129*Calculateur!X129*VLOOKUP('Données projet'!$B$9,Paramètres!$A$1:$I$89,3,0)*0.475*44/12</f>
        <v>3.0689653385609255</v>
      </c>
      <c r="AB129" s="23">
        <f>EXP(-LN(2)/2)*AB128+(1-EXP(-LN(2)/2))/(LN(2)/2)*V129*Y129*VLOOKUP('Données projet'!$B$9,Paramètres!$A$1:$I$89,3,0)*0.475*44/12</f>
        <v>1.5478244391754249E-13</v>
      </c>
      <c r="AC129" s="24">
        <f t="shared" si="57"/>
        <v>11.034431567801066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>
        <f>AI129*VLOOKUP('Données projet'!$B$10,Paramètres!$A$1:$I$89,3,0)*VLOOKUP('Données projet'!$B$10,Paramètres!$A$1:$I$89,5,0)</f>
        <v>0</v>
      </c>
      <c r="AK129" s="14" t="e">
        <f t="shared" si="89"/>
        <v>#NUM!</v>
      </c>
      <c r="AL129" s="22" t="e">
        <f t="shared" si="58"/>
        <v>#NUM!</v>
      </c>
      <c r="AM129" s="62" t="e">
        <f t="shared" si="59"/>
        <v>#NUM!</v>
      </c>
      <c r="AN129" s="62">
        <f ca="1">AVERAGE(OFFSET($AM$3,0,0,'Données projet'!$E$10+1,1))-AVERAGE(OFFSET($H$3,0,0,'Données projet'!$E$10+1,1))</f>
        <v>151.58413719376074</v>
      </c>
      <c r="AO129" s="62">
        <f t="shared" si="90"/>
        <v>310.105543138185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14.759954545812127</v>
      </c>
      <c r="AV129" s="23">
        <f>EXP(-LN(2)/25)*AV128+(1-EXP(-LN(2)/25))/(LN(2)/25)*Calculateur!AQ129*Calculateur!AS129*VLOOKUP('Données projet'!$B$10,Paramètres!$A$1:$I$89,3,0)*0.475*44/12</f>
        <v>0</v>
      </c>
      <c r="AW129" s="23">
        <f>EXP(-LN(2)/2)*AW128+(1-EXP(-LN(2)/2))/(LN(2)/2)*AQ129*AT129*VLOOKUP('Données projet'!$B$10,Paramètres!$A$1:$I$89,3,0)*0.475*44/12</f>
        <v>9.4496834887200354E-13</v>
      </c>
      <c r="AX129" s="23">
        <f t="shared" si="60"/>
        <v>14.759954545813072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75.945999999999913</v>
      </c>
      <c r="D130" s="12">
        <f t="shared" si="86"/>
        <v>21.142979995226813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10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749.45879294560984</v>
      </c>
      <c r="H130" s="70">
        <f t="shared" si="56"/>
        <v>462.4299734916865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1.1368683772161603E-13</v>
      </c>
      <c r="O130" s="14">
        <f>N130*VLOOKUP('Données projet'!$B$9,Paramètres!$A$1:$I$89,3,0)*VLOOKUP('Données projet'!$B$9,Paramètres!$A$1:$I$89,5,0)</f>
        <v>6.7984728957526396E-14</v>
      </c>
      <c r="P130" s="14">
        <f t="shared" si="87"/>
        <v>1.0682447123141398E-12</v>
      </c>
      <c r="Q130" s="22">
        <f t="shared" si="107"/>
        <v>1.978932943548152E-12</v>
      </c>
      <c r="R130" s="62">
        <f t="shared" si="55"/>
        <v>293.3333333333353</v>
      </c>
      <c r="S130" s="62">
        <f ca="1">AVERAGE(OFFSET($R$3,0,0,'Données projet'!$E$9+1,1))-AVERAGE(OFFSET($H$3,0,0,'Données projet'!$E$9+1,1))</f>
        <v>147.72913422715322</v>
      </c>
      <c r="T130" s="62">
        <f t="shared" si="88"/>
        <v>361.07991692964799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7.8092682949392582</v>
      </c>
      <c r="AA130" s="23">
        <f>EXP(-LN(2)/25)*AA129+(1-EXP(-LN(2)/25))/(LN(2)/25)*Calculateur!V130*Calculateur!X130*VLOOKUP('Données projet'!$B$9,Paramètres!$A$1:$I$89,3,0)*0.475*44/12</f>
        <v>2.9850443199881038</v>
      </c>
      <c r="AB130" s="23">
        <f>EXP(-LN(2)/2)*AB129+(1-EXP(-LN(2)/2))/(LN(2)/2)*V130*Y130*VLOOKUP('Données projet'!$B$9,Paramètres!$A$1:$I$89,3,0)*0.475*44/12</f>
        <v>1.0944771570272078E-13</v>
      </c>
      <c r="AC130" s="24">
        <f t="shared" si="57"/>
        <v>10.794312614927472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>
        <f>AI130*VLOOKUP('Données projet'!$B$10,Paramètres!$A$1:$I$89,3,0)*VLOOKUP('Données projet'!$B$10,Paramètres!$A$1:$I$89,5,0)</f>
        <v>0</v>
      </c>
      <c r="AK130" s="14" t="e">
        <f t="shared" si="89"/>
        <v>#NUM!</v>
      </c>
      <c r="AL130" s="22" t="e">
        <f t="shared" si="58"/>
        <v>#NUM!</v>
      </c>
      <c r="AM130" s="62" t="e">
        <f t="shared" si="59"/>
        <v>#NUM!</v>
      </c>
      <c r="AN130" s="62">
        <f ca="1">AVERAGE(OFFSET($AM$3,0,0,'Données projet'!$E$10+1,1))-AVERAGE(OFFSET($H$3,0,0,'Données projet'!$E$10+1,1))</f>
        <v>151.58413719376074</v>
      </c>
      <c r="AO130" s="62">
        <f t="shared" si="90"/>
        <v>310.105543138185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14.470520839852083</v>
      </c>
      <c r="AV130" s="23">
        <f>EXP(-LN(2)/25)*AV129+(1-EXP(-LN(2)/25))/(LN(2)/25)*Calculateur!AQ130*Calculateur!AS130*VLOOKUP('Données projet'!$B$10,Paramètres!$A$1:$I$89,3,0)*0.475*44/12</f>
        <v>0</v>
      </c>
      <c r="AW130" s="23">
        <f>EXP(-LN(2)/2)*AW129+(1-EXP(-LN(2)/2))/(LN(2)/2)*AQ130*AT130*VLOOKUP('Données projet'!$B$10,Paramètres!$A$1:$I$89,3,0)*0.475*44/12</f>
        <v>6.6819352749404892E-13</v>
      </c>
      <c r="AX130" s="23">
        <f t="shared" si="60"/>
        <v>14.470520839852751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76.543999999999912</v>
      </c>
      <c r="D131" s="12">
        <f t="shared" si="86"/>
        <v>21.290014647017198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10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755.20993762609703</v>
      </c>
      <c r="H131" s="70">
        <f t="shared" si="56"/>
        <v>463.72757551022141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1.1368683772161603E-13</v>
      </c>
      <c r="O131" s="14">
        <f>N131*VLOOKUP('Données projet'!$B$9,Paramètres!$A$1:$I$89,3,0)*VLOOKUP('Données projet'!$B$9,Paramètres!$A$1:$I$89,5,0)</f>
        <v>6.7984728957526396E-14</v>
      </c>
      <c r="P131" s="14">
        <f t="shared" si="87"/>
        <v>1.0682447123141398E-12</v>
      </c>
      <c r="Q131" s="22">
        <f t="shared" ref="Q131:Q153" si="108">(O131+P131)*0.475*44/12</f>
        <v>1.978932943548152E-12</v>
      </c>
      <c r="R131" s="62">
        <f t="shared" ref="R131:R194" si="109">Q131+(I131+J131)*44/12</f>
        <v>293.3333333333353</v>
      </c>
      <c r="S131" s="62">
        <f ca="1">AVERAGE(OFFSET($R$3,0,0,'Données projet'!$E$9+1,1))-AVERAGE(OFFSET($H$3,0,0,'Données projet'!$E$9+1,1))</f>
        <v>147.72913422715322</v>
      </c>
      <c r="T131" s="62">
        <f t="shared" si="88"/>
        <v>361.07991692964799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7.656133306858834</v>
      </c>
      <c r="AA131" s="23">
        <f>EXP(-LN(2)/25)*AA130+(1-EXP(-LN(2)/25))/(LN(2)/25)*Calculateur!V131*Calculateur!X131*VLOOKUP('Données projet'!$B$9,Paramètres!$A$1:$I$89,3,0)*0.475*44/12</f>
        <v>2.903418126081371</v>
      </c>
      <c r="AB131" s="23">
        <f>EXP(-LN(2)/2)*AB130+(1-EXP(-LN(2)/2))/(LN(2)/2)*V131*Y131*VLOOKUP('Données projet'!$B$9,Paramètres!$A$1:$I$89,3,0)*0.475*44/12</f>
        <v>7.7391221958771245E-14</v>
      </c>
      <c r="AC131" s="24">
        <f t="shared" si="57"/>
        <v>10.559551432940284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>
        <f>AI131*VLOOKUP('Données projet'!$B$10,Paramètres!$A$1:$I$89,3,0)*VLOOKUP('Données projet'!$B$10,Paramètres!$A$1:$I$89,5,0)</f>
        <v>0</v>
      </c>
      <c r="AK131" s="14" t="e">
        <f t="shared" si="89"/>
        <v>#NUM!</v>
      </c>
      <c r="AL131" s="22" t="e">
        <f t="shared" si="58"/>
        <v>#NUM!</v>
      </c>
      <c r="AM131" s="62" t="e">
        <f t="shared" si="59"/>
        <v>#NUM!</v>
      </c>
      <c r="AN131" s="62">
        <f ca="1">AVERAGE(OFFSET($AM$3,0,0,'Données projet'!$E$10+1,1))-AVERAGE(OFFSET($H$3,0,0,'Données projet'!$E$10+1,1))</f>
        <v>151.58413719376074</v>
      </c>
      <c r="AO131" s="62">
        <f t="shared" si="90"/>
        <v>310.105543138185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14.186762752328788</v>
      </c>
      <c r="AV131" s="23">
        <f>EXP(-LN(2)/25)*AV130+(1-EXP(-LN(2)/25))/(LN(2)/25)*Calculateur!AQ131*Calculateur!AS131*VLOOKUP('Données projet'!$B$10,Paramètres!$A$1:$I$89,3,0)*0.475*44/12</f>
        <v>0</v>
      </c>
      <c r="AW131" s="23">
        <f>EXP(-LN(2)/2)*AW130+(1-EXP(-LN(2)/2))/(LN(2)/2)*AQ131*AT131*VLOOKUP('Données projet'!$B$10,Paramètres!$A$1:$I$89,3,0)*0.475*44/12</f>
        <v>4.7248417443600177E-13</v>
      </c>
      <c r="AX131" s="23">
        <f t="shared" si="60"/>
        <v>14.18676275232926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77.141999999999911</v>
      </c>
      <c r="D132" s="12">
        <f t="shared" si="86"/>
        <v>21.436915648510737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10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760.96005062008214</v>
      </c>
      <c r="H132" s="70">
        <f t="shared" ref="H132:H195" si="110">(B132+E132+F132)*44/12+(C132+D132)*0.475*44/12</f>
        <v>465.0249447544893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1.1368683772161603E-13</v>
      </c>
      <c r="O132" s="14">
        <f>N132*VLOOKUP('Données projet'!$B$9,Paramètres!$A$1:$I$89,3,0)*VLOOKUP('Données projet'!$B$9,Paramètres!$A$1:$I$89,5,0)</f>
        <v>6.7984728957526396E-14</v>
      </c>
      <c r="P132" s="14">
        <f t="shared" si="87"/>
        <v>1.0682447123141398E-12</v>
      </c>
      <c r="Q132" s="22">
        <f t="shared" si="108"/>
        <v>1.978932943548152E-12</v>
      </c>
      <c r="R132" s="62">
        <f t="shared" si="109"/>
        <v>293.3333333333353</v>
      </c>
      <c r="S132" s="62">
        <f ca="1">AVERAGE(OFFSET($R$3,0,0,'Données projet'!$E$9+1,1))-AVERAGE(OFFSET($H$3,0,0,'Données projet'!$E$9+1,1))</f>
        <v>147.72913422715322</v>
      </c>
      <c r="T132" s="62">
        <f t="shared" si="88"/>
        <v>361.07991692964799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7.5060012024915466</v>
      </c>
      <c r="AA132" s="23">
        <f>EXP(-LN(2)/25)*AA131+(1-EXP(-LN(2)/25))/(LN(2)/25)*Calculateur!V132*Calculateur!X132*VLOOKUP('Données projet'!$B$9,Paramètres!$A$1:$I$89,3,0)*0.475*44/12</f>
        <v>2.8240240047395524</v>
      </c>
      <c r="AB132" s="23">
        <f>EXP(-LN(2)/2)*AB131+(1-EXP(-LN(2)/2))/(LN(2)/2)*V132*Y132*VLOOKUP('Données projet'!$B$9,Paramètres!$A$1:$I$89,3,0)*0.475*44/12</f>
        <v>5.4723857851360391E-14</v>
      </c>
      <c r="AC132" s="24">
        <f t="shared" ref="AC132:AC153" si="111">SUM(Z132:AB132)</f>
        <v>10.330025207231154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>
        <f>AI132*VLOOKUP('Données projet'!$B$10,Paramètres!$A$1:$I$89,3,0)*VLOOKUP('Données projet'!$B$10,Paramètres!$A$1:$I$89,5,0)</f>
        <v>0</v>
      </c>
      <c r="AK132" s="14" t="e">
        <f t="shared" si="89"/>
        <v>#NUM!</v>
      </c>
      <c r="AL132" s="22" t="e">
        <f t="shared" ref="AL132:AL153" si="112">(AJ132+AK132)*0.475*44/12</f>
        <v>#NUM!</v>
      </c>
      <c r="AM132" s="62" t="e">
        <f t="shared" ref="AM132:AM195" si="113">AL132+(AD132+AE132)*44/12</f>
        <v>#NUM!</v>
      </c>
      <c r="AN132" s="62">
        <f ca="1">AVERAGE(OFFSET($AM$3,0,0,'Données projet'!$E$10+1,1))-AVERAGE(OFFSET($H$3,0,0,'Données projet'!$E$10+1,1))</f>
        <v>151.58413719376074</v>
      </c>
      <c r="AO132" s="62">
        <f t="shared" si="90"/>
        <v>310.105543138185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13.908568987826479</v>
      </c>
      <c r="AV132" s="23">
        <f>EXP(-LN(2)/25)*AV131+(1-EXP(-LN(2)/25))/(LN(2)/25)*Calculateur!AQ132*Calculateur!AS132*VLOOKUP('Données projet'!$B$10,Paramètres!$A$1:$I$89,3,0)*0.475*44/12</f>
        <v>0</v>
      </c>
      <c r="AW132" s="23">
        <f>EXP(-LN(2)/2)*AW131+(1-EXP(-LN(2)/2))/(LN(2)/2)*AQ132*AT132*VLOOKUP('Données projet'!$B$10,Paramètres!$A$1:$I$89,3,0)*0.475*44/12</f>
        <v>3.3409676374702446E-13</v>
      </c>
      <c r="AX132" s="23">
        <f t="shared" ref="AX132:AX153" si="114">SUM(AU132:AW132)</f>
        <v>13.908568987826813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77.73999999999991</v>
      </c>
      <c r="D133" s="12">
        <f t="shared" ref="D133:D196" si="140">IFERROR(EXP(-1.0587+0.8836*LN(C133)+0.284),0)</f>
        <v>21.583684155853874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10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766.70914085220465</v>
      </c>
      <c r="H133" s="70">
        <f t="shared" si="110"/>
        <v>466.32208323811199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1.1368683772161603E-13</v>
      </c>
      <c r="O133" s="14">
        <f>N133*VLOOKUP('Données projet'!$B$9,Paramètres!$A$1:$I$89,3,0)*VLOOKUP('Données projet'!$B$9,Paramètres!$A$1:$I$89,5,0)</f>
        <v>6.7984728957526396E-14</v>
      </c>
      <c r="P133" s="14">
        <f t="shared" ref="P133:P196" si="141">EXP(-1.0587+0.8836*LN(O133)+0.284)</f>
        <v>1.0682447123141398E-12</v>
      </c>
      <c r="Q133" s="22">
        <f t="shared" si="108"/>
        <v>1.978932943548152E-12</v>
      </c>
      <c r="R133" s="62">
        <f t="shared" si="109"/>
        <v>293.3333333333353</v>
      </c>
      <c r="S133" s="62">
        <f ca="1">AVERAGE(OFFSET($R$3,0,0,'Données projet'!$E$9+1,1))-AVERAGE(OFFSET($H$3,0,0,'Données projet'!$E$9+1,1))</f>
        <v>147.72913422715322</v>
      </c>
      <c r="T133" s="62">
        <f t="shared" ref="T133:T196" si="142">$T$3</f>
        <v>361.07991692964799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7.3588130971193602</v>
      </c>
      <c r="AA133" s="23">
        <f>EXP(-LN(2)/25)*AA132+(1-EXP(-LN(2)/25))/(LN(2)/25)*Calculateur!V133*Calculateur!X133*VLOOKUP('Données projet'!$B$9,Paramètres!$A$1:$I$89,3,0)*0.475*44/12</f>
        <v>2.7468009198209815</v>
      </c>
      <c r="AB133" s="23">
        <f>EXP(-LN(2)/2)*AB132+(1-EXP(-LN(2)/2))/(LN(2)/2)*V133*Y133*VLOOKUP('Données projet'!$B$9,Paramètres!$A$1:$I$89,3,0)*0.475*44/12</f>
        <v>3.8695610979385622E-14</v>
      </c>
      <c r="AC133" s="24">
        <f t="shared" si="111"/>
        <v>10.105614016940381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>
        <f>AI133*VLOOKUP('Données projet'!$B$10,Paramètres!$A$1:$I$89,3,0)*VLOOKUP('Données projet'!$B$10,Paramètres!$A$1:$I$89,5,0)</f>
        <v>0</v>
      </c>
      <c r="AK133" s="14" t="e">
        <f t="shared" ref="AK133:AK153" si="143">EXP(-1.0587+0.8836*LN(AJ133)+0.284)</f>
        <v>#NUM!</v>
      </c>
      <c r="AL133" s="22" t="e">
        <f t="shared" si="112"/>
        <v>#NUM!</v>
      </c>
      <c r="AM133" s="62" t="e">
        <f t="shared" si="113"/>
        <v>#NUM!</v>
      </c>
      <c r="AN133" s="62">
        <f ca="1">AVERAGE(OFFSET($AM$3,0,0,'Données projet'!$E$10+1,1))-AVERAGE(OFFSET($H$3,0,0,'Données projet'!$E$10+1,1))</f>
        <v>151.58413719376074</v>
      </c>
      <c r="AO133" s="62">
        <f t="shared" ref="AO133:AO196" si="144">$AO$3</f>
        <v>310.105543138185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13.635830433364619</v>
      </c>
      <c r="AV133" s="23">
        <f>EXP(-LN(2)/25)*AV132+(1-EXP(-LN(2)/25))/(LN(2)/25)*Calculateur!AQ133*Calculateur!AS133*VLOOKUP('Données projet'!$B$10,Paramètres!$A$1:$I$89,3,0)*0.475*44/12</f>
        <v>0</v>
      </c>
      <c r="AW133" s="23">
        <f>EXP(-LN(2)/2)*AW132+(1-EXP(-LN(2)/2))/(LN(2)/2)*AQ133*AT133*VLOOKUP('Données projet'!$B$10,Paramètres!$A$1:$I$89,3,0)*0.475*44/12</f>
        <v>2.3624208721800089E-13</v>
      </c>
      <c r="AX133" s="23">
        <f t="shared" si="114"/>
        <v>13.635830433364855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78.337999999999909</v>
      </c>
      <c r="D134" s="12">
        <f t="shared" si="140"/>
        <v>21.730321306378883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10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772.45721710187138</v>
      </c>
      <c r="H134" s="70">
        <f t="shared" si="110"/>
        <v>467.61899294194302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1.1368683772161603E-13</v>
      </c>
      <c r="O134" s="14">
        <f>N134*VLOOKUP('Données projet'!$B$9,Paramètres!$A$1:$I$89,3,0)*VLOOKUP('Données projet'!$B$9,Paramètres!$A$1:$I$89,5,0)</f>
        <v>6.7984728957526396E-14</v>
      </c>
      <c r="P134" s="14">
        <f t="shared" si="141"/>
        <v>1.0682447123141398E-12</v>
      </c>
      <c r="Q134" s="22">
        <f t="shared" si="108"/>
        <v>1.978932943548152E-12</v>
      </c>
      <c r="R134" s="62">
        <f t="shared" si="109"/>
        <v>293.3333333333353</v>
      </c>
      <c r="S134" s="62">
        <f ca="1">AVERAGE(OFFSET($R$3,0,0,'Données projet'!$E$9+1,1))-AVERAGE(OFFSET($H$3,0,0,'Données projet'!$E$9+1,1))</f>
        <v>147.72913422715322</v>
      </c>
      <c r="T134" s="62">
        <f t="shared" si="142"/>
        <v>361.07991692964799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7.2145112607176429</v>
      </c>
      <c r="AA134" s="23">
        <f>EXP(-LN(2)/25)*AA133+(1-EXP(-LN(2)/25))/(LN(2)/25)*Calculateur!V134*Calculateur!X134*VLOOKUP('Données projet'!$B$9,Paramètres!$A$1:$I$89,3,0)*0.475*44/12</f>
        <v>2.6716895042204944</v>
      </c>
      <c r="AB134" s="23">
        <f>EXP(-LN(2)/2)*AB133+(1-EXP(-LN(2)/2))/(LN(2)/2)*V134*Y134*VLOOKUP('Données projet'!$B$9,Paramètres!$A$1:$I$89,3,0)*0.475*44/12</f>
        <v>2.7361928925680196E-14</v>
      </c>
      <c r="AC134" s="24">
        <f t="shared" si="111"/>
        <v>9.8862007649381649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>
        <f>AI134*VLOOKUP('Données projet'!$B$10,Paramètres!$A$1:$I$89,3,0)*VLOOKUP('Données projet'!$B$10,Paramètres!$A$1:$I$89,5,0)</f>
        <v>0</v>
      </c>
      <c r="AK134" s="14" t="e">
        <f t="shared" si="143"/>
        <v>#NUM!</v>
      </c>
      <c r="AL134" s="22" t="e">
        <f t="shared" si="112"/>
        <v>#NUM!</v>
      </c>
      <c r="AM134" s="62" t="e">
        <f t="shared" si="113"/>
        <v>#NUM!</v>
      </c>
      <c r="AN134" s="62">
        <f ca="1">AVERAGE(OFFSET($AM$3,0,0,'Données projet'!$E$10+1,1))-AVERAGE(OFFSET($H$3,0,0,'Données projet'!$E$10+1,1))</f>
        <v>151.58413719376074</v>
      </c>
      <c r="AO134" s="62">
        <f t="shared" si="144"/>
        <v>310.105543138185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13.368440115601665</v>
      </c>
      <c r="AV134" s="23">
        <f>EXP(-LN(2)/25)*AV133+(1-EXP(-LN(2)/25))/(LN(2)/25)*Calculateur!AQ134*Calculateur!AS134*VLOOKUP('Données projet'!$B$10,Paramètres!$A$1:$I$89,3,0)*0.475*44/12</f>
        <v>0</v>
      </c>
      <c r="AW134" s="23">
        <f>EXP(-LN(2)/2)*AW133+(1-EXP(-LN(2)/2))/(LN(2)/2)*AQ134*AT134*VLOOKUP('Données projet'!$B$10,Paramètres!$A$1:$I$89,3,0)*0.475*44/12</f>
        <v>1.6704838187351223E-13</v>
      </c>
      <c r="AX134" s="23">
        <f t="shared" si="114"/>
        <v>13.368440115601832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78.935999999999908</v>
      </c>
      <c r="D135" s="12">
        <f t="shared" si="140"/>
        <v>21.876828219051234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10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778.20428800671061</v>
      </c>
      <c r="H135" s="70">
        <f t="shared" si="110"/>
        <v>468.91567581484742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1.1368683772161603E-13</v>
      </c>
      <c r="O135" s="14">
        <f>N135*VLOOKUP('Données projet'!$B$9,Paramètres!$A$1:$I$89,3,0)*VLOOKUP('Données projet'!$B$9,Paramètres!$A$1:$I$89,5,0)</f>
        <v>6.7984728957526396E-14</v>
      </c>
      <c r="P135" s="14">
        <f t="shared" si="141"/>
        <v>1.0682447123141398E-12</v>
      </c>
      <c r="Q135" s="22">
        <f t="shared" si="108"/>
        <v>1.978932943548152E-12</v>
      </c>
      <c r="R135" s="62">
        <f t="shared" si="109"/>
        <v>293.3333333333353</v>
      </c>
      <c r="S135" s="62">
        <f ca="1">AVERAGE(OFFSET($R$3,0,0,'Données projet'!$E$9+1,1))-AVERAGE(OFFSET($H$3,0,0,'Données projet'!$E$9+1,1))</f>
        <v>147.72913422715322</v>
      </c>
      <c r="T135" s="62">
        <f t="shared" si="142"/>
        <v>361.07991692964799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7.0730390953123337</v>
      </c>
      <c r="AA135" s="23">
        <f>EXP(-LN(2)/25)*AA134+(1-EXP(-LN(2)/25))/(LN(2)/25)*Calculateur!V135*Calculateur!X135*VLOOKUP('Données projet'!$B$9,Paramètres!$A$1:$I$89,3,0)*0.475*44/12</f>
        <v>2.59863201422954</v>
      </c>
      <c r="AB135" s="23">
        <f>EXP(-LN(2)/2)*AB134+(1-EXP(-LN(2)/2))/(LN(2)/2)*V135*Y135*VLOOKUP('Données projet'!$B$9,Paramètres!$A$1:$I$89,3,0)*0.475*44/12</f>
        <v>1.9347805489692811E-14</v>
      </c>
      <c r="AC135" s="24">
        <f t="shared" si="111"/>
        <v>9.6716711095418937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>
        <f>AI135*VLOOKUP('Données projet'!$B$10,Paramètres!$A$1:$I$89,3,0)*VLOOKUP('Données projet'!$B$10,Paramètres!$A$1:$I$89,5,0)</f>
        <v>0</v>
      </c>
      <c r="AK135" s="14" t="e">
        <f t="shared" si="143"/>
        <v>#NUM!</v>
      </c>
      <c r="AL135" s="22" t="e">
        <f t="shared" si="112"/>
        <v>#NUM!</v>
      </c>
      <c r="AM135" s="62" t="e">
        <f t="shared" si="113"/>
        <v>#NUM!</v>
      </c>
      <c r="AN135" s="62">
        <f ca="1">AVERAGE(OFFSET($AM$3,0,0,'Données projet'!$E$10+1,1))-AVERAGE(OFFSET($H$3,0,0,'Données projet'!$E$10+1,1))</f>
        <v>151.58413719376074</v>
      </c>
      <c r="AO135" s="62">
        <f t="shared" si="144"/>
        <v>310.105543138185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13.106293158878051</v>
      </c>
      <c r="AV135" s="23">
        <f>EXP(-LN(2)/25)*AV134+(1-EXP(-LN(2)/25))/(LN(2)/25)*Calculateur!AQ135*Calculateur!AS135*VLOOKUP('Données projet'!$B$10,Paramètres!$A$1:$I$89,3,0)*0.475*44/12</f>
        <v>0</v>
      </c>
      <c r="AW135" s="23">
        <f>EXP(-LN(2)/2)*AW134+(1-EXP(-LN(2)/2))/(LN(2)/2)*AQ135*AT135*VLOOKUP('Données projet'!$B$10,Paramètres!$A$1:$I$89,3,0)*0.475*44/12</f>
        <v>1.1812104360900044E-13</v>
      </c>
      <c r="AX135" s="23">
        <f t="shared" si="114"/>
        <v>13.106293158878168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79.533999999999907</v>
      </c>
      <c r="D136" s="12">
        <f t="shared" si="140"/>
        <v>22.023205994903051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10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783.9503620659176</v>
      </c>
      <c r="H136" s="70">
        <f t="shared" si="110"/>
        <v>470.21213377445594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1.1368683772161603E-13</v>
      </c>
      <c r="O136" s="14">
        <f>N136*VLOOKUP('Données projet'!$B$9,Paramètres!$A$1:$I$89,3,0)*VLOOKUP('Données projet'!$B$9,Paramètres!$A$1:$I$89,5,0)</f>
        <v>6.7984728957526396E-14</v>
      </c>
      <c r="P136" s="14">
        <f t="shared" si="141"/>
        <v>1.0682447123141398E-12</v>
      </c>
      <c r="Q136" s="22">
        <f t="shared" si="108"/>
        <v>1.978932943548152E-12</v>
      </c>
      <c r="R136" s="62">
        <f t="shared" si="109"/>
        <v>293.3333333333353</v>
      </c>
      <c r="S136" s="62">
        <f ca="1">AVERAGE(OFFSET($R$3,0,0,'Données projet'!$E$9+1,1))-AVERAGE(OFFSET($H$3,0,0,'Données projet'!$E$9+1,1))</f>
        <v>147.72913422715322</v>
      </c>
      <c r="T136" s="62">
        <f t="shared" si="142"/>
        <v>361.07991692964799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6.9343411127811221</v>
      </c>
      <c r="AA136" s="23">
        <f>EXP(-LN(2)/25)*AA135+(1-EXP(-LN(2)/25))/(LN(2)/25)*Calculateur!V136*Calculateur!X136*VLOOKUP('Données projet'!$B$9,Paramètres!$A$1:$I$89,3,0)*0.475*44/12</f>
        <v>2.527572285144315</v>
      </c>
      <c r="AB136" s="23">
        <f>EXP(-LN(2)/2)*AB135+(1-EXP(-LN(2)/2))/(LN(2)/2)*V136*Y136*VLOOKUP('Données projet'!$B$9,Paramètres!$A$1:$I$89,3,0)*0.475*44/12</f>
        <v>1.3680964462840098E-14</v>
      </c>
      <c r="AC136" s="24">
        <f t="shared" si="111"/>
        <v>9.4619133979254517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>
        <f>AI136*VLOOKUP('Données projet'!$B$10,Paramètres!$A$1:$I$89,3,0)*VLOOKUP('Données projet'!$B$10,Paramètres!$A$1:$I$89,5,0)</f>
        <v>0</v>
      </c>
      <c r="AK136" s="14" t="e">
        <f t="shared" si="143"/>
        <v>#NUM!</v>
      </c>
      <c r="AL136" s="22" t="e">
        <f t="shared" si="112"/>
        <v>#NUM!</v>
      </c>
      <c r="AM136" s="62" t="e">
        <f t="shared" si="113"/>
        <v>#NUM!</v>
      </c>
      <c r="AN136" s="62">
        <f ca="1">AVERAGE(OFFSET($AM$3,0,0,'Données projet'!$E$10+1,1))-AVERAGE(OFFSET($H$3,0,0,'Données projet'!$E$10+1,1))</f>
        <v>151.58413719376074</v>
      </c>
      <c r="AO136" s="62">
        <f t="shared" si="144"/>
        <v>310.105543138185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12.849286744081933</v>
      </c>
      <c r="AV136" s="23">
        <f>EXP(-LN(2)/25)*AV135+(1-EXP(-LN(2)/25))/(LN(2)/25)*Calculateur!AQ136*Calculateur!AS136*VLOOKUP('Données projet'!$B$10,Paramètres!$A$1:$I$89,3,0)*0.475*44/12</f>
        <v>0</v>
      </c>
      <c r="AW136" s="23">
        <f>EXP(-LN(2)/2)*AW135+(1-EXP(-LN(2)/2))/(LN(2)/2)*AQ136*AT136*VLOOKUP('Données projet'!$B$10,Paramètres!$A$1:$I$89,3,0)*0.475*44/12</f>
        <v>8.3524190936756116E-14</v>
      </c>
      <c r="AX136" s="23">
        <f t="shared" si="114"/>
        <v>12.849286744082017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80.131999999999906</v>
      </c>
      <c r="D137" s="12">
        <f t="shared" si="140"/>
        <v>22.16945571745314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10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789.69544764349723</v>
      </c>
      <c r="H137" s="70">
        <f t="shared" si="110"/>
        <v>471.50836870789738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1.1368683772161603E-13</v>
      </c>
      <c r="O137" s="14">
        <f>N137*VLOOKUP('Données projet'!$B$9,Paramètres!$A$1:$I$89,3,0)*VLOOKUP('Données projet'!$B$9,Paramètres!$A$1:$I$89,5,0)</f>
        <v>6.7984728957526396E-14</v>
      </c>
      <c r="P137" s="14">
        <f t="shared" si="141"/>
        <v>1.0682447123141398E-12</v>
      </c>
      <c r="Q137" s="22">
        <f t="shared" si="108"/>
        <v>1.978932943548152E-12</v>
      </c>
      <c r="R137" s="62">
        <f t="shared" si="109"/>
        <v>293.3333333333353</v>
      </c>
      <c r="S137" s="62">
        <f ca="1">AVERAGE(OFFSET($R$3,0,0,'Données projet'!$E$9+1,1))-AVERAGE(OFFSET($H$3,0,0,'Données projet'!$E$9+1,1))</f>
        <v>147.72913422715322</v>
      </c>
      <c r="T137" s="62">
        <f t="shared" si="142"/>
        <v>361.07991692964799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6.7983629130899317</v>
      </c>
      <c r="AA137" s="23">
        <f>EXP(-LN(2)/25)*AA136+(1-EXP(-LN(2)/25))/(LN(2)/25)*Calculateur!V137*Calculateur!X137*VLOOKUP('Données projet'!$B$9,Paramètres!$A$1:$I$89,3,0)*0.475*44/12</f>
        <v>2.4584556880877941</v>
      </c>
      <c r="AB137" s="23">
        <f>EXP(-LN(2)/2)*AB136+(1-EXP(-LN(2)/2))/(LN(2)/2)*V137*Y137*VLOOKUP('Données projet'!$B$9,Paramètres!$A$1:$I$89,3,0)*0.475*44/12</f>
        <v>9.6739027448464056E-15</v>
      </c>
      <c r="AC137" s="24">
        <f t="shared" si="111"/>
        <v>9.2568186011777343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>
        <f>AI137*VLOOKUP('Données projet'!$B$10,Paramètres!$A$1:$I$89,3,0)*VLOOKUP('Données projet'!$B$10,Paramètres!$A$1:$I$89,5,0)</f>
        <v>0</v>
      </c>
      <c r="AK137" s="14" t="e">
        <f t="shared" si="143"/>
        <v>#NUM!</v>
      </c>
      <c r="AL137" s="22" t="e">
        <f t="shared" si="112"/>
        <v>#NUM!</v>
      </c>
      <c r="AM137" s="62" t="e">
        <f t="shared" si="113"/>
        <v>#NUM!</v>
      </c>
      <c r="AN137" s="62">
        <f ca="1">AVERAGE(OFFSET($AM$3,0,0,'Données projet'!$E$10+1,1))-AVERAGE(OFFSET($H$3,0,0,'Données projet'!$E$10+1,1))</f>
        <v>151.58413719376074</v>
      </c>
      <c r="AO137" s="62">
        <f t="shared" si="144"/>
        <v>310.105543138185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12.597320068321531</v>
      </c>
      <c r="AV137" s="23">
        <f>EXP(-LN(2)/25)*AV136+(1-EXP(-LN(2)/25))/(LN(2)/25)*Calculateur!AQ137*Calculateur!AS137*VLOOKUP('Données projet'!$B$10,Paramètres!$A$1:$I$89,3,0)*0.475*44/12</f>
        <v>0</v>
      </c>
      <c r="AW137" s="23">
        <f>EXP(-LN(2)/2)*AW136+(1-EXP(-LN(2)/2))/(LN(2)/2)*AQ137*AT137*VLOOKUP('Données projet'!$B$10,Paramètres!$A$1:$I$89,3,0)*0.475*44/12</f>
        <v>5.9060521804500221E-14</v>
      </c>
      <c r="AX137" s="23">
        <f t="shared" si="114"/>
        <v>12.59732006832159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80.729999999999905</v>
      </c>
      <c r="D138" s="12">
        <f t="shared" si="140"/>
        <v>22.31557845311416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10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795.4395529714069</v>
      </c>
      <c r="H138" s="70">
        <f t="shared" si="110"/>
        <v>472.80438247250697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1.1368683772161603E-13</v>
      </c>
      <c r="O138" s="14">
        <f>N138*VLOOKUP('Données projet'!$B$9,Paramètres!$A$1:$I$89,3,0)*VLOOKUP('Données projet'!$B$9,Paramètres!$A$1:$I$89,5,0)</f>
        <v>6.7984728957526396E-14</v>
      </c>
      <c r="P138" s="14">
        <f t="shared" si="141"/>
        <v>1.0682447123141398E-12</v>
      </c>
      <c r="Q138" s="22">
        <f t="shared" si="108"/>
        <v>1.978932943548152E-12</v>
      </c>
      <c r="R138" s="62">
        <f t="shared" si="109"/>
        <v>293.3333333333353</v>
      </c>
      <c r="S138" s="62">
        <f ca="1">AVERAGE(OFFSET($R$3,0,0,'Données projet'!$E$9+1,1))-AVERAGE(OFFSET($H$3,0,0,'Données projet'!$E$9+1,1))</f>
        <v>147.72913422715322</v>
      </c>
      <c r="T138" s="62">
        <f t="shared" si="142"/>
        <v>361.07991692964799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6.6650511629561731</v>
      </c>
      <c r="AA138" s="23">
        <f>EXP(-LN(2)/25)*AA137+(1-EXP(-LN(2)/25))/(LN(2)/25)*Calculateur!V138*Calculateur!X138*VLOOKUP('Données projet'!$B$9,Paramètres!$A$1:$I$89,3,0)*0.475*44/12</f>
        <v>2.3912290880124676</v>
      </c>
      <c r="AB138" s="23">
        <f>EXP(-LN(2)/2)*AB137+(1-EXP(-LN(2)/2))/(LN(2)/2)*V138*Y138*VLOOKUP('Données projet'!$B$9,Paramètres!$A$1:$I$89,3,0)*0.475*44/12</f>
        <v>6.8404822314200489E-15</v>
      </c>
      <c r="AC138" s="24">
        <f t="shared" si="111"/>
        <v>9.0562802509686477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>
        <f>AI138*VLOOKUP('Données projet'!$B$10,Paramètres!$A$1:$I$89,3,0)*VLOOKUP('Données projet'!$B$10,Paramètres!$A$1:$I$89,5,0)</f>
        <v>0</v>
      </c>
      <c r="AK138" s="14" t="e">
        <f t="shared" si="143"/>
        <v>#NUM!</v>
      </c>
      <c r="AL138" s="22" t="e">
        <f t="shared" si="112"/>
        <v>#NUM!</v>
      </c>
      <c r="AM138" s="62" t="e">
        <f t="shared" si="113"/>
        <v>#NUM!</v>
      </c>
      <c r="AN138" s="62">
        <f ca="1">AVERAGE(OFFSET($AM$3,0,0,'Données projet'!$E$10+1,1))-AVERAGE(OFFSET($H$3,0,0,'Données projet'!$E$10+1,1))</f>
        <v>151.58413719376074</v>
      </c>
      <c r="AO138" s="62">
        <f t="shared" si="144"/>
        <v>310.105543138185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12.350294305388294</v>
      </c>
      <c r="AV138" s="23">
        <f>EXP(-LN(2)/25)*AV137+(1-EXP(-LN(2)/25))/(LN(2)/25)*Calculateur!AQ138*Calculateur!AS138*VLOOKUP('Données projet'!$B$10,Paramètres!$A$1:$I$89,3,0)*0.475*44/12</f>
        <v>0</v>
      </c>
      <c r="AW138" s="23">
        <f>EXP(-LN(2)/2)*AW137+(1-EXP(-LN(2)/2))/(LN(2)/2)*AQ138*AT138*VLOOKUP('Données projet'!$B$10,Paramètres!$A$1:$I$89,3,0)*0.475*44/12</f>
        <v>4.1762095468378058E-14</v>
      </c>
      <c r="AX138" s="23">
        <f t="shared" si="114"/>
        <v>12.350294305388337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81.327999999999903</v>
      </c>
      <c r="D139" s="12">
        <f t="shared" si="140"/>
        <v>22.461575251587284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10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801.18268615260297</v>
      </c>
      <c r="H139" s="70">
        <f t="shared" si="110"/>
        <v>474.10017689651431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1.1368683772161603E-13</v>
      </c>
      <c r="O139" s="14">
        <f>N139*VLOOKUP('Données projet'!$B$9,Paramètres!$A$1:$I$89,3,0)*VLOOKUP('Données projet'!$B$9,Paramètres!$A$1:$I$89,5,0)</f>
        <v>6.7984728957526396E-14</v>
      </c>
      <c r="P139" s="14">
        <f t="shared" si="141"/>
        <v>1.0682447123141398E-12</v>
      </c>
      <c r="Q139" s="22">
        <f t="shared" si="108"/>
        <v>1.978932943548152E-12</v>
      </c>
      <c r="R139" s="62">
        <f t="shared" si="109"/>
        <v>293.3333333333353</v>
      </c>
      <c r="S139" s="62">
        <f ca="1">AVERAGE(OFFSET($R$3,0,0,'Données projet'!$E$9+1,1))-AVERAGE(OFFSET($H$3,0,0,'Données projet'!$E$9+1,1))</f>
        <v>147.72913422715322</v>
      </c>
      <c r="T139" s="62">
        <f t="shared" si="142"/>
        <v>361.07991692964799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6.5343535749303987</v>
      </c>
      <c r="AA139" s="23">
        <f>EXP(-LN(2)/25)*AA138+(1-EXP(-LN(2)/25))/(LN(2)/25)*Calculateur!V139*Calculateur!X139*VLOOKUP('Données projet'!$B$9,Paramètres!$A$1:$I$89,3,0)*0.475*44/12</f>
        <v>2.3258408028514941</v>
      </c>
      <c r="AB139" s="23">
        <f>EXP(-LN(2)/2)*AB138+(1-EXP(-LN(2)/2))/(LN(2)/2)*V139*Y139*VLOOKUP('Données projet'!$B$9,Paramètres!$A$1:$I$89,3,0)*0.475*44/12</f>
        <v>4.8369513724232028E-15</v>
      </c>
      <c r="AC139" s="24">
        <f t="shared" si="111"/>
        <v>8.8601943777818981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>
        <f>AI139*VLOOKUP('Données projet'!$B$10,Paramètres!$A$1:$I$89,3,0)*VLOOKUP('Données projet'!$B$10,Paramètres!$A$1:$I$89,5,0)</f>
        <v>0</v>
      </c>
      <c r="AK139" s="14" t="e">
        <f t="shared" si="143"/>
        <v>#NUM!</v>
      </c>
      <c r="AL139" s="22" t="e">
        <f t="shared" si="112"/>
        <v>#NUM!</v>
      </c>
      <c r="AM139" s="62" t="e">
        <f t="shared" si="113"/>
        <v>#NUM!</v>
      </c>
      <c r="AN139" s="62">
        <f ca="1">AVERAGE(OFFSET($AM$3,0,0,'Données projet'!$E$10+1,1))-AVERAGE(OFFSET($H$3,0,0,'Données projet'!$E$10+1,1))</f>
        <v>151.58413719376074</v>
      </c>
      <c r="AO139" s="62">
        <f t="shared" si="144"/>
        <v>310.105543138185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12.10811256699534</v>
      </c>
      <c r="AV139" s="23">
        <f>EXP(-LN(2)/25)*AV138+(1-EXP(-LN(2)/25))/(LN(2)/25)*Calculateur!AQ139*Calculateur!AS139*VLOOKUP('Données projet'!$B$10,Paramètres!$A$1:$I$89,3,0)*0.475*44/12</f>
        <v>0</v>
      </c>
      <c r="AW139" s="23">
        <f>EXP(-LN(2)/2)*AW138+(1-EXP(-LN(2)/2))/(LN(2)/2)*AQ139*AT139*VLOOKUP('Données projet'!$B$10,Paramètres!$A$1:$I$89,3,0)*0.475*44/12</f>
        <v>2.9530260902250111E-14</v>
      </c>
      <c r="AX139" s="23">
        <f t="shared" si="114"/>
        <v>12.10811256699537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81.925999999999902</v>
      </c>
      <c r="D140" s="12">
        <f t="shared" si="140"/>
        <v>22.607447146245129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10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806.92485516399677</v>
      </c>
      <c r="H140" s="70">
        <f t="shared" si="110"/>
        <v>475.39575377971011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1.1368683772161603E-13</v>
      </c>
      <c r="O140" s="14">
        <f>N140*VLOOKUP('Données projet'!$B$9,Paramètres!$A$1:$I$89,3,0)*VLOOKUP('Données projet'!$B$9,Paramètres!$A$1:$I$89,5,0)</f>
        <v>6.7984728957526396E-14</v>
      </c>
      <c r="P140" s="14">
        <f t="shared" si="141"/>
        <v>1.0682447123141398E-12</v>
      </c>
      <c r="Q140" s="22">
        <f t="shared" si="108"/>
        <v>1.978932943548152E-12</v>
      </c>
      <c r="R140" s="62">
        <f t="shared" si="109"/>
        <v>293.3333333333353</v>
      </c>
      <c r="S140" s="62">
        <f ca="1">AVERAGE(OFFSET($R$3,0,0,'Données projet'!$E$9+1,1))-AVERAGE(OFFSET($H$3,0,0,'Données projet'!$E$9+1,1))</f>
        <v>147.72913422715322</v>
      </c>
      <c r="T140" s="62">
        <f t="shared" si="142"/>
        <v>361.07991692964799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6.4062188868881531</v>
      </c>
      <c r="AA140" s="23">
        <f>EXP(-LN(2)/25)*AA139+(1-EXP(-LN(2)/25))/(LN(2)/25)*Calculateur!V140*Calculateur!X140*VLOOKUP('Données projet'!$B$9,Paramètres!$A$1:$I$89,3,0)*0.475*44/12</f>
        <v>2.2622405637868681</v>
      </c>
      <c r="AB140" s="23">
        <f>EXP(-LN(2)/2)*AB139+(1-EXP(-LN(2)/2))/(LN(2)/2)*V140*Y140*VLOOKUP('Données projet'!$B$9,Paramètres!$A$1:$I$89,3,0)*0.475*44/12</f>
        <v>3.4202411157100244E-15</v>
      </c>
      <c r="AC140" s="24">
        <f t="shared" si="111"/>
        <v>8.6684594506750248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>
        <f>AI140*VLOOKUP('Données projet'!$B$10,Paramètres!$A$1:$I$89,3,0)*VLOOKUP('Données projet'!$B$10,Paramètres!$A$1:$I$89,5,0)</f>
        <v>0</v>
      </c>
      <c r="AK140" s="14" t="e">
        <f t="shared" si="143"/>
        <v>#NUM!</v>
      </c>
      <c r="AL140" s="22" t="e">
        <f t="shared" si="112"/>
        <v>#NUM!</v>
      </c>
      <c r="AM140" s="62" t="e">
        <f t="shared" si="113"/>
        <v>#NUM!</v>
      </c>
      <c r="AN140" s="62">
        <f ca="1">AVERAGE(OFFSET($AM$3,0,0,'Données projet'!$E$10+1,1))-AVERAGE(OFFSET($H$3,0,0,'Données projet'!$E$10+1,1))</f>
        <v>151.58413719376074</v>
      </c>
      <c r="AO140" s="62">
        <f t="shared" si="144"/>
        <v>310.105543138185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11.870679864775997</v>
      </c>
      <c r="AV140" s="23">
        <f>EXP(-LN(2)/25)*AV139+(1-EXP(-LN(2)/25))/(LN(2)/25)*Calculateur!AQ140*Calculateur!AS140*VLOOKUP('Données projet'!$B$10,Paramètres!$A$1:$I$89,3,0)*0.475*44/12</f>
        <v>0</v>
      </c>
      <c r="AW140" s="23">
        <f>EXP(-LN(2)/2)*AW139+(1-EXP(-LN(2)/2))/(LN(2)/2)*AQ140*AT140*VLOOKUP('Données projet'!$B$10,Paramètres!$A$1:$I$89,3,0)*0.475*44/12</f>
        <v>2.0881047734189029E-14</v>
      </c>
      <c r="AX140" s="23">
        <f t="shared" si="114"/>
        <v>11.870679864776019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82.523999999999901</v>
      </c>
      <c r="D141" s="12">
        <f t="shared" si="140"/>
        <v>22.75319515450283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10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812.66606785931936</v>
      </c>
      <c r="H141" s="70">
        <f t="shared" si="110"/>
        <v>476.69111489409227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1.1368683772161603E-13</v>
      </c>
      <c r="O141" s="14">
        <f>N141*VLOOKUP('Données projet'!$B$9,Paramètres!$A$1:$I$89,3,0)*VLOOKUP('Données projet'!$B$9,Paramètres!$A$1:$I$89,5,0)</f>
        <v>6.7984728957526396E-14</v>
      </c>
      <c r="P141" s="14">
        <f t="shared" si="141"/>
        <v>1.0682447123141398E-12</v>
      </c>
      <c r="Q141" s="22">
        <f t="shared" si="108"/>
        <v>1.978932943548152E-12</v>
      </c>
      <c r="R141" s="62">
        <f t="shared" si="109"/>
        <v>293.3333333333353</v>
      </c>
      <c r="S141" s="62">
        <f ca="1">AVERAGE(OFFSET($R$3,0,0,'Données projet'!$E$9+1,1))-AVERAGE(OFFSET($H$3,0,0,'Données projet'!$E$9+1,1))</f>
        <v>147.72913422715322</v>
      </c>
      <c r="T141" s="62">
        <f t="shared" si="142"/>
        <v>361.07991692964799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6.2805968419239733</v>
      </c>
      <c r="AA141" s="23">
        <f>EXP(-LN(2)/25)*AA140+(1-EXP(-LN(2)/25))/(LN(2)/25)*Calculateur!V141*Calculateur!X141*VLOOKUP('Données projet'!$B$9,Paramètres!$A$1:$I$89,3,0)*0.475*44/12</f>
        <v>2.2003794766040552</v>
      </c>
      <c r="AB141" s="23">
        <f>EXP(-LN(2)/2)*AB140+(1-EXP(-LN(2)/2))/(LN(2)/2)*V141*Y141*VLOOKUP('Données projet'!$B$9,Paramètres!$A$1:$I$89,3,0)*0.475*44/12</f>
        <v>2.4184756862116014E-15</v>
      </c>
      <c r="AC141" s="24">
        <f t="shared" si="111"/>
        <v>8.4809763185280307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>
        <f>AI141*VLOOKUP('Données projet'!$B$10,Paramètres!$A$1:$I$89,3,0)*VLOOKUP('Données projet'!$B$10,Paramètres!$A$1:$I$89,5,0)</f>
        <v>0</v>
      </c>
      <c r="AK141" s="14" t="e">
        <f t="shared" si="143"/>
        <v>#NUM!</v>
      </c>
      <c r="AL141" s="22" t="e">
        <f t="shared" si="112"/>
        <v>#NUM!</v>
      </c>
      <c r="AM141" s="62" t="e">
        <f t="shared" si="113"/>
        <v>#NUM!</v>
      </c>
      <c r="AN141" s="62">
        <f ca="1">AVERAGE(OFFSET($AM$3,0,0,'Données projet'!$E$10+1,1))-AVERAGE(OFFSET($H$3,0,0,'Données projet'!$E$10+1,1))</f>
        <v>151.58413719376074</v>
      </c>
      <c r="AO141" s="62">
        <f t="shared" si="144"/>
        <v>310.105543138185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11.637903073027527</v>
      </c>
      <c r="AV141" s="23">
        <f>EXP(-LN(2)/25)*AV140+(1-EXP(-LN(2)/25))/(LN(2)/25)*Calculateur!AQ141*Calculateur!AS141*VLOOKUP('Données projet'!$B$10,Paramètres!$A$1:$I$89,3,0)*0.475*44/12</f>
        <v>0</v>
      </c>
      <c r="AW141" s="23">
        <f>EXP(-LN(2)/2)*AW140+(1-EXP(-LN(2)/2))/(LN(2)/2)*AQ141*AT141*VLOOKUP('Données projet'!$B$10,Paramètres!$A$1:$I$89,3,0)*0.475*44/12</f>
        <v>1.4765130451125055E-14</v>
      </c>
      <c r="AX141" s="23">
        <f t="shared" si="114"/>
        <v>11.637903073027541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83.1219999999999</v>
      </c>
      <c r="D142" s="12">
        <f t="shared" si="140"/>
        <v>22.898820278178491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10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818.40633197190346</v>
      </c>
      <c r="H142" s="70">
        <f t="shared" si="110"/>
        <v>477.98626198449398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1.1368683772161603E-13</v>
      </c>
      <c r="O142" s="14">
        <f>N142*VLOOKUP('Données projet'!$B$9,Paramètres!$A$1:$I$89,3,0)*VLOOKUP('Données projet'!$B$9,Paramètres!$A$1:$I$89,5,0)</f>
        <v>6.7984728957526396E-14</v>
      </c>
      <c r="P142" s="14">
        <f t="shared" si="141"/>
        <v>1.0682447123141398E-12</v>
      </c>
      <c r="Q142" s="22">
        <f t="shared" si="108"/>
        <v>1.978932943548152E-12</v>
      </c>
      <c r="R142" s="62">
        <f t="shared" si="109"/>
        <v>293.3333333333353</v>
      </c>
      <c r="S142" s="62">
        <f ca="1">AVERAGE(OFFSET($R$3,0,0,'Données projet'!$E$9+1,1))-AVERAGE(OFFSET($H$3,0,0,'Données projet'!$E$9+1,1))</f>
        <v>147.72913422715322</v>
      </c>
      <c r="T142" s="62">
        <f t="shared" si="142"/>
        <v>361.07991692964799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6.1574381686396586</v>
      </c>
      <c r="AA142" s="23">
        <f>EXP(-LN(2)/25)*AA141+(1-EXP(-LN(2)/25))/(LN(2)/25)*Calculateur!V142*Calculateur!X142*VLOOKUP('Données projet'!$B$9,Paramètres!$A$1:$I$89,3,0)*0.475*44/12</f>
        <v>2.1402099841033895</v>
      </c>
      <c r="AB142" s="23">
        <f>EXP(-LN(2)/2)*AB141+(1-EXP(-LN(2)/2))/(LN(2)/2)*V142*Y142*VLOOKUP('Données projet'!$B$9,Paramètres!$A$1:$I$89,3,0)*0.475*44/12</f>
        <v>1.7101205578550122E-15</v>
      </c>
      <c r="AC142" s="24">
        <f t="shared" si="111"/>
        <v>8.297648152743049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>
        <f>AI142*VLOOKUP('Données projet'!$B$10,Paramètres!$A$1:$I$89,3,0)*VLOOKUP('Données projet'!$B$10,Paramètres!$A$1:$I$89,5,0)</f>
        <v>0</v>
      </c>
      <c r="AK142" s="14" t="e">
        <f t="shared" si="143"/>
        <v>#NUM!</v>
      </c>
      <c r="AL142" s="22" t="e">
        <f t="shared" si="112"/>
        <v>#NUM!</v>
      </c>
      <c r="AM142" s="62" t="e">
        <f t="shared" si="113"/>
        <v>#NUM!</v>
      </c>
      <c r="AN142" s="62">
        <f ca="1">AVERAGE(OFFSET($AM$3,0,0,'Données projet'!$E$10+1,1))-AVERAGE(OFFSET($H$3,0,0,'Données projet'!$E$10+1,1))</f>
        <v>151.58413719376074</v>
      </c>
      <c r="AO142" s="62">
        <f t="shared" si="144"/>
        <v>310.105543138185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11.40969089218542</v>
      </c>
      <c r="AV142" s="23">
        <f>EXP(-LN(2)/25)*AV141+(1-EXP(-LN(2)/25))/(LN(2)/25)*Calculateur!AQ142*Calculateur!AS142*VLOOKUP('Données projet'!$B$10,Paramètres!$A$1:$I$89,3,0)*0.475*44/12</f>
        <v>0</v>
      </c>
      <c r="AW142" s="23">
        <f>EXP(-LN(2)/2)*AW141+(1-EXP(-LN(2)/2))/(LN(2)/2)*AQ142*AT142*VLOOKUP('Données projet'!$B$10,Paramètres!$A$1:$I$89,3,0)*0.475*44/12</f>
        <v>1.0440523867094514E-14</v>
      </c>
      <c r="AX142" s="23">
        <f t="shared" si="114"/>
        <v>11.409690892185431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83.719999999999899</v>
      </c>
      <c r="D143" s="12">
        <f t="shared" si="140"/>
        <v>23.044323503842559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10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824.14565511738044</v>
      </c>
      <c r="H143" s="70">
        <f t="shared" si="110"/>
        <v>479.28119676919226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1.1368683772161603E-13</v>
      </c>
      <c r="O143" s="14">
        <f>N143*VLOOKUP('Données projet'!$B$9,Paramètres!$A$1:$I$89,3,0)*VLOOKUP('Données projet'!$B$9,Paramètres!$A$1:$I$89,5,0)</f>
        <v>6.7984728957526396E-14</v>
      </c>
      <c r="P143" s="14">
        <f t="shared" si="141"/>
        <v>1.0682447123141398E-12</v>
      </c>
      <c r="Q143" s="22">
        <f t="shared" si="108"/>
        <v>1.978932943548152E-12</v>
      </c>
      <c r="R143" s="62">
        <f t="shared" si="109"/>
        <v>293.3333333333353</v>
      </c>
      <c r="S143" s="62">
        <f ca="1">AVERAGE(OFFSET($R$3,0,0,'Données projet'!$E$9+1,1))-AVERAGE(OFFSET($H$3,0,0,'Données projet'!$E$9+1,1))</f>
        <v>147.72913422715322</v>
      </c>
      <c r="T143" s="62">
        <f t="shared" si="142"/>
        <v>361.07991692964799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6.0366945618190764</v>
      </c>
      <c r="AA143" s="23">
        <f>EXP(-LN(2)/25)*AA142+(1-EXP(-LN(2)/25))/(LN(2)/25)*Calculateur!V143*Calculateur!X143*VLOOKUP('Données projet'!$B$9,Paramètres!$A$1:$I$89,3,0)*0.475*44/12</f>
        <v>2.0816858295393308</v>
      </c>
      <c r="AB143" s="23">
        <f>EXP(-LN(2)/2)*AB142+(1-EXP(-LN(2)/2))/(LN(2)/2)*V143*Y143*VLOOKUP('Données projet'!$B$9,Paramètres!$A$1:$I$89,3,0)*0.475*44/12</f>
        <v>1.2092378431058007E-15</v>
      </c>
      <c r="AC143" s="24">
        <f t="shared" si="111"/>
        <v>8.1183803913584089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>
        <f>AI143*VLOOKUP('Données projet'!$B$10,Paramètres!$A$1:$I$89,3,0)*VLOOKUP('Données projet'!$B$10,Paramètres!$A$1:$I$89,5,0)</f>
        <v>0</v>
      </c>
      <c r="AK143" s="14" t="e">
        <f t="shared" si="143"/>
        <v>#NUM!</v>
      </c>
      <c r="AL143" s="22" t="e">
        <f t="shared" si="112"/>
        <v>#NUM!</v>
      </c>
      <c r="AM143" s="62" t="e">
        <f t="shared" si="113"/>
        <v>#NUM!</v>
      </c>
      <c r="AN143" s="62">
        <f ca="1">AVERAGE(OFFSET($AM$3,0,0,'Données projet'!$E$10+1,1))-AVERAGE(OFFSET($H$3,0,0,'Données projet'!$E$10+1,1))</f>
        <v>151.58413719376074</v>
      </c>
      <c r="AO143" s="62">
        <f t="shared" si="144"/>
        <v>310.105543138185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11.185953813013942</v>
      </c>
      <c r="AV143" s="23">
        <f>EXP(-LN(2)/25)*AV142+(1-EXP(-LN(2)/25))/(LN(2)/25)*Calculateur!AQ143*Calculateur!AS143*VLOOKUP('Données projet'!$B$10,Paramètres!$A$1:$I$89,3,0)*0.475*44/12</f>
        <v>0</v>
      </c>
      <c r="AW143" s="23">
        <f>EXP(-LN(2)/2)*AW142+(1-EXP(-LN(2)/2))/(LN(2)/2)*AQ143*AT143*VLOOKUP('Données projet'!$B$10,Paramètres!$A$1:$I$89,3,0)*0.475*44/12</f>
        <v>7.3825652255625277E-15</v>
      </c>
      <c r="AX143" s="23">
        <f t="shared" si="114"/>
        <v>11.185953813013949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84.317999999999898</v>
      </c>
      <c r="D144" s="12">
        <f t="shared" si="140"/>
        <v>23.189705803157228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10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829.8840447963006</v>
      </c>
      <c r="H144" s="70">
        <f t="shared" si="110"/>
        <v>480.57592094049863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1.1368683772161603E-13</v>
      </c>
      <c r="O144" s="14">
        <f>N144*VLOOKUP('Données projet'!$B$9,Paramètres!$A$1:$I$89,3,0)*VLOOKUP('Données projet'!$B$9,Paramètres!$A$1:$I$89,5,0)</f>
        <v>6.7984728957526396E-14</v>
      </c>
      <c r="P144" s="14">
        <f t="shared" si="141"/>
        <v>1.0682447123141398E-12</v>
      </c>
      <c r="Q144" s="22">
        <f t="shared" si="108"/>
        <v>1.978932943548152E-12</v>
      </c>
      <c r="R144" s="62">
        <f t="shared" si="109"/>
        <v>293.3333333333353</v>
      </c>
      <c r="S144" s="62">
        <f ca="1">AVERAGE(OFFSET($R$3,0,0,'Données projet'!$E$9+1,1))-AVERAGE(OFFSET($H$3,0,0,'Données projet'!$E$9+1,1))</f>
        <v>147.72913422715322</v>
      </c>
      <c r="T144" s="62">
        <f t="shared" si="142"/>
        <v>361.07991692964799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5.9183186634819176</v>
      </c>
      <c r="AA144" s="23">
        <f>EXP(-LN(2)/25)*AA143+(1-EXP(-LN(2)/25))/(LN(2)/25)*Calculateur!V144*Calculateur!X144*VLOOKUP('Données projet'!$B$9,Paramètres!$A$1:$I$89,3,0)*0.475*44/12</f>
        <v>2.0247620210594777</v>
      </c>
      <c r="AB144" s="23">
        <f>EXP(-LN(2)/2)*AB143+(1-EXP(-LN(2)/2))/(LN(2)/2)*V144*Y144*VLOOKUP('Données projet'!$B$9,Paramètres!$A$1:$I$89,3,0)*0.475*44/12</f>
        <v>8.5506027892750611E-16</v>
      </c>
      <c r="AC144" s="24">
        <f t="shared" si="111"/>
        <v>7.9430806845413962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>
        <f>AI144*VLOOKUP('Données projet'!$B$10,Paramètres!$A$1:$I$89,3,0)*VLOOKUP('Données projet'!$B$10,Paramètres!$A$1:$I$89,5,0)</f>
        <v>0</v>
      </c>
      <c r="AK144" s="14" t="e">
        <f t="shared" si="143"/>
        <v>#NUM!</v>
      </c>
      <c r="AL144" s="22" t="e">
        <f t="shared" si="112"/>
        <v>#NUM!</v>
      </c>
      <c r="AM144" s="62" t="e">
        <f t="shared" si="113"/>
        <v>#NUM!</v>
      </c>
      <c r="AN144" s="62">
        <f ca="1">AVERAGE(OFFSET($AM$3,0,0,'Données projet'!$E$10+1,1))-AVERAGE(OFFSET($H$3,0,0,'Données projet'!$E$10+1,1))</f>
        <v>151.58413719376074</v>
      </c>
      <c r="AO144" s="62">
        <f t="shared" si="144"/>
        <v>310.105543138185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10.966604081498874</v>
      </c>
      <c r="AV144" s="23">
        <f>EXP(-LN(2)/25)*AV143+(1-EXP(-LN(2)/25))/(LN(2)/25)*Calculateur!AQ144*Calculateur!AS144*VLOOKUP('Données projet'!$B$10,Paramètres!$A$1:$I$89,3,0)*0.475*44/12</f>
        <v>0</v>
      </c>
      <c r="AW144" s="23">
        <f>EXP(-LN(2)/2)*AW143+(1-EXP(-LN(2)/2))/(LN(2)/2)*AQ144*AT144*VLOOKUP('Données projet'!$B$10,Paramètres!$A$1:$I$89,3,0)*0.475*44/12</f>
        <v>5.2202619335472572E-15</v>
      </c>
      <c r="AX144" s="23">
        <f t="shared" si="114"/>
        <v>10.966604081498879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84.915999999999897</v>
      </c>
      <c r="D145" s="12">
        <f t="shared" si="140"/>
        <v>23.334968133205699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10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835.62150839667481</v>
      </c>
      <c r="H145" s="70">
        <f t="shared" si="110"/>
        <v>481.87043616533305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1.1368683772161603E-13</v>
      </c>
      <c r="O145" s="14">
        <f>N145*VLOOKUP('Données projet'!$B$9,Paramètres!$A$1:$I$89,3,0)*VLOOKUP('Données projet'!$B$9,Paramètres!$A$1:$I$89,5,0)</f>
        <v>6.7984728957526396E-14</v>
      </c>
      <c r="P145" s="14">
        <f t="shared" si="141"/>
        <v>1.0682447123141398E-12</v>
      </c>
      <c r="Q145" s="22">
        <f t="shared" si="108"/>
        <v>1.978932943548152E-12</v>
      </c>
      <c r="R145" s="62">
        <f t="shared" si="109"/>
        <v>293.3333333333353</v>
      </c>
      <c r="S145" s="62">
        <f ca="1">AVERAGE(OFFSET($R$3,0,0,'Données projet'!$E$9+1,1))-AVERAGE(OFFSET($H$3,0,0,'Données projet'!$E$9+1,1))</f>
        <v>147.72913422715322</v>
      </c>
      <c r="T145" s="62">
        <f t="shared" si="142"/>
        <v>361.07991692964799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5.8022640443089823</v>
      </c>
      <c r="AA145" s="23">
        <f>EXP(-LN(2)/25)*AA144+(1-EXP(-LN(2)/25))/(LN(2)/25)*Calculateur!V145*Calculateur!X145*VLOOKUP('Données projet'!$B$9,Paramètres!$A$1:$I$89,3,0)*0.475*44/12</f>
        <v>1.9693947971159993</v>
      </c>
      <c r="AB145" s="23">
        <f>EXP(-LN(2)/2)*AB144+(1-EXP(-LN(2)/2))/(LN(2)/2)*V145*Y145*VLOOKUP('Données projet'!$B$9,Paramètres!$A$1:$I$89,3,0)*0.475*44/12</f>
        <v>6.0461892155290035E-16</v>
      </c>
      <c r="AC145" s="24">
        <f t="shared" si="111"/>
        <v>7.7716588414249825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>
        <f>AI145*VLOOKUP('Données projet'!$B$10,Paramètres!$A$1:$I$89,3,0)*VLOOKUP('Données projet'!$B$10,Paramètres!$A$1:$I$89,5,0)</f>
        <v>0</v>
      </c>
      <c r="AK145" s="14" t="e">
        <f t="shared" si="143"/>
        <v>#NUM!</v>
      </c>
      <c r="AL145" s="22" t="e">
        <f t="shared" si="112"/>
        <v>#NUM!</v>
      </c>
      <c r="AM145" s="62" t="e">
        <f t="shared" si="113"/>
        <v>#NUM!</v>
      </c>
      <c r="AN145" s="62">
        <f ca="1">AVERAGE(OFFSET($AM$3,0,0,'Données projet'!$E$10+1,1))-AVERAGE(OFFSET($H$3,0,0,'Données projet'!$E$10+1,1))</f>
        <v>151.58413719376074</v>
      </c>
      <c r="AO145" s="62">
        <f t="shared" si="144"/>
        <v>310.105543138185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10.75155566442869</v>
      </c>
      <c r="AV145" s="23">
        <f>EXP(-LN(2)/25)*AV144+(1-EXP(-LN(2)/25))/(LN(2)/25)*Calculateur!AQ145*Calculateur!AS145*VLOOKUP('Données projet'!$B$10,Paramètres!$A$1:$I$89,3,0)*0.475*44/12</f>
        <v>0</v>
      </c>
      <c r="AW145" s="23">
        <f>EXP(-LN(2)/2)*AW144+(1-EXP(-LN(2)/2))/(LN(2)/2)*AQ145*AT145*VLOOKUP('Données projet'!$B$10,Paramètres!$A$1:$I$89,3,0)*0.475*44/12</f>
        <v>3.6912826127812638E-15</v>
      </c>
      <c r="AX145" s="23">
        <f t="shared" si="114"/>
        <v>10.751555664428693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85.513999999999896</v>
      </c>
      <c r="D146" s="12">
        <f t="shared" si="140"/>
        <v>23.480111436812148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10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841.35805319644396</v>
      </c>
      <c r="H146" s="70">
        <f t="shared" si="110"/>
        <v>483.16474408578097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1.1368683772161603E-13</v>
      </c>
      <c r="O146" s="14">
        <f>N146*VLOOKUP('Données projet'!$B$9,Paramètres!$A$1:$I$89,3,0)*VLOOKUP('Données projet'!$B$9,Paramètres!$A$1:$I$89,5,0)</f>
        <v>6.7984728957526396E-14</v>
      </c>
      <c r="P146" s="14">
        <f t="shared" si="141"/>
        <v>1.0682447123141398E-12</v>
      </c>
      <c r="Q146" s="22">
        <f t="shared" si="108"/>
        <v>1.978932943548152E-12</v>
      </c>
      <c r="R146" s="62">
        <f t="shared" si="109"/>
        <v>293.3333333333353</v>
      </c>
      <c r="S146" s="62">
        <f ca="1">AVERAGE(OFFSET($R$3,0,0,'Données projet'!$E$9+1,1))-AVERAGE(OFFSET($H$3,0,0,'Données projet'!$E$9+1,1))</f>
        <v>147.72913422715322</v>
      </c>
      <c r="T146" s="62">
        <f t="shared" si="142"/>
        <v>361.07991692964799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5.6884851854317002</v>
      </c>
      <c r="AA146" s="23">
        <f>EXP(-LN(2)/25)*AA145+(1-EXP(-LN(2)/25))/(LN(2)/25)*Calculateur!V146*Calculateur!X146*VLOOKUP('Données projet'!$B$9,Paramètres!$A$1:$I$89,3,0)*0.475*44/12</f>
        <v>1.9155415928228909</v>
      </c>
      <c r="AB146" s="23">
        <f>EXP(-LN(2)/2)*AB145+(1-EXP(-LN(2)/2))/(LN(2)/2)*V146*Y146*VLOOKUP('Données projet'!$B$9,Paramètres!$A$1:$I$89,3,0)*0.475*44/12</f>
        <v>4.2753013946375306E-16</v>
      </c>
      <c r="AC146" s="24">
        <f t="shared" si="111"/>
        <v>7.6040267782545907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>
        <f>AI146*VLOOKUP('Données projet'!$B$10,Paramètres!$A$1:$I$89,3,0)*VLOOKUP('Données projet'!$B$10,Paramètres!$A$1:$I$89,5,0)</f>
        <v>0</v>
      </c>
      <c r="AK146" s="14" t="e">
        <f t="shared" si="143"/>
        <v>#NUM!</v>
      </c>
      <c r="AL146" s="22" t="e">
        <f t="shared" si="112"/>
        <v>#NUM!</v>
      </c>
      <c r="AM146" s="62" t="e">
        <f t="shared" si="113"/>
        <v>#NUM!</v>
      </c>
      <c r="AN146" s="62">
        <f ca="1">AVERAGE(OFFSET($AM$3,0,0,'Données projet'!$E$10+1,1))-AVERAGE(OFFSET($H$3,0,0,'Données projet'!$E$10+1,1))</f>
        <v>151.58413719376074</v>
      </c>
      <c r="AO146" s="62">
        <f t="shared" si="144"/>
        <v>310.105543138185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10.54072421565067</v>
      </c>
      <c r="AV146" s="23">
        <f>EXP(-LN(2)/25)*AV145+(1-EXP(-LN(2)/25))/(LN(2)/25)*Calculateur!AQ146*Calculateur!AS146*VLOOKUP('Données projet'!$B$10,Paramètres!$A$1:$I$89,3,0)*0.475*44/12</f>
        <v>0</v>
      </c>
      <c r="AW146" s="23">
        <f>EXP(-LN(2)/2)*AW145+(1-EXP(-LN(2)/2))/(LN(2)/2)*AQ146*AT146*VLOOKUP('Données projet'!$B$10,Paramètres!$A$1:$I$89,3,0)*0.475*44/12</f>
        <v>2.6101309667736286E-15</v>
      </c>
      <c r="AX146" s="23">
        <f t="shared" si="114"/>
        <v>10.540724215650672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86.111999999999895</v>
      </c>
      <c r="D147" s="12">
        <f t="shared" si="140"/>
        <v>23.625136642852276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10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847.09368636587635</v>
      </c>
      <c r="H147" s="70">
        <f t="shared" si="110"/>
        <v>484.45884631963418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1.1368683772161603E-13</v>
      </c>
      <c r="O147" s="14">
        <f>N147*VLOOKUP('Données projet'!$B$9,Paramètres!$A$1:$I$89,3,0)*VLOOKUP('Données projet'!$B$9,Paramètres!$A$1:$I$89,5,0)</f>
        <v>6.7984728957526396E-14</v>
      </c>
      <c r="P147" s="14">
        <f t="shared" si="141"/>
        <v>1.0682447123141398E-12</v>
      </c>
      <c r="Q147" s="22">
        <f t="shared" si="108"/>
        <v>1.978932943548152E-12</v>
      </c>
      <c r="R147" s="62">
        <f t="shared" si="109"/>
        <v>293.3333333333353</v>
      </c>
      <c r="S147" s="62">
        <f ca="1">AVERAGE(OFFSET($R$3,0,0,'Données projet'!$E$9+1,1))-AVERAGE(OFFSET($H$3,0,0,'Données projet'!$E$9+1,1))</f>
        <v>147.72913422715322</v>
      </c>
      <c r="T147" s="62">
        <f t="shared" si="142"/>
        <v>361.07991692964799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5.5769374605787503</v>
      </c>
      <c r="AA147" s="23">
        <f>EXP(-LN(2)/25)*AA146+(1-EXP(-LN(2)/25))/(LN(2)/25)*Calculateur!V147*Calculateur!X147*VLOOKUP('Données projet'!$B$9,Paramètres!$A$1:$I$89,3,0)*0.475*44/12</f>
        <v>1.8631610072331946</v>
      </c>
      <c r="AB147" s="23">
        <f>EXP(-LN(2)/2)*AB146+(1-EXP(-LN(2)/2))/(LN(2)/2)*V147*Y147*VLOOKUP('Données projet'!$B$9,Paramètres!$A$1:$I$89,3,0)*0.475*44/12</f>
        <v>3.0230946077645017E-16</v>
      </c>
      <c r="AC147" s="24">
        <f t="shared" si="111"/>
        <v>7.4400984678119446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>
        <f>AI147*VLOOKUP('Données projet'!$B$10,Paramètres!$A$1:$I$89,3,0)*VLOOKUP('Données projet'!$B$10,Paramètres!$A$1:$I$89,5,0)</f>
        <v>0</v>
      </c>
      <c r="AK147" s="14" t="e">
        <f t="shared" si="143"/>
        <v>#NUM!</v>
      </c>
      <c r="AL147" s="22" t="e">
        <f t="shared" si="112"/>
        <v>#NUM!</v>
      </c>
      <c r="AM147" s="62" t="e">
        <f t="shared" si="113"/>
        <v>#NUM!</v>
      </c>
      <c r="AN147" s="62">
        <f ca="1">AVERAGE(OFFSET($AM$3,0,0,'Données projet'!$E$10+1,1))-AVERAGE(OFFSET($H$3,0,0,'Données projet'!$E$10+1,1))</f>
        <v>151.58413719376074</v>
      </c>
      <c r="AO147" s="62">
        <f t="shared" si="144"/>
        <v>310.105543138185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10.3340270429887</v>
      </c>
      <c r="AV147" s="23">
        <f>EXP(-LN(2)/25)*AV146+(1-EXP(-LN(2)/25))/(LN(2)/25)*Calculateur!AQ147*Calculateur!AS147*VLOOKUP('Données projet'!$B$10,Paramètres!$A$1:$I$89,3,0)*0.475*44/12</f>
        <v>0</v>
      </c>
      <c r="AW147" s="23">
        <f>EXP(-LN(2)/2)*AW146+(1-EXP(-LN(2)/2))/(LN(2)/2)*AQ147*AT147*VLOOKUP('Données projet'!$B$10,Paramètres!$A$1:$I$89,3,0)*0.475*44/12</f>
        <v>1.8456413063906319E-15</v>
      </c>
      <c r="AX147" s="23">
        <f t="shared" si="114"/>
        <v>10.334027042988701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86.709999999999894</v>
      </c>
      <c r="D148" s="12">
        <f t="shared" si="140"/>
        <v>23.770044666555076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10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852.82841496989806</v>
      </c>
      <c r="H148" s="70">
        <f t="shared" si="110"/>
        <v>485.75274446091657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1.1368683772161603E-13</v>
      </c>
      <c r="O148" s="14">
        <f>N148*VLOOKUP('Données projet'!$B$9,Paramètres!$A$1:$I$89,3,0)*VLOOKUP('Données projet'!$B$9,Paramètres!$A$1:$I$89,5,0)</f>
        <v>6.7984728957526396E-14</v>
      </c>
      <c r="P148" s="14">
        <f t="shared" si="141"/>
        <v>1.0682447123141398E-12</v>
      </c>
      <c r="Q148" s="22">
        <f t="shared" si="108"/>
        <v>1.978932943548152E-12</v>
      </c>
      <c r="R148" s="62">
        <f t="shared" si="109"/>
        <v>293.3333333333353</v>
      </c>
      <c r="S148" s="62">
        <f ca="1">AVERAGE(OFFSET($R$3,0,0,'Données projet'!$E$9+1,1))-AVERAGE(OFFSET($H$3,0,0,'Données projet'!$E$9+1,1))</f>
        <v>147.72913422715322</v>
      </c>
      <c r="T148" s="62">
        <f t="shared" si="142"/>
        <v>361.07991692964799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5.4675771185727724</v>
      </c>
      <c r="AA148" s="23">
        <f>EXP(-LN(2)/25)*AA147+(1-EXP(-LN(2)/25))/(LN(2)/25)*Calculateur!V148*Calculateur!X148*VLOOKUP('Données projet'!$B$9,Paramètres!$A$1:$I$89,3,0)*0.475*44/12</f>
        <v>1.8122127715110239</v>
      </c>
      <c r="AB148" s="23">
        <f>EXP(-LN(2)/2)*AB147+(1-EXP(-LN(2)/2))/(LN(2)/2)*V148*Y148*VLOOKUP('Données projet'!$B$9,Paramètres!$A$1:$I$89,3,0)*0.475*44/12</f>
        <v>2.1376506973187653E-16</v>
      </c>
      <c r="AC148" s="24">
        <f t="shared" si="111"/>
        <v>7.2797898900837961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>
        <f>AI148*VLOOKUP('Données projet'!$B$10,Paramètres!$A$1:$I$89,3,0)*VLOOKUP('Données projet'!$B$10,Paramètres!$A$1:$I$89,5,0)</f>
        <v>0</v>
      </c>
      <c r="AK148" s="14" t="e">
        <f t="shared" si="143"/>
        <v>#NUM!</v>
      </c>
      <c r="AL148" s="22" t="e">
        <f t="shared" si="112"/>
        <v>#NUM!</v>
      </c>
      <c r="AM148" s="62" t="e">
        <f t="shared" si="113"/>
        <v>#NUM!</v>
      </c>
      <c r="AN148" s="62">
        <f ca="1">AVERAGE(OFFSET($AM$3,0,0,'Données projet'!$E$10+1,1))-AVERAGE(OFFSET($H$3,0,0,'Données projet'!$E$10+1,1))</f>
        <v>151.58413719376074</v>
      </c>
      <c r="AO148" s="62">
        <f t="shared" si="144"/>
        <v>310.105543138185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10.131383075809804</v>
      </c>
      <c r="AV148" s="23">
        <f>EXP(-LN(2)/25)*AV147+(1-EXP(-LN(2)/25))/(LN(2)/25)*Calculateur!AQ148*Calculateur!AS148*VLOOKUP('Données projet'!$B$10,Paramètres!$A$1:$I$89,3,0)*0.475*44/12</f>
        <v>0</v>
      </c>
      <c r="AW148" s="23">
        <f>EXP(-LN(2)/2)*AW147+(1-EXP(-LN(2)/2))/(LN(2)/2)*AQ148*AT148*VLOOKUP('Données projet'!$B$10,Paramètres!$A$1:$I$89,3,0)*0.475*44/12</f>
        <v>1.3050654833868143E-15</v>
      </c>
      <c r="AX148" s="23">
        <f t="shared" si="114"/>
        <v>10.131383075809806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87.307999999999893</v>
      </c>
      <c r="D149" s="12">
        <f t="shared" si="140"/>
        <v>23.914836409796042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10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858.56224597035452</v>
      </c>
      <c r="H149" s="70">
        <f t="shared" si="110"/>
        <v>487.04644008039458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1.1368683772161603E-13</v>
      </c>
      <c r="O149" s="14">
        <f>N149*VLOOKUP('Données projet'!$B$9,Paramètres!$A$1:$I$89,3,0)*VLOOKUP('Données projet'!$B$9,Paramètres!$A$1:$I$89,5,0)</f>
        <v>6.7984728957526396E-14</v>
      </c>
      <c r="P149" s="14">
        <f t="shared" si="141"/>
        <v>1.0682447123141398E-12</v>
      </c>
      <c r="Q149" s="22">
        <f t="shared" si="108"/>
        <v>1.978932943548152E-12</v>
      </c>
      <c r="R149" s="62">
        <f t="shared" si="109"/>
        <v>293.3333333333353</v>
      </c>
      <c r="S149" s="62">
        <f ca="1">AVERAGE(OFFSET($R$3,0,0,'Données projet'!$E$9+1,1))-AVERAGE(OFFSET($H$3,0,0,'Données projet'!$E$9+1,1))</f>
        <v>147.72913422715322</v>
      </c>
      <c r="T149" s="62">
        <f t="shared" si="142"/>
        <v>361.07991692964799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5.3603612661703091</v>
      </c>
      <c r="AA149" s="23">
        <f>EXP(-LN(2)/25)*AA148+(1-EXP(-LN(2)/25))/(LN(2)/25)*Calculateur!V149*Calculateur!X149*VLOOKUP('Données projet'!$B$9,Paramètres!$A$1:$I$89,3,0)*0.475*44/12</f>
        <v>1.7626577179739271</v>
      </c>
      <c r="AB149" s="23">
        <f>EXP(-LN(2)/2)*AB148+(1-EXP(-LN(2)/2))/(LN(2)/2)*V149*Y149*VLOOKUP('Données projet'!$B$9,Paramètres!$A$1:$I$89,3,0)*0.475*44/12</f>
        <v>1.5115473038822509E-16</v>
      </c>
      <c r="AC149" s="24">
        <f t="shared" si="111"/>
        <v>7.1230189841442364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>
        <f>AI149*VLOOKUP('Données projet'!$B$10,Paramètres!$A$1:$I$89,3,0)*VLOOKUP('Données projet'!$B$10,Paramètres!$A$1:$I$89,5,0)</f>
        <v>0</v>
      </c>
      <c r="AK149" s="14" t="e">
        <f t="shared" si="143"/>
        <v>#NUM!</v>
      </c>
      <c r="AL149" s="22" t="e">
        <f t="shared" si="112"/>
        <v>#NUM!</v>
      </c>
      <c r="AM149" s="62" t="e">
        <f t="shared" si="113"/>
        <v>#NUM!</v>
      </c>
      <c r="AN149" s="62">
        <f ca="1">AVERAGE(OFFSET($AM$3,0,0,'Données projet'!$E$10+1,1))-AVERAGE(OFFSET($H$3,0,0,'Données projet'!$E$10+1,1))</f>
        <v>151.58413719376074</v>
      </c>
      <c r="AO149" s="62">
        <f t="shared" si="144"/>
        <v>310.105543138185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9.9327128332266721</v>
      </c>
      <c r="AV149" s="23">
        <f>EXP(-LN(2)/25)*AV148+(1-EXP(-LN(2)/25))/(LN(2)/25)*Calculateur!AQ149*Calculateur!AS149*VLOOKUP('Données projet'!$B$10,Paramètres!$A$1:$I$89,3,0)*0.475*44/12</f>
        <v>0</v>
      </c>
      <c r="AW149" s="23">
        <f>EXP(-LN(2)/2)*AW148+(1-EXP(-LN(2)/2))/(LN(2)/2)*AQ149*AT149*VLOOKUP('Données projet'!$B$10,Paramètres!$A$1:$I$89,3,0)*0.475*44/12</f>
        <v>9.2282065319531596E-16</v>
      </c>
      <c r="AX149" s="23">
        <f t="shared" si="114"/>
        <v>9.9327128332266739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87.905999999999892</v>
      </c>
      <c r="D150" s="12">
        <f t="shared" si="140"/>
        <v>24.059512761382056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10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864.29518622821161</v>
      </c>
      <c r="H150" s="70">
        <f t="shared" si="110"/>
        <v>488.33993472607352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1.1368683772161603E-13</v>
      </c>
      <c r="O150" s="14">
        <f>N150*VLOOKUP('Données projet'!$B$9,Paramètres!$A$1:$I$89,3,0)*VLOOKUP('Données projet'!$B$9,Paramètres!$A$1:$I$89,5,0)</f>
        <v>6.7984728957526396E-14</v>
      </c>
      <c r="P150" s="14">
        <f t="shared" si="141"/>
        <v>1.0682447123141398E-12</v>
      </c>
      <c r="Q150" s="22">
        <f t="shared" si="108"/>
        <v>1.978932943548152E-12</v>
      </c>
      <c r="R150" s="62">
        <f t="shared" si="109"/>
        <v>293.3333333333353</v>
      </c>
      <c r="S150" s="62">
        <f ca="1">AVERAGE(OFFSET($R$3,0,0,'Données projet'!$E$9+1,1))-AVERAGE(OFFSET($H$3,0,0,'Données projet'!$E$9+1,1))</f>
        <v>147.72913422715322</v>
      </c>
      <c r="T150" s="62">
        <f t="shared" si="142"/>
        <v>361.07991692964799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5.2552478512382459</v>
      </c>
      <c r="AA150" s="23">
        <f>EXP(-LN(2)/25)*AA149+(1-EXP(-LN(2)/25))/(LN(2)/25)*Calculateur!V150*Calculateur!X150*VLOOKUP('Données projet'!$B$9,Paramètres!$A$1:$I$89,3,0)*0.475*44/12</f>
        <v>1.7144577499817892</v>
      </c>
      <c r="AB150" s="23">
        <f>EXP(-LN(2)/2)*AB149+(1-EXP(-LN(2)/2))/(LN(2)/2)*V150*Y150*VLOOKUP('Données projet'!$B$9,Paramètres!$A$1:$I$89,3,0)*0.475*44/12</f>
        <v>1.0688253486593826E-16</v>
      </c>
      <c r="AC150" s="24">
        <f t="shared" si="111"/>
        <v>6.9697056012200349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>
        <f>AI150*VLOOKUP('Données projet'!$B$10,Paramètres!$A$1:$I$89,3,0)*VLOOKUP('Données projet'!$B$10,Paramètres!$A$1:$I$89,5,0)</f>
        <v>0</v>
      </c>
      <c r="AK150" s="14" t="e">
        <f t="shared" si="143"/>
        <v>#NUM!</v>
      </c>
      <c r="AL150" s="22" t="e">
        <f t="shared" si="112"/>
        <v>#NUM!</v>
      </c>
      <c r="AM150" s="62" t="e">
        <f t="shared" si="113"/>
        <v>#NUM!</v>
      </c>
      <c r="AN150" s="62">
        <f ca="1">AVERAGE(OFFSET($AM$3,0,0,'Données projet'!$E$10+1,1))-AVERAGE(OFFSET($H$3,0,0,'Données projet'!$E$10+1,1))</f>
        <v>151.58413719376074</v>
      </c>
      <c r="AO150" s="62">
        <f t="shared" si="144"/>
        <v>310.105543138185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9.7379383929237129</v>
      </c>
      <c r="AV150" s="23">
        <f>EXP(-LN(2)/25)*AV149+(1-EXP(-LN(2)/25))/(LN(2)/25)*Calculateur!AQ150*Calculateur!AS150*VLOOKUP('Données projet'!$B$10,Paramètres!$A$1:$I$89,3,0)*0.475*44/12</f>
        <v>0</v>
      </c>
      <c r="AW150" s="23">
        <f>EXP(-LN(2)/2)*AW149+(1-EXP(-LN(2)/2))/(LN(2)/2)*AQ150*AT150*VLOOKUP('Données projet'!$B$10,Paramètres!$A$1:$I$89,3,0)*0.475*44/12</f>
        <v>6.5253274169340715E-16</v>
      </c>
      <c r="AX150" s="23">
        <f t="shared" si="114"/>
        <v>9.7379383929237129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88.503999999999891</v>
      </c>
      <c r="D151" s="12">
        <f t="shared" si="140"/>
        <v>24.204074597328436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10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870.02724250569247</v>
      </c>
      <c r="H151" s="70">
        <f t="shared" si="110"/>
        <v>489.63322992368012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1.1368683772161603E-13</v>
      </c>
      <c r="O151" s="14">
        <f>N151*VLOOKUP('Données projet'!$B$9,Paramètres!$A$1:$I$89,3,0)*VLOOKUP('Données projet'!$B$9,Paramètres!$A$1:$I$89,5,0)</f>
        <v>6.7984728957526396E-14</v>
      </c>
      <c r="P151" s="14">
        <f t="shared" si="141"/>
        <v>1.0682447123141398E-12</v>
      </c>
      <c r="Q151" s="22">
        <f t="shared" si="108"/>
        <v>1.978932943548152E-12</v>
      </c>
      <c r="R151" s="62">
        <f t="shared" si="109"/>
        <v>293.3333333333353</v>
      </c>
      <c r="S151" s="62">
        <f ca="1">AVERAGE(OFFSET($R$3,0,0,'Données projet'!$E$9+1,1))-AVERAGE(OFFSET($H$3,0,0,'Données projet'!$E$9+1,1))</f>
        <v>147.72913422715322</v>
      </c>
      <c r="T151" s="62">
        <f t="shared" si="142"/>
        <v>361.07991692964799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5.1521956462601475</v>
      </c>
      <c r="AA151" s="23">
        <f>EXP(-LN(2)/25)*AA150+(1-EXP(-LN(2)/25))/(LN(2)/25)*Calculateur!V151*Calculateur!X151*VLOOKUP('Données projet'!$B$9,Paramètres!$A$1:$I$89,3,0)*0.475*44/12</f>
        <v>1.6675758126491227</v>
      </c>
      <c r="AB151" s="23">
        <f>EXP(-LN(2)/2)*AB150+(1-EXP(-LN(2)/2))/(LN(2)/2)*V151*Y151*VLOOKUP('Données projet'!$B$9,Paramètres!$A$1:$I$89,3,0)*0.475*44/12</f>
        <v>7.5577365194112544E-17</v>
      </c>
      <c r="AC151" s="24">
        <f t="shared" si="111"/>
        <v>6.8197714589092699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>
        <f>AI151*VLOOKUP('Données projet'!$B$10,Paramètres!$A$1:$I$89,3,0)*VLOOKUP('Données projet'!$B$10,Paramètres!$A$1:$I$89,5,0)</f>
        <v>0</v>
      </c>
      <c r="AK151" s="14" t="e">
        <f t="shared" si="143"/>
        <v>#NUM!</v>
      </c>
      <c r="AL151" s="22" t="e">
        <f t="shared" si="112"/>
        <v>#NUM!</v>
      </c>
      <c r="AM151" s="62" t="e">
        <f t="shared" si="113"/>
        <v>#NUM!</v>
      </c>
      <c r="AN151" s="62">
        <f ca="1">AVERAGE(OFFSET($AM$3,0,0,'Données projet'!$E$10+1,1))-AVERAGE(OFFSET($H$3,0,0,'Données projet'!$E$10+1,1))</f>
        <v>151.58413719376074</v>
      </c>
      <c r="AO151" s="62">
        <f t="shared" si="144"/>
        <v>310.105543138185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9.5469833605944157</v>
      </c>
      <c r="AV151" s="23">
        <f>EXP(-LN(2)/25)*AV150+(1-EXP(-LN(2)/25))/(LN(2)/25)*Calculateur!AQ151*Calculateur!AS151*VLOOKUP('Données projet'!$B$10,Paramètres!$A$1:$I$89,3,0)*0.475*44/12</f>
        <v>0</v>
      </c>
      <c r="AW151" s="23">
        <f>EXP(-LN(2)/2)*AW150+(1-EXP(-LN(2)/2))/(LN(2)/2)*AQ151*AT151*VLOOKUP('Données projet'!$B$10,Paramètres!$A$1:$I$89,3,0)*0.475*44/12</f>
        <v>4.6141032659765798E-16</v>
      </c>
      <c r="AX151" s="23">
        <f t="shared" si="114"/>
        <v>9.5469833605944157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89.10199999999989</v>
      </c>
      <c r="D152" s="12">
        <f t="shared" si="140"/>
        <v>24.348522781128061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10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875.75842146835612</v>
      </c>
      <c r="H152" s="70">
        <f t="shared" si="110"/>
        <v>490.92632717713116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1.1368683772161603E-13</v>
      </c>
      <c r="O152" s="14">
        <f>N152*VLOOKUP('Données projet'!$B$9,Paramètres!$A$1:$I$89,3,0)*VLOOKUP('Données projet'!$B$9,Paramètres!$A$1:$I$89,5,0)</f>
        <v>6.7984728957526396E-14</v>
      </c>
      <c r="P152" s="14">
        <f t="shared" si="141"/>
        <v>1.0682447123141398E-12</v>
      </c>
      <c r="Q152" s="22">
        <f t="shared" si="108"/>
        <v>1.978932943548152E-12</v>
      </c>
      <c r="R152" s="62">
        <f t="shared" si="109"/>
        <v>293.3333333333353</v>
      </c>
      <c r="S152" s="62">
        <f ca="1">AVERAGE(OFFSET($R$3,0,0,'Données projet'!$E$9+1,1))-AVERAGE(OFFSET($H$3,0,0,'Données projet'!$E$9+1,1))</f>
        <v>147.72913422715322</v>
      </c>
      <c r="T152" s="62">
        <f t="shared" si="142"/>
        <v>361.07991692964799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5.0511642321660313</v>
      </c>
      <c r="AA152" s="23">
        <f>EXP(-LN(2)/25)*AA151+(1-EXP(-LN(2)/25))/(LN(2)/25)*Calculateur!V152*Calculateur!X152*VLOOKUP('Données projet'!$B$9,Paramètres!$A$1:$I$89,3,0)*0.475*44/12</f>
        <v>1.6219758643582318</v>
      </c>
      <c r="AB152" s="23">
        <f>EXP(-LN(2)/2)*AB151+(1-EXP(-LN(2)/2))/(LN(2)/2)*V152*Y152*VLOOKUP('Données projet'!$B$9,Paramètres!$A$1:$I$89,3,0)*0.475*44/12</f>
        <v>5.3441267432969132E-17</v>
      </c>
      <c r="AC152" s="24">
        <f t="shared" si="111"/>
        <v>6.6731400965242633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>
        <f>AI152*VLOOKUP('Données projet'!$B$10,Paramètres!$A$1:$I$89,3,0)*VLOOKUP('Données projet'!$B$10,Paramètres!$A$1:$I$89,5,0)</f>
        <v>0</v>
      </c>
      <c r="AK152" s="14" t="e">
        <f t="shared" si="143"/>
        <v>#NUM!</v>
      </c>
      <c r="AL152" s="22" t="e">
        <f t="shared" si="112"/>
        <v>#NUM!</v>
      </c>
      <c r="AM152" s="62" t="e">
        <f t="shared" si="113"/>
        <v>#NUM!</v>
      </c>
      <c r="AN152" s="62">
        <f ca="1">AVERAGE(OFFSET($AM$3,0,0,'Données projet'!$E$10+1,1))-AVERAGE(OFFSET($H$3,0,0,'Données projet'!$E$10+1,1))</f>
        <v>151.58413719376074</v>
      </c>
      <c r="AO152" s="62">
        <f t="shared" si="144"/>
        <v>310.105543138185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9.359772839978028</v>
      </c>
      <c r="AV152" s="23">
        <f>EXP(-LN(2)/25)*AV151+(1-EXP(-LN(2)/25))/(LN(2)/25)*Calculateur!AQ152*Calculateur!AS152*VLOOKUP('Données projet'!$B$10,Paramètres!$A$1:$I$89,3,0)*0.475*44/12</f>
        <v>0</v>
      </c>
      <c r="AW152" s="23">
        <f>EXP(-LN(2)/2)*AW151+(1-EXP(-LN(2)/2))/(LN(2)/2)*AQ152*AT152*VLOOKUP('Données projet'!$B$10,Paramètres!$A$1:$I$89,3,0)*0.475*44/12</f>
        <v>3.2626637084670358E-16</v>
      </c>
      <c r="AX152" s="23">
        <f t="shared" si="114"/>
        <v>9.359772839978028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89.699999999999889</v>
      </c>
      <c r="D153" s="12">
        <f t="shared" si="140"/>
        <v>24.492858164013278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10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881.48872968711919</v>
      </c>
      <c r="H153" s="70">
        <f t="shared" si="110"/>
        <v>492.21922796898957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1.1368683772161603E-13</v>
      </c>
      <c r="O153" s="14">
        <f>N153*VLOOKUP('Données projet'!$B$9,Paramètres!$A$1:$I$89,3,0)*VLOOKUP('Données projet'!$B$9,Paramètres!$A$1:$I$89,5,0)</f>
        <v>6.7984728957526396E-14</v>
      </c>
      <c r="P153" s="14">
        <f t="shared" si="141"/>
        <v>1.0682447123141398E-12</v>
      </c>
      <c r="Q153" s="22">
        <f t="shared" si="108"/>
        <v>1.978932943548152E-12</v>
      </c>
      <c r="R153" s="62">
        <f t="shared" si="109"/>
        <v>293.3333333333353</v>
      </c>
      <c r="S153" s="62">
        <f ca="1">AVERAGE(OFFSET($R$3,0,0,'Données projet'!$E$9+1,1))-AVERAGE(OFFSET($H$3,0,0,'Données projet'!$E$9+1,1))</f>
        <v>147.72913422715322</v>
      </c>
      <c r="T153" s="62">
        <f t="shared" si="142"/>
        <v>361.07991692964799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4.9521139824792231</v>
      </c>
      <c r="AA153" s="23">
        <f>EXP(-LN(2)/25)*AA152+(1-EXP(-LN(2)/25))/(LN(2)/25)*Calculateur!V153*Calculateur!X153*VLOOKUP('Données projet'!$B$9,Paramètres!$A$1:$I$89,3,0)*0.475*44/12</f>
        <v>1.5776228490513524</v>
      </c>
      <c r="AB153" s="23">
        <f>EXP(-LN(2)/2)*AB152+(1-EXP(-LN(2)/2))/(LN(2)/2)*V153*Y153*VLOOKUP('Données projet'!$B$9,Paramètres!$A$1:$I$89,3,0)*0.475*44/12</f>
        <v>3.7788682597056272E-17</v>
      </c>
      <c r="AC153" s="24">
        <f t="shared" si="111"/>
        <v>6.5297368315305757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>
        <f>AI153*VLOOKUP('Données projet'!$B$10,Paramètres!$A$1:$I$89,3,0)*VLOOKUP('Données projet'!$B$10,Paramètres!$A$1:$I$89,5,0)</f>
        <v>0</v>
      </c>
      <c r="AK153" s="14" t="e">
        <f t="shared" si="143"/>
        <v>#NUM!</v>
      </c>
      <c r="AL153" s="22" t="e">
        <f t="shared" si="112"/>
        <v>#NUM!</v>
      </c>
      <c r="AM153" s="62" t="e">
        <f t="shared" si="113"/>
        <v>#NUM!</v>
      </c>
      <c r="AN153" s="62">
        <f ca="1">AVERAGE(OFFSET($AM$3,0,0,'Données projet'!$E$10+1,1))-AVERAGE(OFFSET($H$3,0,0,'Données projet'!$E$10+1,1))</f>
        <v>151.58413719376074</v>
      </c>
      <c r="AO153" s="62">
        <f t="shared" si="144"/>
        <v>310.105543138185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9.1762334034837849</v>
      </c>
      <c r="AV153" s="23">
        <f>EXP(-LN(2)/25)*AV152+(1-EXP(-LN(2)/25))/(LN(2)/25)*Calculateur!AQ153*Calculateur!AS153*VLOOKUP('Données projet'!$B$10,Paramètres!$A$1:$I$89,3,0)*0.475*44/12</f>
        <v>0</v>
      </c>
      <c r="AW153" s="23">
        <f>EXP(-LN(2)/2)*AW152+(1-EXP(-LN(2)/2))/(LN(2)/2)*AQ153*AT153*VLOOKUP('Données projet'!$B$10,Paramètres!$A$1:$I$89,3,0)*0.475*44/12</f>
        <v>2.3070516329882899E-16</v>
      </c>
      <c r="AX153" s="23">
        <f t="shared" si="114"/>
        <v>9.1762334034837849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90.297999999999888</v>
      </c>
      <c r="D154" s="12">
        <f t="shared" si="140"/>
        <v>24.637081585210503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10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887.21817364022047</v>
      </c>
      <c r="H154" s="70">
        <f t="shared" si="110"/>
        <v>493.51193376090805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1.1368683772161603E-13</v>
      </c>
      <c r="O154" s="14">
        <f>N154*VLOOKUP('Données projet'!$B$9,Paramètres!$A$1:$I$89,3,0)*VLOOKUP('Données projet'!$B$9,Paramètres!$A$1:$I$89,5,0)</f>
        <v>6.7984728957526396E-14</v>
      </c>
      <c r="P154" s="14">
        <f t="shared" si="141"/>
        <v>1.0682447123141398E-12</v>
      </c>
      <c r="Q154" s="22">
        <f t="shared" ref="Q154:Q203" si="162">(O154+P154)*0.475*44/12</f>
        <v>1.978932943548152E-12</v>
      </c>
      <c r="R154" s="62">
        <f t="shared" si="109"/>
        <v>293.3333333333353</v>
      </c>
      <c r="S154" s="62">
        <f ca="1">AVERAGE(OFFSET($R$3,0,0,'Données projet'!$E$9+1,1))-AVERAGE(OFFSET($H$3,0,0,'Données projet'!$E$9+1,1))</f>
        <v>147.72913422715322</v>
      </c>
      <c r="T154" s="62">
        <f t="shared" si="142"/>
        <v>361.07991692964799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4.8550060477740864</v>
      </c>
      <c r="AA154" s="23">
        <f>EXP(-LN(2)/25)*AA153+(1-EXP(-LN(2)/25))/(LN(2)/25)*Calculateur!V154*Calculateur!X154*VLOOKUP('Données projet'!$B$9,Paramètres!$A$1:$I$89,3,0)*0.475*44/12</f>
        <v>1.5344826692804632</v>
      </c>
      <c r="AB154" s="23">
        <f>EXP(-LN(2)/2)*AB153+(1-EXP(-LN(2)/2))/(LN(2)/2)*V154*Y154*VLOOKUP('Données projet'!$B$9,Paramètres!$A$1:$I$89,3,0)*0.475*44/12</f>
        <v>2.6720633716484566E-17</v>
      </c>
      <c r="AC154" s="24">
        <f t="shared" ref="AC154:AC203" si="163">SUM(Z154:AB154)</f>
        <v>6.3894887170545491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>
        <f>AI154*VLOOKUP('Données projet'!$B$10,Paramètres!$A$1:$I$89,3,0)*VLOOKUP('Données projet'!$B$10,Paramètres!$A$1:$I$89,5,0)</f>
        <v>0</v>
      </c>
      <c r="AK154" s="14" t="e">
        <f t="shared" ref="AK154:AK203" si="164">EXP(-1.0587+0.8836*LN(AJ154)+0.284)</f>
        <v>#NUM!</v>
      </c>
      <c r="AL154" s="22" t="e">
        <f t="shared" ref="AL154:AL203" si="165">(AJ154+AK154)*0.475*44/12</f>
        <v>#NUM!</v>
      </c>
      <c r="AM154" s="62" t="e">
        <f t="shared" si="113"/>
        <v>#NUM!</v>
      </c>
      <c r="AN154" s="62">
        <f ca="1">AVERAGE(OFFSET($AM$3,0,0,'Données projet'!$E$10+1,1))-AVERAGE(OFFSET($H$3,0,0,'Données projet'!$E$10+1,1))</f>
        <v>151.58413719376074</v>
      </c>
      <c r="AO154" s="62">
        <f t="shared" si="144"/>
        <v>310.105543138185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8.9962930633911906</v>
      </c>
      <c r="AV154" s="23">
        <f>EXP(-LN(2)/25)*AV153+(1-EXP(-LN(2)/25))/(LN(2)/25)*Calculateur!AQ154*Calculateur!AS154*VLOOKUP('Données projet'!$B$10,Paramètres!$A$1:$I$89,3,0)*0.475*44/12</f>
        <v>0</v>
      </c>
      <c r="AW154" s="23">
        <f>EXP(-LN(2)/2)*AW153+(1-EXP(-LN(2)/2))/(LN(2)/2)*AQ154*AT154*VLOOKUP('Données projet'!$B$10,Paramètres!$A$1:$I$89,3,0)*0.475*44/12</f>
        <v>1.6313318542335179E-16</v>
      </c>
      <c r="AX154" s="23">
        <f t="shared" ref="AX154:AX203" si="166">SUM(AU154:AW154)</f>
        <v>8.9962930633911906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90.895999999999887</v>
      </c>
      <c r="D155" s="12">
        <f t="shared" si="140"/>
        <v>24.781193872187931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10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892.94675971513414</v>
      </c>
      <c r="H155" s="70">
        <f t="shared" si="110"/>
        <v>494.80444599406042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1.1368683772161603E-13</v>
      </c>
      <c r="O155" s="14">
        <f>N155*VLOOKUP('Données projet'!$B$9,Paramètres!$A$1:$I$89,3,0)*VLOOKUP('Données projet'!$B$9,Paramètres!$A$1:$I$89,5,0)</f>
        <v>6.7984728957526396E-14</v>
      </c>
      <c r="P155" s="14">
        <f t="shared" si="141"/>
        <v>1.0682447123141398E-12</v>
      </c>
      <c r="Q155" s="22">
        <f t="shared" si="162"/>
        <v>1.978932943548152E-12</v>
      </c>
      <c r="R155" s="62">
        <f t="shared" si="109"/>
        <v>293.3333333333353</v>
      </c>
      <c r="S155" s="62">
        <f ca="1">AVERAGE(OFFSET($R$3,0,0,'Données projet'!$E$9+1,1))-AVERAGE(OFFSET($H$3,0,0,'Données projet'!$E$9+1,1))</f>
        <v>147.72913422715322</v>
      </c>
      <c r="T155" s="62">
        <f t="shared" si="142"/>
        <v>361.07991692964799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4.759802340438525</v>
      </c>
      <c r="AA155" s="23">
        <f>EXP(-LN(2)/25)*AA154+(1-EXP(-LN(2)/25))/(LN(2)/25)*Calculateur!V155*Calculateur!X155*VLOOKUP('Données projet'!$B$9,Paramètres!$A$1:$I$89,3,0)*0.475*44/12</f>
        <v>1.4925221599940524</v>
      </c>
      <c r="AB155" s="23">
        <f>EXP(-LN(2)/2)*AB154+(1-EXP(-LN(2)/2))/(LN(2)/2)*V155*Y155*VLOOKUP('Données projet'!$B$9,Paramètres!$A$1:$I$89,3,0)*0.475*44/12</f>
        <v>1.8894341298528136E-17</v>
      </c>
      <c r="AC155" s="24">
        <f t="shared" si="163"/>
        <v>6.2523245004325769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>
        <f>AI155*VLOOKUP('Données projet'!$B$10,Paramètres!$A$1:$I$89,3,0)*VLOOKUP('Données projet'!$B$10,Paramètres!$A$1:$I$89,5,0)</f>
        <v>0</v>
      </c>
      <c r="AK155" s="14" t="e">
        <f t="shared" si="164"/>
        <v>#NUM!</v>
      </c>
      <c r="AL155" s="22" t="e">
        <f t="shared" si="165"/>
        <v>#NUM!</v>
      </c>
      <c r="AM155" s="62" t="e">
        <f t="shared" si="113"/>
        <v>#NUM!</v>
      </c>
      <c r="AN155" s="62">
        <f ca="1">AVERAGE(OFFSET($AM$3,0,0,'Données projet'!$E$10+1,1))-AVERAGE(OFFSET($H$3,0,0,'Données projet'!$E$10+1,1))</f>
        <v>151.58413719376074</v>
      </c>
      <c r="AO155" s="62">
        <f t="shared" si="144"/>
        <v>310.105543138185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8.8198812436150416</v>
      </c>
      <c r="AV155" s="23">
        <f>EXP(-LN(2)/25)*AV154+(1-EXP(-LN(2)/25))/(LN(2)/25)*Calculateur!AQ155*Calculateur!AS155*VLOOKUP('Données projet'!$B$10,Paramètres!$A$1:$I$89,3,0)*0.475*44/12</f>
        <v>0</v>
      </c>
      <c r="AW155" s="23">
        <f>EXP(-LN(2)/2)*AW154+(1-EXP(-LN(2)/2))/(LN(2)/2)*AQ155*AT155*VLOOKUP('Données projet'!$B$10,Paramètres!$A$1:$I$89,3,0)*0.475*44/12</f>
        <v>1.153525816494145E-16</v>
      </c>
      <c r="AX155" s="23">
        <f t="shared" si="166"/>
        <v>8.8198812436150416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91.493999999999886</v>
      </c>
      <c r="D156" s="12">
        <f t="shared" si="140"/>
        <v>24.925195840896507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10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898.67449421042829</v>
      </c>
      <c r="H156" s="70">
        <f t="shared" si="110"/>
        <v>496.09676608956119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1.1368683772161603E-13</v>
      </c>
      <c r="O156" s="14">
        <f>N156*VLOOKUP('Données projet'!$B$9,Paramètres!$A$1:$I$89,3,0)*VLOOKUP('Données projet'!$B$9,Paramètres!$A$1:$I$89,5,0)</f>
        <v>6.7984728957526396E-14</v>
      </c>
      <c r="P156" s="14">
        <f t="shared" si="141"/>
        <v>1.0682447123141398E-12</v>
      </c>
      <c r="Q156" s="22">
        <f t="shared" si="162"/>
        <v>1.978932943548152E-12</v>
      </c>
      <c r="R156" s="62">
        <f t="shared" si="109"/>
        <v>293.3333333333353</v>
      </c>
      <c r="S156" s="62">
        <f ca="1">AVERAGE(OFFSET($R$3,0,0,'Données projet'!$E$9+1,1))-AVERAGE(OFFSET($H$3,0,0,'Données projet'!$E$9+1,1))</f>
        <v>147.72913422715322</v>
      </c>
      <c r="T156" s="62">
        <f t="shared" si="142"/>
        <v>361.07991692964799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4.6664655197352864</v>
      </c>
      <c r="AA156" s="23">
        <f>EXP(-LN(2)/25)*AA155+(1-EXP(-LN(2)/25))/(LN(2)/25)*Calculateur!V156*Calculateur!X156*VLOOKUP('Données projet'!$B$9,Paramètres!$A$1:$I$89,3,0)*0.475*44/12</f>
        <v>1.4517090630406857</v>
      </c>
      <c r="AB156" s="23">
        <f>EXP(-LN(2)/2)*AB155+(1-EXP(-LN(2)/2))/(LN(2)/2)*V156*Y156*VLOOKUP('Données projet'!$B$9,Paramètres!$A$1:$I$89,3,0)*0.475*44/12</f>
        <v>1.3360316858242283E-17</v>
      </c>
      <c r="AC156" s="24">
        <f t="shared" si="163"/>
        <v>6.1181745827759721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>
        <f>AI156*VLOOKUP('Données projet'!$B$10,Paramètres!$A$1:$I$89,3,0)*VLOOKUP('Données projet'!$B$10,Paramètres!$A$1:$I$89,5,0)</f>
        <v>0</v>
      </c>
      <c r="AK156" s="14" t="e">
        <f t="shared" si="164"/>
        <v>#NUM!</v>
      </c>
      <c r="AL156" s="22" t="e">
        <f t="shared" si="165"/>
        <v>#NUM!</v>
      </c>
      <c r="AM156" s="62" t="e">
        <f t="shared" si="113"/>
        <v>#NUM!</v>
      </c>
      <c r="AN156" s="62">
        <f ca="1">AVERAGE(OFFSET($AM$3,0,0,'Données projet'!$E$10+1,1))-AVERAGE(OFFSET($H$3,0,0,'Données projet'!$E$10+1,1))</f>
        <v>151.58413719376074</v>
      </c>
      <c r="AO156" s="62">
        <f t="shared" si="144"/>
        <v>310.105543138185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8.6469287520241185</v>
      </c>
      <c r="AV156" s="23">
        <f>EXP(-LN(2)/25)*AV155+(1-EXP(-LN(2)/25))/(LN(2)/25)*Calculateur!AQ156*Calculateur!AS156*VLOOKUP('Données projet'!$B$10,Paramètres!$A$1:$I$89,3,0)*0.475*44/12</f>
        <v>0</v>
      </c>
      <c r="AW156" s="23">
        <f>EXP(-LN(2)/2)*AW155+(1-EXP(-LN(2)/2))/(LN(2)/2)*AQ156*AT156*VLOOKUP('Données projet'!$B$10,Paramètres!$A$1:$I$89,3,0)*0.475*44/12</f>
        <v>8.1566592711675894E-17</v>
      </c>
      <c r="AX156" s="23">
        <f t="shared" si="166"/>
        <v>8.6469287520241185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92.091999999999885</v>
      </c>
      <c r="D157" s="12">
        <f t="shared" si="140"/>
        <v>25.069088296004431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10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904.40138333757716</v>
      </c>
      <c r="H157" s="70">
        <f t="shared" si="110"/>
        <v>497.38889544887417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1.1368683772161603E-13</v>
      </c>
      <c r="O157" s="14">
        <f>N157*VLOOKUP('Données projet'!$B$9,Paramètres!$A$1:$I$89,3,0)*VLOOKUP('Données projet'!$B$9,Paramètres!$A$1:$I$89,5,0)</f>
        <v>6.7984728957526396E-14</v>
      </c>
      <c r="P157" s="14">
        <f t="shared" si="141"/>
        <v>1.0682447123141398E-12</v>
      </c>
      <c r="Q157" s="22">
        <f t="shared" si="162"/>
        <v>1.978932943548152E-12</v>
      </c>
      <c r="R157" s="62">
        <f t="shared" si="109"/>
        <v>293.3333333333353</v>
      </c>
      <c r="S157" s="62">
        <f ca="1">AVERAGE(OFFSET($R$3,0,0,'Données projet'!$E$9+1,1))-AVERAGE(OFFSET($H$3,0,0,'Données projet'!$E$9+1,1))</f>
        <v>147.72913422715322</v>
      </c>
      <c r="T157" s="62">
        <f t="shared" si="142"/>
        <v>361.07991692964799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4.5749589771561991</v>
      </c>
      <c r="AA157" s="23">
        <f>EXP(-LN(2)/25)*AA156+(1-EXP(-LN(2)/25))/(LN(2)/25)*Calculateur!V157*Calculateur!X157*VLOOKUP('Données projet'!$B$9,Paramètres!$A$1:$I$89,3,0)*0.475*44/12</f>
        <v>1.4120120023697764</v>
      </c>
      <c r="AB157" s="23">
        <f>EXP(-LN(2)/2)*AB156+(1-EXP(-LN(2)/2))/(LN(2)/2)*V157*Y157*VLOOKUP('Données projet'!$B$9,Paramètres!$A$1:$I$89,3,0)*0.475*44/12</f>
        <v>9.447170649264068E-18</v>
      </c>
      <c r="AC157" s="24">
        <f t="shared" si="163"/>
        <v>5.9869709795259753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>
        <f>AI157*VLOOKUP('Données projet'!$B$10,Paramètres!$A$1:$I$89,3,0)*VLOOKUP('Données projet'!$B$10,Paramètres!$A$1:$I$89,5,0)</f>
        <v>0</v>
      </c>
      <c r="AK157" s="14" t="e">
        <f t="shared" si="164"/>
        <v>#NUM!</v>
      </c>
      <c r="AL157" s="22" t="e">
        <f t="shared" si="165"/>
        <v>#NUM!</v>
      </c>
      <c r="AM157" s="62" t="e">
        <f t="shared" si="113"/>
        <v>#NUM!</v>
      </c>
      <c r="AN157" s="62">
        <f ca="1">AVERAGE(OFFSET($AM$3,0,0,'Données projet'!$E$10+1,1))-AVERAGE(OFFSET($H$3,0,0,'Données projet'!$E$10+1,1))</f>
        <v>151.58413719376074</v>
      </c>
      <c r="AO157" s="62">
        <f t="shared" si="144"/>
        <v>310.105543138185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8.4773677533026888</v>
      </c>
      <c r="AV157" s="23">
        <f>EXP(-LN(2)/25)*AV156+(1-EXP(-LN(2)/25))/(LN(2)/25)*Calculateur!AQ157*Calculateur!AS157*VLOOKUP('Données projet'!$B$10,Paramètres!$A$1:$I$89,3,0)*0.475*44/12</f>
        <v>0</v>
      </c>
      <c r="AW157" s="23">
        <f>EXP(-LN(2)/2)*AW156+(1-EXP(-LN(2)/2))/(LN(2)/2)*AQ157*AT157*VLOOKUP('Données projet'!$B$10,Paramètres!$A$1:$I$89,3,0)*0.475*44/12</f>
        <v>5.7676290824707248E-17</v>
      </c>
      <c r="AX157" s="23">
        <f t="shared" si="166"/>
        <v>8.4773677533026888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92.689999999999884</v>
      </c>
      <c r="D158" s="12">
        <f t="shared" si="140"/>
        <v>25.212872031125453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10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910.12743322272206</v>
      </c>
      <c r="H158" s="70">
        <f t="shared" si="110"/>
        <v>498.68083545420996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1.1368683772161603E-13</v>
      </c>
      <c r="O158" s="14">
        <f>N158*VLOOKUP('Données projet'!$B$9,Paramètres!$A$1:$I$89,3,0)*VLOOKUP('Données projet'!$B$9,Paramètres!$A$1:$I$89,5,0)</f>
        <v>6.7984728957526396E-14</v>
      </c>
      <c r="P158" s="14">
        <f t="shared" si="141"/>
        <v>1.0682447123141398E-12</v>
      </c>
      <c r="Q158" s="22">
        <f t="shared" si="162"/>
        <v>1.978932943548152E-12</v>
      </c>
      <c r="R158" s="62">
        <f t="shared" si="109"/>
        <v>293.3333333333353</v>
      </c>
      <c r="S158" s="62">
        <f ca="1">AVERAGE(OFFSET($R$3,0,0,'Données projet'!$E$9+1,1))-AVERAGE(OFFSET($H$3,0,0,'Données projet'!$E$9+1,1))</f>
        <v>147.72913422715322</v>
      </c>
      <c r="T158" s="62">
        <f t="shared" si="142"/>
        <v>361.07991692964799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4.4852468220636084</v>
      </c>
      <c r="AA158" s="23">
        <f>EXP(-LN(2)/25)*AA157+(1-EXP(-LN(2)/25))/(LN(2)/25)*Calculateur!V158*Calculateur!X158*VLOOKUP('Données projet'!$B$9,Paramètres!$A$1:$I$89,3,0)*0.475*44/12</f>
        <v>1.373400459910491</v>
      </c>
      <c r="AB158" s="23">
        <f>EXP(-LN(2)/2)*AB157+(1-EXP(-LN(2)/2))/(LN(2)/2)*V158*Y158*VLOOKUP('Données projet'!$B$9,Paramètres!$A$1:$I$89,3,0)*0.475*44/12</f>
        <v>6.6801584291211415E-18</v>
      </c>
      <c r="AC158" s="24">
        <f t="shared" si="163"/>
        <v>5.8586472819740996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>
        <f>AI158*VLOOKUP('Données projet'!$B$10,Paramètres!$A$1:$I$89,3,0)*VLOOKUP('Données projet'!$B$10,Paramètres!$A$1:$I$89,5,0)</f>
        <v>0</v>
      </c>
      <c r="AK158" s="14" t="e">
        <f t="shared" si="164"/>
        <v>#NUM!</v>
      </c>
      <c r="AL158" s="22" t="e">
        <f t="shared" si="165"/>
        <v>#NUM!</v>
      </c>
      <c r="AM158" s="62" t="e">
        <f t="shared" si="113"/>
        <v>#NUM!</v>
      </c>
      <c r="AN158" s="62">
        <f ca="1">AVERAGE(OFFSET($AM$3,0,0,'Données projet'!$E$10+1,1))-AVERAGE(OFFSET($H$3,0,0,'Données projet'!$E$10+1,1))</f>
        <v>151.58413719376074</v>
      </c>
      <c r="AO158" s="62">
        <f t="shared" si="144"/>
        <v>310.105543138185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8.3111317423441893</v>
      </c>
      <c r="AV158" s="23">
        <f>EXP(-LN(2)/25)*AV157+(1-EXP(-LN(2)/25))/(LN(2)/25)*Calculateur!AQ158*Calculateur!AS158*VLOOKUP('Données projet'!$B$10,Paramètres!$A$1:$I$89,3,0)*0.475*44/12</f>
        <v>0</v>
      </c>
      <c r="AW158" s="23">
        <f>EXP(-LN(2)/2)*AW157+(1-EXP(-LN(2)/2))/(LN(2)/2)*AQ158*AT158*VLOOKUP('Données projet'!$B$10,Paramètres!$A$1:$I$89,3,0)*0.475*44/12</f>
        <v>4.0783296355837947E-17</v>
      </c>
      <c r="AX158" s="23">
        <f t="shared" si="166"/>
        <v>8.3111317423441893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93.287999999999883</v>
      </c>
      <c r="D159" s="12">
        <f t="shared" si="140"/>
        <v>25.356547829040952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10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915.8526499083855</v>
      </c>
      <c r="H159" s="70">
        <f t="shared" si="110"/>
        <v>499.97258746891276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1.1368683772161603E-13</v>
      </c>
      <c r="O159" s="14">
        <f>N159*VLOOKUP('Données projet'!$B$9,Paramètres!$A$1:$I$89,3,0)*VLOOKUP('Données projet'!$B$9,Paramètres!$A$1:$I$89,5,0)</f>
        <v>6.7984728957526396E-14</v>
      </c>
      <c r="P159" s="14">
        <f t="shared" si="141"/>
        <v>1.0682447123141398E-12</v>
      </c>
      <c r="Q159" s="22">
        <f t="shared" si="162"/>
        <v>1.978932943548152E-12</v>
      </c>
      <c r="R159" s="62">
        <f t="shared" si="109"/>
        <v>293.3333333333353</v>
      </c>
      <c r="S159" s="62">
        <f ca="1">AVERAGE(OFFSET($R$3,0,0,'Données projet'!$E$9+1,1))-AVERAGE(OFFSET($H$3,0,0,'Données projet'!$E$9+1,1))</f>
        <v>147.72913422715322</v>
      </c>
      <c r="T159" s="62">
        <f t="shared" si="142"/>
        <v>361.07991692964799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4.3972938676133717</v>
      </c>
      <c r="AA159" s="23">
        <f>EXP(-LN(2)/25)*AA158+(1-EXP(-LN(2)/25))/(LN(2)/25)*Calculateur!V159*Calculateur!X159*VLOOKUP('Données projet'!$B$9,Paramètres!$A$1:$I$89,3,0)*0.475*44/12</f>
        <v>1.3358447521102474</v>
      </c>
      <c r="AB159" s="23">
        <f>EXP(-LN(2)/2)*AB158+(1-EXP(-LN(2)/2))/(LN(2)/2)*V159*Y159*VLOOKUP('Données projet'!$B$9,Paramètres!$A$1:$I$89,3,0)*0.475*44/12</f>
        <v>4.723585324632034E-18</v>
      </c>
      <c r="AC159" s="24">
        <f t="shared" si="163"/>
        <v>5.7331386197236194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>
        <f>AI159*VLOOKUP('Données projet'!$B$10,Paramètres!$A$1:$I$89,3,0)*VLOOKUP('Données projet'!$B$10,Paramètres!$A$1:$I$89,5,0)</f>
        <v>0</v>
      </c>
      <c r="AK159" s="14" t="e">
        <f t="shared" si="164"/>
        <v>#NUM!</v>
      </c>
      <c r="AL159" s="22" t="e">
        <f t="shared" si="165"/>
        <v>#NUM!</v>
      </c>
      <c r="AM159" s="62" t="e">
        <f t="shared" si="113"/>
        <v>#NUM!</v>
      </c>
      <c r="AN159" s="62">
        <f ca="1">AVERAGE(OFFSET($AM$3,0,0,'Données projet'!$E$10+1,1))-AVERAGE(OFFSET($H$3,0,0,'Données projet'!$E$10+1,1))</f>
        <v>151.58413719376074</v>
      </c>
      <c r="AO159" s="62">
        <f t="shared" si="144"/>
        <v>310.105543138185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8.1481555181666323</v>
      </c>
      <c r="AV159" s="23">
        <f>EXP(-LN(2)/25)*AV158+(1-EXP(-LN(2)/25))/(LN(2)/25)*Calculateur!AQ159*Calculateur!AS159*VLOOKUP('Données projet'!$B$10,Paramètres!$A$1:$I$89,3,0)*0.475*44/12</f>
        <v>0</v>
      </c>
      <c r="AW159" s="23">
        <f>EXP(-LN(2)/2)*AW158+(1-EXP(-LN(2)/2))/(LN(2)/2)*AQ159*AT159*VLOOKUP('Données projet'!$B$10,Paramètres!$A$1:$I$89,3,0)*0.475*44/12</f>
        <v>2.8838145412353624E-17</v>
      </c>
      <c r="AX159" s="23">
        <f t="shared" si="166"/>
        <v>8.1481555181666323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93.885999999999882</v>
      </c>
      <c r="D160" s="12">
        <f t="shared" si="140"/>
        <v>25.500116461916356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10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921.5770393551428</v>
      </c>
      <c r="H160" s="70">
        <f t="shared" si="110"/>
        <v>501.2641528378374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1.1368683772161603E-13</v>
      </c>
      <c r="O160" s="14">
        <f>N160*VLOOKUP('Données projet'!$B$9,Paramètres!$A$1:$I$89,3,0)*VLOOKUP('Données projet'!$B$9,Paramètres!$A$1:$I$89,5,0)</f>
        <v>6.7984728957526396E-14</v>
      </c>
      <c r="P160" s="14">
        <f t="shared" si="141"/>
        <v>1.0682447123141398E-12</v>
      </c>
      <c r="Q160" s="22">
        <f t="shared" si="162"/>
        <v>1.978932943548152E-12</v>
      </c>
      <c r="R160" s="62">
        <f t="shared" si="109"/>
        <v>293.3333333333353</v>
      </c>
      <c r="S160" s="62">
        <f ca="1">AVERAGE(OFFSET($R$3,0,0,'Données projet'!$E$9+1,1))-AVERAGE(OFFSET($H$3,0,0,'Données projet'!$E$9+1,1))</f>
        <v>147.72913422715322</v>
      </c>
      <c r="T160" s="62">
        <f t="shared" si="142"/>
        <v>361.07991692964799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4.3110656169538988</v>
      </c>
      <c r="AA160" s="23">
        <f>EXP(-LN(2)/25)*AA159+(1-EXP(-LN(2)/25))/(LN(2)/25)*Calculateur!V160*Calculateur!X160*VLOOKUP('Données projet'!$B$9,Paramètres!$A$1:$I$89,3,0)*0.475*44/12</f>
        <v>1.2993160071147702</v>
      </c>
      <c r="AB160" s="23">
        <f>EXP(-LN(2)/2)*AB159+(1-EXP(-LN(2)/2))/(LN(2)/2)*V160*Y160*VLOOKUP('Données projet'!$B$9,Paramètres!$A$1:$I$89,3,0)*0.475*44/12</f>
        <v>3.3400792145605707E-18</v>
      </c>
      <c r="AC160" s="24">
        <f t="shared" si="163"/>
        <v>5.610381624068669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>
        <f>AI160*VLOOKUP('Données projet'!$B$10,Paramètres!$A$1:$I$89,3,0)*VLOOKUP('Données projet'!$B$10,Paramètres!$A$1:$I$89,5,0)</f>
        <v>0</v>
      </c>
      <c r="AK160" s="14" t="e">
        <f t="shared" si="164"/>
        <v>#NUM!</v>
      </c>
      <c r="AL160" s="22" t="e">
        <f t="shared" si="165"/>
        <v>#NUM!</v>
      </c>
      <c r="AM160" s="62" t="e">
        <f t="shared" si="113"/>
        <v>#NUM!</v>
      </c>
      <c r="AN160" s="62">
        <f ca="1">AVERAGE(OFFSET($AM$3,0,0,'Données projet'!$E$10+1,1))-AVERAGE(OFFSET($H$3,0,0,'Données projet'!$E$10+1,1))</f>
        <v>151.58413719376074</v>
      </c>
      <c r="AO160" s="62">
        <f t="shared" si="144"/>
        <v>310.105543138185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7.9883751583395153</v>
      </c>
      <c r="AV160" s="23">
        <f>EXP(-LN(2)/25)*AV159+(1-EXP(-LN(2)/25))/(LN(2)/25)*Calculateur!AQ160*Calculateur!AS160*VLOOKUP('Données projet'!$B$10,Paramètres!$A$1:$I$89,3,0)*0.475*44/12</f>
        <v>0</v>
      </c>
      <c r="AW160" s="23">
        <f>EXP(-LN(2)/2)*AW159+(1-EXP(-LN(2)/2))/(LN(2)/2)*AQ160*AT160*VLOOKUP('Données projet'!$B$10,Paramètres!$A$1:$I$89,3,0)*0.475*44/12</f>
        <v>2.0391648177918974E-17</v>
      </c>
      <c r="AX160" s="23">
        <f t="shared" si="166"/>
        <v>7.9883751583395153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94.483999999999881</v>
      </c>
      <c r="D161" s="12">
        <f t="shared" si="140"/>
        <v>25.643578691511777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10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927.30060744324794</v>
      </c>
      <c r="H161" s="70">
        <f t="shared" si="110"/>
        <v>502.55553288771608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1.1368683772161603E-13</v>
      </c>
      <c r="O161" s="14">
        <f>N161*VLOOKUP('Données projet'!$B$9,Paramètres!$A$1:$I$89,3,0)*VLOOKUP('Données projet'!$B$9,Paramètres!$A$1:$I$89,5,0)</f>
        <v>6.7984728957526396E-14</v>
      </c>
      <c r="P161" s="14">
        <f t="shared" si="141"/>
        <v>1.0682447123141398E-12</v>
      </c>
      <c r="Q161" s="22">
        <f t="shared" si="162"/>
        <v>1.978932943548152E-12</v>
      </c>
      <c r="R161" s="62">
        <f t="shared" si="109"/>
        <v>293.3333333333353</v>
      </c>
      <c r="S161" s="62">
        <f ca="1">AVERAGE(OFFSET($R$3,0,0,'Données projet'!$E$9+1,1))-AVERAGE(OFFSET($H$3,0,0,'Données projet'!$E$9+1,1))</f>
        <v>147.72913422715322</v>
      </c>
      <c r="T161" s="62">
        <f t="shared" si="142"/>
        <v>361.07991692964799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4.2265282496958188</v>
      </c>
      <c r="AA161" s="23">
        <f>EXP(-LN(2)/25)*AA160+(1-EXP(-LN(2)/25))/(LN(2)/25)*Calculateur!V161*Calculateur!X161*VLOOKUP('Données projet'!$B$9,Paramètres!$A$1:$I$89,3,0)*0.475*44/12</f>
        <v>1.2637861425721577</v>
      </c>
      <c r="AB161" s="23">
        <f>EXP(-LN(2)/2)*AB160+(1-EXP(-LN(2)/2))/(LN(2)/2)*V161*Y161*VLOOKUP('Données projet'!$B$9,Paramètres!$A$1:$I$89,3,0)*0.475*44/12</f>
        <v>2.361792662316017E-18</v>
      </c>
      <c r="AC161" s="24">
        <f t="shared" si="163"/>
        <v>5.490314392267976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>
        <f>AI161*VLOOKUP('Données projet'!$B$10,Paramètres!$A$1:$I$89,3,0)*VLOOKUP('Données projet'!$B$10,Paramètres!$A$1:$I$89,5,0)</f>
        <v>0</v>
      </c>
      <c r="AK161" s="14" t="e">
        <f t="shared" si="164"/>
        <v>#NUM!</v>
      </c>
      <c r="AL161" s="22" t="e">
        <f t="shared" si="165"/>
        <v>#NUM!</v>
      </c>
      <c r="AM161" s="62" t="e">
        <f t="shared" si="113"/>
        <v>#NUM!</v>
      </c>
      <c r="AN161" s="62">
        <f ca="1">AVERAGE(OFFSET($AM$3,0,0,'Données projet'!$E$10+1,1))-AVERAGE(OFFSET($H$3,0,0,'Données projet'!$E$10+1,1))</f>
        <v>151.58413719376074</v>
      </c>
      <c r="AO161" s="62">
        <f t="shared" si="144"/>
        <v>310.105543138185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7.831727993912212</v>
      </c>
      <c r="AV161" s="23">
        <f>EXP(-LN(2)/25)*AV160+(1-EXP(-LN(2)/25))/(LN(2)/25)*Calculateur!AQ161*Calculateur!AS161*VLOOKUP('Données projet'!$B$10,Paramètres!$A$1:$I$89,3,0)*0.475*44/12</f>
        <v>0</v>
      </c>
      <c r="AW161" s="23">
        <f>EXP(-LN(2)/2)*AW160+(1-EXP(-LN(2)/2))/(LN(2)/2)*AQ161*AT161*VLOOKUP('Données projet'!$B$10,Paramètres!$A$1:$I$89,3,0)*0.475*44/12</f>
        <v>1.4419072706176812E-17</v>
      </c>
      <c r="AX161" s="23">
        <f t="shared" si="166"/>
        <v>7.831727993912212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95.08199999999988</v>
      </c>
      <c r="D162" s="12">
        <f t="shared" si="140"/>
        <v>25.786935269387101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10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933.0233599742154</v>
      </c>
      <c r="H162" s="70">
        <f t="shared" si="110"/>
        <v>503.84672892751564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1.1368683772161603E-13</v>
      </c>
      <c r="O162" s="14">
        <f>N162*VLOOKUP('Données projet'!$B$9,Paramètres!$A$1:$I$89,3,0)*VLOOKUP('Données projet'!$B$9,Paramètres!$A$1:$I$89,5,0)</f>
        <v>6.7984728957526396E-14</v>
      </c>
      <c r="P162" s="14">
        <f t="shared" si="141"/>
        <v>1.0682447123141398E-12</v>
      </c>
      <c r="Q162" s="22">
        <f t="shared" si="162"/>
        <v>1.978932943548152E-12</v>
      </c>
      <c r="R162" s="62">
        <f t="shared" si="109"/>
        <v>293.3333333333353</v>
      </c>
      <c r="S162" s="62">
        <f ca="1">AVERAGE(OFFSET($R$3,0,0,'Données projet'!$E$9+1,1))-AVERAGE(OFFSET($H$3,0,0,'Données projet'!$E$9+1,1))</f>
        <v>147.72913422715322</v>
      </c>
      <c r="T162" s="62">
        <f t="shared" si="142"/>
        <v>361.07991692964799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4.1436486086469673</v>
      </c>
      <c r="AA162" s="23">
        <f>EXP(-LN(2)/25)*AA161+(1-EXP(-LN(2)/25))/(LN(2)/25)*Calculateur!V162*Calculateur!X162*VLOOKUP('Données projet'!$B$9,Paramètres!$A$1:$I$89,3,0)*0.475*44/12</f>
        <v>1.2292278440438973</v>
      </c>
      <c r="AB162" s="23">
        <f>EXP(-LN(2)/2)*AB161+(1-EXP(-LN(2)/2))/(LN(2)/2)*V162*Y162*VLOOKUP('Données projet'!$B$9,Paramètres!$A$1:$I$89,3,0)*0.475*44/12</f>
        <v>1.6700396072802854E-18</v>
      </c>
      <c r="AC162" s="24">
        <f t="shared" si="163"/>
        <v>5.3728764526908641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>
        <f>AI162*VLOOKUP('Données projet'!$B$10,Paramètres!$A$1:$I$89,3,0)*VLOOKUP('Données projet'!$B$10,Paramètres!$A$1:$I$89,5,0)</f>
        <v>0</v>
      </c>
      <c r="AK162" s="14" t="e">
        <f t="shared" si="164"/>
        <v>#NUM!</v>
      </c>
      <c r="AL162" s="22" t="e">
        <f t="shared" si="165"/>
        <v>#NUM!</v>
      </c>
      <c r="AM162" s="62" t="e">
        <f t="shared" si="113"/>
        <v>#NUM!</v>
      </c>
      <c r="AN162" s="62">
        <f ca="1">AVERAGE(OFFSET($AM$3,0,0,'Données projet'!$E$10+1,1))-AVERAGE(OFFSET($H$3,0,0,'Données projet'!$E$10+1,1))</f>
        <v>151.58413719376074</v>
      </c>
      <c r="AO162" s="62">
        <f t="shared" si="144"/>
        <v>310.105543138185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7.6781525848339918</v>
      </c>
      <c r="AV162" s="23">
        <f>EXP(-LN(2)/25)*AV161+(1-EXP(-LN(2)/25))/(LN(2)/25)*Calculateur!AQ162*Calculateur!AS162*VLOOKUP('Données projet'!$B$10,Paramètres!$A$1:$I$89,3,0)*0.475*44/12</f>
        <v>0</v>
      </c>
      <c r="AW162" s="23">
        <f>EXP(-LN(2)/2)*AW161+(1-EXP(-LN(2)/2))/(LN(2)/2)*AQ162*AT162*VLOOKUP('Données projet'!$B$10,Paramètres!$A$1:$I$89,3,0)*0.475*44/12</f>
        <v>1.0195824088959487E-17</v>
      </c>
      <c r="AX162" s="23">
        <f t="shared" si="166"/>
        <v>7.6781525848339918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95.679999999999879</v>
      </c>
      <c r="D163" s="12">
        <f t="shared" si="140"/>
        <v>25.930186937101919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10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938.7453026723648</v>
      </c>
      <c r="H163" s="70">
        <f t="shared" si="110"/>
        <v>505.13774224878563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1.1368683772161603E-13</v>
      </c>
      <c r="O163" s="14">
        <f>N163*VLOOKUP('Données projet'!$B$9,Paramètres!$A$1:$I$89,3,0)*VLOOKUP('Données projet'!$B$9,Paramètres!$A$1:$I$89,5,0)</f>
        <v>6.7984728957526396E-14</v>
      </c>
      <c r="P163" s="14">
        <f t="shared" si="141"/>
        <v>1.0682447123141398E-12</v>
      </c>
      <c r="Q163" s="22">
        <f t="shared" si="162"/>
        <v>1.978932943548152E-12</v>
      </c>
      <c r="R163" s="62">
        <f t="shared" si="109"/>
        <v>293.3333333333353</v>
      </c>
      <c r="S163" s="62">
        <f ca="1">AVERAGE(OFFSET($R$3,0,0,'Données projet'!$E$9+1,1))-AVERAGE(OFFSET($H$3,0,0,'Données projet'!$E$9+1,1))</f>
        <v>147.72913422715322</v>
      </c>
      <c r="T163" s="62">
        <f t="shared" si="142"/>
        <v>361.07991692964799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4.0623941868074942</v>
      </c>
      <c r="AA163" s="23">
        <f>EXP(-LN(2)/25)*AA162+(1-EXP(-LN(2)/25))/(LN(2)/25)*Calculateur!V163*Calculateur!X163*VLOOKUP('Données projet'!$B$9,Paramètres!$A$1:$I$89,3,0)*0.475*44/12</f>
        <v>1.195614544006234</v>
      </c>
      <c r="AB163" s="23">
        <f>EXP(-LN(2)/2)*AB162+(1-EXP(-LN(2)/2))/(LN(2)/2)*V163*Y163*VLOOKUP('Données projet'!$B$9,Paramètres!$A$1:$I$89,3,0)*0.475*44/12</f>
        <v>1.1808963311580085E-18</v>
      </c>
      <c r="AC163" s="24">
        <f t="shared" si="163"/>
        <v>5.258008730813728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>
        <f>AI163*VLOOKUP('Données projet'!$B$10,Paramètres!$A$1:$I$89,3,0)*VLOOKUP('Données projet'!$B$10,Paramètres!$A$1:$I$89,5,0)</f>
        <v>0</v>
      </c>
      <c r="AK163" s="14" t="e">
        <f t="shared" si="164"/>
        <v>#NUM!</v>
      </c>
      <c r="AL163" s="22" t="e">
        <f t="shared" si="165"/>
        <v>#NUM!</v>
      </c>
      <c r="AM163" s="62" t="e">
        <f t="shared" si="113"/>
        <v>#NUM!</v>
      </c>
      <c r="AN163" s="62">
        <f ca="1">AVERAGE(OFFSET($AM$3,0,0,'Données projet'!$E$10+1,1))-AVERAGE(OFFSET($H$3,0,0,'Données projet'!$E$10+1,1))</f>
        <v>151.58413719376074</v>
      </c>
      <c r="AO163" s="62">
        <f t="shared" si="144"/>
        <v>310.105543138185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7.5275886958560454</v>
      </c>
      <c r="AV163" s="23">
        <f>EXP(-LN(2)/25)*AV162+(1-EXP(-LN(2)/25))/(LN(2)/25)*Calculateur!AQ163*Calculateur!AS163*VLOOKUP('Données projet'!$B$10,Paramètres!$A$1:$I$89,3,0)*0.475*44/12</f>
        <v>0</v>
      </c>
      <c r="AW163" s="23">
        <f>EXP(-LN(2)/2)*AW162+(1-EXP(-LN(2)/2))/(LN(2)/2)*AQ163*AT163*VLOOKUP('Données projet'!$B$10,Paramètres!$A$1:$I$89,3,0)*0.475*44/12</f>
        <v>7.2095363530884059E-18</v>
      </c>
      <c r="AX163" s="23">
        <f t="shared" si="166"/>
        <v>7.5275886958560454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96.277999999999878</v>
      </c>
      <c r="D164" s="12">
        <f t="shared" si="140"/>
        <v>26.073334426410252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10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944.46644118632378</v>
      </c>
      <c r="H164" s="70">
        <f t="shared" si="110"/>
        <v>506.42857412599761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1.1368683772161603E-13</v>
      </c>
      <c r="O164" s="14">
        <f>N164*VLOOKUP('Données projet'!$B$9,Paramètres!$A$1:$I$89,3,0)*VLOOKUP('Données projet'!$B$9,Paramètres!$A$1:$I$89,5,0)</f>
        <v>6.7984728957526396E-14</v>
      </c>
      <c r="P164" s="14">
        <f t="shared" si="141"/>
        <v>1.0682447123141398E-12</v>
      </c>
      <c r="Q164" s="22">
        <f t="shared" si="162"/>
        <v>1.978932943548152E-12</v>
      </c>
      <c r="R164" s="62">
        <f t="shared" si="109"/>
        <v>293.3333333333353</v>
      </c>
      <c r="S164" s="62">
        <f ca="1">AVERAGE(OFFSET($R$3,0,0,'Données projet'!$E$9+1,1))-AVERAGE(OFFSET($H$3,0,0,'Données projet'!$E$9+1,1))</f>
        <v>147.72913422715322</v>
      </c>
      <c r="T164" s="62">
        <f t="shared" si="142"/>
        <v>361.07991692964799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3.9827331146199891</v>
      </c>
      <c r="AA164" s="23">
        <f>EXP(-LN(2)/25)*AA163+(1-EXP(-LN(2)/25))/(LN(2)/25)*Calculateur!V164*Calculateur!X164*VLOOKUP('Données projet'!$B$9,Paramètres!$A$1:$I$89,3,0)*0.475*44/12</f>
        <v>1.1629204014257473</v>
      </c>
      <c r="AB164" s="23">
        <f>EXP(-LN(2)/2)*AB163+(1-EXP(-LN(2)/2))/(LN(2)/2)*V164*Y164*VLOOKUP('Données projet'!$B$9,Paramètres!$A$1:$I$89,3,0)*0.475*44/12</f>
        <v>8.3501980364014269E-19</v>
      </c>
      <c r="AC164" s="24">
        <f t="shared" si="163"/>
        <v>5.1456535160457362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>
        <f>AI164*VLOOKUP('Données projet'!$B$10,Paramètres!$A$1:$I$89,3,0)*VLOOKUP('Données projet'!$B$10,Paramètres!$A$1:$I$89,5,0)</f>
        <v>0</v>
      </c>
      <c r="AK164" s="14" t="e">
        <f t="shared" si="164"/>
        <v>#NUM!</v>
      </c>
      <c r="AL164" s="22" t="e">
        <f t="shared" si="165"/>
        <v>#NUM!</v>
      </c>
      <c r="AM164" s="62" t="e">
        <f t="shared" si="113"/>
        <v>#NUM!</v>
      </c>
      <c r="AN164" s="62">
        <f ca="1">AVERAGE(OFFSET($AM$3,0,0,'Données projet'!$E$10+1,1))-AVERAGE(OFFSET($H$3,0,0,'Données projet'!$E$10+1,1))</f>
        <v>151.58413719376074</v>
      </c>
      <c r="AO164" s="62">
        <f t="shared" si="144"/>
        <v>310.105543138185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7.3799772729060518</v>
      </c>
      <c r="AV164" s="23">
        <f>EXP(-LN(2)/25)*AV163+(1-EXP(-LN(2)/25))/(LN(2)/25)*Calculateur!AQ164*Calculateur!AS164*VLOOKUP('Données projet'!$B$10,Paramètres!$A$1:$I$89,3,0)*0.475*44/12</f>
        <v>0</v>
      </c>
      <c r="AW164" s="23">
        <f>EXP(-LN(2)/2)*AW163+(1-EXP(-LN(2)/2))/(LN(2)/2)*AQ164*AT164*VLOOKUP('Données projet'!$B$10,Paramètres!$A$1:$I$89,3,0)*0.475*44/12</f>
        <v>5.0979120444797434E-18</v>
      </c>
      <c r="AX164" s="23">
        <f t="shared" si="166"/>
        <v>7.3799772729060518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96.875999999999877</v>
      </c>
      <c r="D165" s="12">
        <f t="shared" si="140"/>
        <v>26.216378459450194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10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950.18678109049188</v>
      </c>
      <c r="H165" s="70">
        <f t="shared" si="110"/>
        <v>507.71922581687556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1.1368683772161603E-13</v>
      </c>
      <c r="O165" s="14">
        <f>N165*VLOOKUP('Données projet'!$B$9,Paramètres!$A$1:$I$89,3,0)*VLOOKUP('Données projet'!$B$9,Paramètres!$A$1:$I$89,5,0)</f>
        <v>6.7984728957526396E-14</v>
      </c>
      <c r="P165" s="14">
        <f t="shared" si="141"/>
        <v>1.0682447123141398E-12</v>
      </c>
      <c r="Q165" s="22">
        <f t="shared" si="162"/>
        <v>1.978932943548152E-12</v>
      </c>
      <c r="R165" s="62">
        <f t="shared" si="109"/>
        <v>293.3333333333353</v>
      </c>
      <c r="S165" s="62">
        <f ca="1">AVERAGE(OFFSET($R$3,0,0,'Données projet'!$E$9+1,1))-AVERAGE(OFFSET($H$3,0,0,'Données projet'!$E$9+1,1))</f>
        <v>147.72913422715322</v>
      </c>
      <c r="T165" s="62">
        <f t="shared" si="142"/>
        <v>361.07991692964799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3.9046341474696247</v>
      </c>
      <c r="AA165" s="23">
        <f>EXP(-LN(2)/25)*AA164+(1-EXP(-LN(2)/25))/(LN(2)/25)*Calculateur!V165*Calculateur!X165*VLOOKUP('Données projet'!$B$9,Paramètres!$A$1:$I$89,3,0)*0.475*44/12</f>
        <v>1.1311202818934343</v>
      </c>
      <c r="AB165" s="23">
        <f>EXP(-LN(2)/2)*AB164+(1-EXP(-LN(2)/2))/(LN(2)/2)*V165*Y165*VLOOKUP('Données projet'!$B$9,Paramètres!$A$1:$I$89,3,0)*0.475*44/12</f>
        <v>5.9044816557900425E-19</v>
      </c>
      <c r="AC165" s="24">
        <f t="shared" si="163"/>
        <v>5.0357544293630587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>
        <f>AI165*VLOOKUP('Données projet'!$B$10,Paramètres!$A$1:$I$89,3,0)*VLOOKUP('Données projet'!$B$10,Paramètres!$A$1:$I$89,5,0)</f>
        <v>0</v>
      </c>
      <c r="AK165" s="14" t="e">
        <f t="shared" si="164"/>
        <v>#NUM!</v>
      </c>
      <c r="AL165" s="22" t="e">
        <f t="shared" si="165"/>
        <v>#NUM!</v>
      </c>
      <c r="AM165" s="62" t="e">
        <f t="shared" si="113"/>
        <v>#NUM!</v>
      </c>
      <c r="AN165" s="62">
        <f ca="1">AVERAGE(OFFSET($AM$3,0,0,'Données projet'!$E$10+1,1))-AVERAGE(OFFSET($H$3,0,0,'Données projet'!$E$10+1,1))</f>
        <v>151.58413719376074</v>
      </c>
      <c r="AO165" s="62">
        <f t="shared" si="144"/>
        <v>310.105543138185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7.2352604199260302</v>
      </c>
      <c r="AV165" s="23">
        <f>EXP(-LN(2)/25)*AV164+(1-EXP(-LN(2)/25))/(LN(2)/25)*Calculateur!AQ165*Calculateur!AS165*VLOOKUP('Données projet'!$B$10,Paramètres!$A$1:$I$89,3,0)*0.475*44/12</f>
        <v>0</v>
      </c>
      <c r="AW165" s="23">
        <f>EXP(-LN(2)/2)*AW164+(1-EXP(-LN(2)/2))/(LN(2)/2)*AQ165*AT165*VLOOKUP('Données projet'!$B$10,Paramètres!$A$1:$I$89,3,0)*0.475*44/12</f>
        <v>3.604768176544203E-18</v>
      </c>
      <c r="AX165" s="23">
        <f t="shared" si="166"/>
        <v>7.2352604199260302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97.473999999999876</v>
      </c>
      <c r="D166" s="12">
        <f t="shared" si="140"/>
        <v>26.359319748929014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10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955.90632788646872</v>
      </c>
      <c r="H166" s="70">
        <f t="shared" si="110"/>
        <v>509.00969856271774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1.1368683772161603E-13</v>
      </c>
      <c r="O166" s="14">
        <f>N166*VLOOKUP('Données projet'!$B$9,Paramètres!$A$1:$I$89,3,0)*VLOOKUP('Données projet'!$B$9,Paramètres!$A$1:$I$89,5,0)</f>
        <v>6.7984728957526396E-14</v>
      </c>
      <c r="P166" s="14">
        <f t="shared" si="141"/>
        <v>1.0682447123141398E-12</v>
      </c>
      <c r="Q166" s="22">
        <f t="shared" si="162"/>
        <v>1.978932943548152E-12</v>
      </c>
      <c r="R166" s="62">
        <f t="shared" si="109"/>
        <v>293.3333333333353</v>
      </c>
      <c r="S166" s="62">
        <f ca="1">AVERAGE(OFFSET($R$3,0,0,'Données projet'!$E$9+1,1))-AVERAGE(OFFSET($H$3,0,0,'Données projet'!$E$9+1,1))</f>
        <v>147.72913422715322</v>
      </c>
      <c r="T166" s="62">
        <f t="shared" si="142"/>
        <v>361.07991692964799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3.8280666534294125</v>
      </c>
      <c r="AA166" s="23">
        <f>EXP(-LN(2)/25)*AA165+(1-EXP(-LN(2)/25))/(LN(2)/25)*Calculateur!V166*Calculateur!X166*VLOOKUP('Données projet'!$B$9,Paramètres!$A$1:$I$89,3,0)*0.475*44/12</f>
        <v>1.1001897383020278</v>
      </c>
      <c r="AB166" s="23">
        <f>EXP(-LN(2)/2)*AB165+(1-EXP(-LN(2)/2))/(LN(2)/2)*V166*Y166*VLOOKUP('Données projet'!$B$9,Paramètres!$A$1:$I$89,3,0)*0.475*44/12</f>
        <v>4.1750990182007134E-19</v>
      </c>
      <c r="AC166" s="24">
        <f t="shared" si="163"/>
        <v>4.9282563917314404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>
        <f>AI166*VLOOKUP('Données projet'!$B$10,Paramètres!$A$1:$I$89,3,0)*VLOOKUP('Données projet'!$B$10,Paramètres!$A$1:$I$89,5,0)</f>
        <v>0</v>
      </c>
      <c r="AK166" s="14" t="e">
        <f t="shared" si="164"/>
        <v>#NUM!</v>
      </c>
      <c r="AL166" s="22" t="e">
        <f t="shared" si="165"/>
        <v>#NUM!</v>
      </c>
      <c r="AM166" s="62" t="e">
        <f t="shared" si="113"/>
        <v>#NUM!</v>
      </c>
      <c r="AN166" s="62">
        <f ca="1">AVERAGE(OFFSET($AM$3,0,0,'Données projet'!$E$10+1,1))-AVERAGE(OFFSET($H$3,0,0,'Données projet'!$E$10+1,1))</f>
        <v>151.58413719376074</v>
      </c>
      <c r="AO166" s="62">
        <f t="shared" si="144"/>
        <v>310.105543138185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7.0933813761643822</v>
      </c>
      <c r="AV166" s="23">
        <f>EXP(-LN(2)/25)*AV165+(1-EXP(-LN(2)/25))/(LN(2)/25)*Calculateur!AQ166*Calculateur!AS166*VLOOKUP('Données projet'!$B$10,Paramètres!$A$1:$I$89,3,0)*0.475*44/12</f>
        <v>0</v>
      </c>
      <c r="AW166" s="23">
        <f>EXP(-LN(2)/2)*AW165+(1-EXP(-LN(2)/2))/(LN(2)/2)*AQ166*AT166*VLOOKUP('Données projet'!$B$10,Paramètres!$A$1:$I$89,3,0)*0.475*44/12</f>
        <v>2.5489560222398717E-18</v>
      </c>
      <c r="AX166" s="23">
        <f t="shared" si="166"/>
        <v>7.0933813761643822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98.071999999999875</v>
      </c>
      <c r="D167" s="12">
        <f t="shared" si="140"/>
        <v>26.502158998303084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10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961.62508700444403</v>
      </c>
      <c r="H167" s="70">
        <f t="shared" si="110"/>
        <v>510.299993588711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1.1368683772161603E-13</v>
      </c>
      <c r="O167" s="14">
        <f>N167*VLOOKUP('Données projet'!$B$9,Paramètres!$A$1:$I$89,3,0)*VLOOKUP('Données projet'!$B$9,Paramètres!$A$1:$I$89,5,0)</f>
        <v>6.7984728957526396E-14</v>
      </c>
      <c r="P167" s="14">
        <f t="shared" si="141"/>
        <v>1.0682447123141398E-12</v>
      </c>
      <c r="Q167" s="22">
        <f t="shared" si="162"/>
        <v>1.978932943548152E-12</v>
      </c>
      <c r="R167" s="62">
        <f t="shared" si="109"/>
        <v>293.3333333333353</v>
      </c>
      <c r="S167" s="62">
        <f ca="1">AVERAGE(OFFSET($R$3,0,0,'Données projet'!$E$9+1,1))-AVERAGE(OFFSET($H$3,0,0,'Données projet'!$E$9+1,1))</f>
        <v>147.72913422715322</v>
      </c>
      <c r="T167" s="62">
        <f t="shared" si="142"/>
        <v>361.07991692964799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3.7530006012457693</v>
      </c>
      <c r="AA167" s="23">
        <f>EXP(-LN(2)/25)*AA166+(1-EXP(-LN(2)/25))/(LN(2)/25)*Calculateur!V167*Calculateur!X167*VLOOKUP('Données projet'!$B$9,Paramètres!$A$1:$I$89,3,0)*0.475*44/12</f>
        <v>1.070104992051695</v>
      </c>
      <c r="AB167" s="23">
        <f>EXP(-LN(2)/2)*AB166+(1-EXP(-LN(2)/2))/(LN(2)/2)*V167*Y167*VLOOKUP('Données projet'!$B$9,Paramètres!$A$1:$I$89,3,0)*0.475*44/12</f>
        <v>2.9522408278950212E-19</v>
      </c>
      <c r="AC167" s="24">
        <f t="shared" si="163"/>
        <v>4.8231055932974645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>
        <f>AI167*VLOOKUP('Données projet'!$B$10,Paramètres!$A$1:$I$89,3,0)*VLOOKUP('Données projet'!$B$10,Paramètres!$A$1:$I$89,5,0)</f>
        <v>0</v>
      </c>
      <c r="AK167" s="14" t="e">
        <f t="shared" si="164"/>
        <v>#NUM!</v>
      </c>
      <c r="AL167" s="22" t="e">
        <f t="shared" si="165"/>
        <v>#NUM!</v>
      </c>
      <c r="AM167" s="62" t="e">
        <f t="shared" si="113"/>
        <v>#NUM!</v>
      </c>
      <c r="AN167" s="62">
        <f ca="1">AVERAGE(OFFSET($AM$3,0,0,'Données projet'!$E$10+1,1))-AVERAGE(OFFSET($H$3,0,0,'Données projet'!$E$10+1,1))</f>
        <v>151.58413719376074</v>
      </c>
      <c r="AO167" s="62">
        <f t="shared" si="144"/>
        <v>310.105543138185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6.954284493913228</v>
      </c>
      <c r="AV167" s="23">
        <f>EXP(-LN(2)/25)*AV166+(1-EXP(-LN(2)/25))/(LN(2)/25)*Calculateur!AQ167*Calculateur!AS167*VLOOKUP('Données projet'!$B$10,Paramètres!$A$1:$I$89,3,0)*0.475*44/12</f>
        <v>0</v>
      </c>
      <c r="AW167" s="23">
        <f>EXP(-LN(2)/2)*AW166+(1-EXP(-LN(2)/2))/(LN(2)/2)*AQ167*AT167*VLOOKUP('Données projet'!$B$10,Paramètres!$A$1:$I$89,3,0)*0.475*44/12</f>
        <v>1.8023840882721015E-18</v>
      </c>
      <c r="AX167" s="23">
        <f t="shared" si="166"/>
        <v>6.954284493913228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98.669999999999874</v>
      </c>
      <c r="D168" s="12">
        <f t="shared" si="140"/>
        <v>26.644896901954041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10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967.34306380455655</v>
      </c>
      <c r="H168" s="70">
        <f t="shared" si="110"/>
        <v>511.59011210423637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1.1368683772161603E-13</v>
      </c>
      <c r="O168" s="14">
        <f>N168*VLOOKUP('Données projet'!$B$9,Paramètres!$A$1:$I$89,3,0)*VLOOKUP('Données projet'!$B$9,Paramètres!$A$1:$I$89,5,0)</f>
        <v>6.7984728957526396E-14</v>
      </c>
      <c r="P168" s="14">
        <f t="shared" si="141"/>
        <v>1.0682447123141398E-12</v>
      </c>
      <c r="Q168" s="22">
        <f t="shared" si="162"/>
        <v>1.978932943548152E-12</v>
      </c>
      <c r="R168" s="62">
        <f t="shared" si="109"/>
        <v>293.3333333333353</v>
      </c>
      <c r="S168" s="62">
        <f ca="1">AVERAGE(OFFSET($R$3,0,0,'Données projet'!$E$9+1,1))-AVERAGE(OFFSET($H$3,0,0,'Données projet'!$E$9+1,1))</f>
        <v>147.72913422715322</v>
      </c>
      <c r="T168" s="62">
        <f t="shared" si="142"/>
        <v>361.07991692964799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3.6794065485596761</v>
      </c>
      <c r="AA168" s="23">
        <f>EXP(-LN(2)/25)*AA167+(1-EXP(-LN(2)/25))/(LN(2)/25)*Calculateur!V168*Calculateur!X168*VLOOKUP('Données projet'!$B$9,Paramètres!$A$1:$I$89,3,0)*0.475*44/12</f>
        <v>1.0408429147696656</v>
      </c>
      <c r="AB168" s="23">
        <f>EXP(-LN(2)/2)*AB167+(1-EXP(-LN(2)/2))/(LN(2)/2)*V168*Y168*VLOOKUP('Données projet'!$B$9,Paramètres!$A$1:$I$89,3,0)*0.475*44/12</f>
        <v>2.0875495091003567E-19</v>
      </c>
      <c r="AC168" s="24">
        <f t="shared" si="163"/>
        <v>4.7202494633293419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>
        <f>AI168*VLOOKUP('Données projet'!$B$10,Paramètres!$A$1:$I$89,3,0)*VLOOKUP('Données projet'!$B$10,Paramètres!$A$1:$I$89,5,0)</f>
        <v>0</v>
      </c>
      <c r="AK168" s="14" t="e">
        <f t="shared" si="164"/>
        <v>#NUM!</v>
      </c>
      <c r="AL168" s="22" t="e">
        <f t="shared" si="165"/>
        <v>#NUM!</v>
      </c>
      <c r="AM168" s="62" t="e">
        <f t="shared" si="113"/>
        <v>#NUM!</v>
      </c>
      <c r="AN168" s="62">
        <f ca="1">AVERAGE(OFFSET($AM$3,0,0,'Données projet'!$E$10+1,1))-AVERAGE(OFFSET($H$3,0,0,'Données projet'!$E$10+1,1))</f>
        <v>151.58413719376074</v>
      </c>
      <c r="AO168" s="62">
        <f t="shared" si="144"/>
        <v>310.105543138185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6.8179152166822981</v>
      </c>
      <c r="AV168" s="23">
        <f>EXP(-LN(2)/25)*AV167+(1-EXP(-LN(2)/25))/(LN(2)/25)*Calculateur!AQ168*Calculateur!AS168*VLOOKUP('Données projet'!$B$10,Paramètres!$A$1:$I$89,3,0)*0.475*44/12</f>
        <v>0</v>
      </c>
      <c r="AW168" s="23">
        <f>EXP(-LN(2)/2)*AW167+(1-EXP(-LN(2)/2))/(LN(2)/2)*AQ168*AT168*VLOOKUP('Données projet'!$B$10,Paramètres!$A$1:$I$89,3,0)*0.475*44/12</f>
        <v>1.2744780111199358E-18</v>
      </c>
      <c r="AX168" s="23">
        <f t="shared" si="166"/>
        <v>6.8179152166822981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99.267999999999873</v>
      </c>
      <c r="D169" s="12">
        <f t="shared" si="140"/>
        <v>26.787534145359764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10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973.06026357821474</v>
      </c>
      <c r="H169" s="70">
        <f t="shared" si="110"/>
        <v>512.88005530316809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1.1368683772161603E-13</v>
      </c>
      <c r="O169" s="14">
        <f>N169*VLOOKUP('Données projet'!$B$9,Paramètres!$A$1:$I$89,3,0)*VLOOKUP('Données projet'!$B$9,Paramètres!$A$1:$I$89,5,0)</f>
        <v>6.7984728957526396E-14</v>
      </c>
      <c r="P169" s="14">
        <f t="shared" si="141"/>
        <v>1.0682447123141398E-12</v>
      </c>
      <c r="Q169" s="22">
        <f t="shared" si="162"/>
        <v>1.978932943548152E-12</v>
      </c>
      <c r="R169" s="62">
        <f t="shared" si="109"/>
        <v>293.3333333333353</v>
      </c>
      <c r="S169" s="62">
        <f ca="1">AVERAGE(OFFSET($R$3,0,0,'Données projet'!$E$9+1,1))-AVERAGE(OFFSET($H$3,0,0,'Données projet'!$E$9+1,1))</f>
        <v>147.72913422715322</v>
      </c>
      <c r="T169" s="62">
        <f t="shared" si="142"/>
        <v>361.07991692964799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3.6072556303588175</v>
      </c>
      <c r="AA169" s="23">
        <f>EXP(-LN(2)/25)*AA168+(1-EXP(-LN(2)/25))/(LN(2)/25)*Calculateur!V169*Calculateur!X169*VLOOKUP('Données projet'!$B$9,Paramètres!$A$1:$I$89,3,0)*0.475*44/12</f>
        <v>1.0123810105297391</v>
      </c>
      <c r="AB169" s="23">
        <f>EXP(-LN(2)/2)*AB168+(1-EXP(-LN(2)/2))/(LN(2)/2)*V169*Y169*VLOOKUP('Données projet'!$B$9,Paramètres!$A$1:$I$89,3,0)*0.475*44/12</f>
        <v>1.4761204139475106E-19</v>
      </c>
      <c r="AC169" s="24">
        <f t="shared" si="163"/>
        <v>4.6196366408885563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>
        <f>AI169*VLOOKUP('Données projet'!$B$10,Paramètres!$A$1:$I$89,3,0)*VLOOKUP('Données projet'!$B$10,Paramètres!$A$1:$I$89,5,0)</f>
        <v>0</v>
      </c>
      <c r="AK169" s="14" t="e">
        <f t="shared" si="164"/>
        <v>#NUM!</v>
      </c>
      <c r="AL169" s="22" t="e">
        <f t="shared" si="165"/>
        <v>#NUM!</v>
      </c>
      <c r="AM169" s="62" t="e">
        <f t="shared" si="113"/>
        <v>#NUM!</v>
      </c>
      <c r="AN169" s="62">
        <f ca="1">AVERAGE(OFFSET($AM$3,0,0,'Données projet'!$E$10+1,1))-AVERAGE(OFFSET($H$3,0,0,'Données projet'!$E$10+1,1))</f>
        <v>151.58413719376074</v>
      </c>
      <c r="AO169" s="62">
        <f t="shared" si="144"/>
        <v>310.105543138185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6.6842200578008208</v>
      </c>
      <c r="AV169" s="23">
        <f>EXP(-LN(2)/25)*AV168+(1-EXP(-LN(2)/25))/(LN(2)/25)*Calculateur!AQ169*Calculateur!AS169*VLOOKUP('Données projet'!$B$10,Paramètres!$A$1:$I$89,3,0)*0.475*44/12</f>
        <v>0</v>
      </c>
      <c r="AW169" s="23">
        <f>EXP(-LN(2)/2)*AW168+(1-EXP(-LN(2)/2))/(LN(2)/2)*AQ169*AT169*VLOOKUP('Données projet'!$B$10,Paramètres!$A$1:$I$89,3,0)*0.475*44/12</f>
        <v>9.0119204413605074E-19</v>
      </c>
      <c r="AX169" s="23">
        <f t="shared" si="166"/>
        <v>6.6842200578008208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99.865999999999872</v>
      </c>
      <c r="D170" s="12">
        <f t="shared" si="140"/>
        <v>26.930071405261604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10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978.77669154938678</v>
      </c>
      <c r="H170" s="70">
        <f t="shared" si="110"/>
        <v>514.16982436416379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1.1368683772161603E-13</v>
      </c>
      <c r="O170" s="14">
        <f>N170*VLOOKUP('Données projet'!$B$9,Paramètres!$A$1:$I$89,3,0)*VLOOKUP('Données projet'!$B$9,Paramètres!$A$1:$I$89,5,0)</f>
        <v>6.7984728957526396E-14</v>
      </c>
      <c r="P170" s="14">
        <f t="shared" si="141"/>
        <v>1.0682447123141398E-12</v>
      </c>
      <c r="Q170" s="22">
        <f t="shared" si="162"/>
        <v>1.978932943548152E-12</v>
      </c>
      <c r="R170" s="62">
        <f t="shared" si="109"/>
        <v>293.3333333333353</v>
      </c>
      <c r="S170" s="62">
        <f ca="1">AVERAGE(OFFSET($R$3,0,0,'Données projet'!$E$9+1,1))-AVERAGE(OFFSET($H$3,0,0,'Données projet'!$E$9+1,1))</f>
        <v>147.72913422715322</v>
      </c>
      <c r="T170" s="62">
        <f t="shared" si="142"/>
        <v>361.07991692964799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3.5365195476561628</v>
      </c>
      <c r="AA170" s="23">
        <f>EXP(-LN(2)/25)*AA169+(1-EXP(-LN(2)/25))/(LN(2)/25)*Calculateur!V170*Calculateur!X170*VLOOKUP('Données projet'!$B$9,Paramètres!$A$1:$I$89,3,0)*0.475*44/12</f>
        <v>0.98469739855799987</v>
      </c>
      <c r="AB170" s="23">
        <f>EXP(-LN(2)/2)*AB169+(1-EXP(-LN(2)/2))/(LN(2)/2)*V170*Y170*VLOOKUP('Données projet'!$B$9,Paramètres!$A$1:$I$89,3,0)*0.475*44/12</f>
        <v>1.0437747545501784E-19</v>
      </c>
      <c r="AC170" s="24">
        <f t="shared" si="163"/>
        <v>4.5212169462141629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>
        <f>AI170*VLOOKUP('Données projet'!$B$10,Paramètres!$A$1:$I$89,3,0)*VLOOKUP('Données projet'!$B$10,Paramètres!$A$1:$I$89,5,0)</f>
        <v>0</v>
      </c>
      <c r="AK170" s="14" t="e">
        <f t="shared" si="164"/>
        <v>#NUM!</v>
      </c>
      <c r="AL170" s="22" t="e">
        <f t="shared" si="165"/>
        <v>#NUM!</v>
      </c>
      <c r="AM170" s="62" t="e">
        <f t="shared" si="113"/>
        <v>#NUM!</v>
      </c>
      <c r="AN170" s="62">
        <f ca="1">AVERAGE(OFFSET($AM$3,0,0,'Données projet'!$E$10+1,1))-AVERAGE(OFFSET($H$3,0,0,'Données projet'!$E$10+1,1))</f>
        <v>151.58413719376074</v>
      </c>
      <c r="AO170" s="62">
        <f t="shared" si="144"/>
        <v>310.105543138185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6.5531465794390149</v>
      </c>
      <c r="AV170" s="23">
        <f>EXP(-LN(2)/25)*AV169+(1-EXP(-LN(2)/25))/(LN(2)/25)*Calculateur!AQ170*Calculateur!AS170*VLOOKUP('Données projet'!$B$10,Paramètres!$A$1:$I$89,3,0)*0.475*44/12</f>
        <v>0</v>
      </c>
      <c r="AW170" s="23">
        <f>EXP(-LN(2)/2)*AW169+(1-EXP(-LN(2)/2))/(LN(2)/2)*AQ170*AT170*VLOOKUP('Données projet'!$B$10,Paramètres!$A$1:$I$89,3,0)*0.475*44/12</f>
        <v>6.3723900555996792E-19</v>
      </c>
      <c r="AX170" s="23">
        <f t="shared" si="166"/>
        <v>6.5531465794390149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100.46399999999987</v>
      </c>
      <c r="D171" s="12">
        <f t="shared" si="140"/>
        <v>27.072509349827431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10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984.49235287585998</v>
      </c>
      <c r="H171" s="70">
        <f t="shared" si="110"/>
        <v>515.45942045094921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1.1368683772161603E-13</v>
      </c>
      <c r="O171" s="14">
        <f>N171*VLOOKUP('Données projet'!$B$9,Paramètres!$A$1:$I$89,3,0)*VLOOKUP('Données projet'!$B$9,Paramètres!$A$1:$I$89,5,0)</f>
        <v>6.7984728957526396E-14</v>
      </c>
      <c r="P171" s="14">
        <f t="shared" si="141"/>
        <v>1.0682447123141398E-12</v>
      </c>
      <c r="Q171" s="22">
        <f t="shared" si="162"/>
        <v>1.978932943548152E-12</v>
      </c>
      <c r="R171" s="62">
        <f t="shared" si="109"/>
        <v>293.3333333333353</v>
      </c>
      <c r="S171" s="62">
        <f ca="1">AVERAGE(OFFSET($R$3,0,0,'Données projet'!$E$9+1,1))-AVERAGE(OFFSET($H$3,0,0,'Données projet'!$E$9+1,1))</f>
        <v>147.72913422715322</v>
      </c>
      <c r="T171" s="62">
        <f t="shared" si="142"/>
        <v>361.07991692964799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3.467170556390557</v>
      </c>
      <c r="AA171" s="23">
        <f>EXP(-LN(2)/25)*AA170+(1-EXP(-LN(2)/25))/(LN(2)/25)*Calculateur!V171*Calculateur!X171*VLOOKUP('Données projet'!$B$9,Paramètres!$A$1:$I$89,3,0)*0.475*44/12</f>
        <v>0.95777079641144569</v>
      </c>
      <c r="AB171" s="23">
        <f>EXP(-LN(2)/2)*AB170+(1-EXP(-LN(2)/2))/(LN(2)/2)*V171*Y171*VLOOKUP('Données projet'!$B$9,Paramètres!$A$1:$I$89,3,0)*0.475*44/12</f>
        <v>7.3806020697375531E-20</v>
      </c>
      <c r="AC171" s="24">
        <f t="shared" si="163"/>
        <v>4.4249413528020032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>
        <f>AI171*VLOOKUP('Données projet'!$B$10,Paramètres!$A$1:$I$89,3,0)*VLOOKUP('Données projet'!$B$10,Paramètres!$A$1:$I$89,5,0)</f>
        <v>0</v>
      </c>
      <c r="AK171" s="14" t="e">
        <f t="shared" si="164"/>
        <v>#NUM!</v>
      </c>
      <c r="AL171" s="22" t="e">
        <f t="shared" si="165"/>
        <v>#NUM!</v>
      </c>
      <c r="AM171" s="62" t="e">
        <f t="shared" si="113"/>
        <v>#NUM!</v>
      </c>
      <c r="AN171" s="62">
        <f ca="1">AVERAGE(OFFSET($AM$3,0,0,'Données projet'!$E$10+1,1))-AVERAGE(OFFSET($H$3,0,0,'Données projet'!$E$10+1,1))</f>
        <v>151.58413719376074</v>
      </c>
      <c r="AO171" s="62">
        <f t="shared" si="144"/>
        <v>310.105543138185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6.4246433720409559</v>
      </c>
      <c r="AV171" s="23">
        <f>EXP(-LN(2)/25)*AV170+(1-EXP(-LN(2)/25))/(LN(2)/25)*Calculateur!AQ171*Calculateur!AS171*VLOOKUP('Données projet'!$B$10,Paramètres!$A$1:$I$89,3,0)*0.475*44/12</f>
        <v>0</v>
      </c>
      <c r="AW171" s="23">
        <f>EXP(-LN(2)/2)*AW170+(1-EXP(-LN(2)/2))/(LN(2)/2)*AQ171*AT171*VLOOKUP('Données projet'!$B$10,Paramètres!$A$1:$I$89,3,0)*0.475*44/12</f>
        <v>4.5059602206802537E-19</v>
      </c>
      <c r="AX171" s="23">
        <f t="shared" si="166"/>
        <v>6.4246433720409559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101.06199999999987</v>
      </c>
      <c r="D172" s="12">
        <f t="shared" si="140"/>
        <v>27.214848638810537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10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990.20725265046633</v>
      </c>
      <c r="H172" s="70">
        <f t="shared" si="110"/>
        <v>516.74884471259475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1.1368683772161603E-13</v>
      </c>
      <c r="O172" s="14">
        <f>N172*VLOOKUP('Données projet'!$B$9,Paramètres!$A$1:$I$89,3,0)*VLOOKUP('Données projet'!$B$9,Paramètres!$A$1:$I$89,5,0)</f>
        <v>6.7984728957526396E-14</v>
      </c>
      <c r="P172" s="14">
        <f t="shared" si="141"/>
        <v>1.0682447123141398E-12</v>
      </c>
      <c r="Q172" s="22">
        <f t="shared" si="162"/>
        <v>1.978932943548152E-12</v>
      </c>
      <c r="R172" s="62">
        <f t="shared" si="109"/>
        <v>293.3333333333353</v>
      </c>
      <c r="S172" s="62">
        <f ca="1">AVERAGE(OFFSET($R$3,0,0,'Données projet'!$E$9+1,1))-AVERAGE(OFFSET($H$3,0,0,'Données projet'!$E$9+1,1))</f>
        <v>147.72913422715322</v>
      </c>
      <c r="T172" s="62">
        <f t="shared" si="142"/>
        <v>361.07991692964799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3.3991814565449618</v>
      </c>
      <c r="AA172" s="23">
        <f>EXP(-LN(2)/25)*AA171+(1-EXP(-LN(2)/25))/(LN(2)/25)*Calculateur!V172*Calculateur!X172*VLOOKUP('Données projet'!$B$9,Paramètres!$A$1:$I$89,3,0)*0.475*44/12</f>
        <v>0.9315805036165975</v>
      </c>
      <c r="AB172" s="23">
        <f>EXP(-LN(2)/2)*AB171+(1-EXP(-LN(2)/2))/(LN(2)/2)*V172*Y172*VLOOKUP('Données projet'!$B$9,Paramètres!$A$1:$I$89,3,0)*0.475*44/12</f>
        <v>5.2188737727508918E-20</v>
      </c>
      <c r="AC172" s="24">
        <f t="shared" si="163"/>
        <v>4.330761960161559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>
        <f>AI172*VLOOKUP('Données projet'!$B$10,Paramètres!$A$1:$I$89,3,0)*VLOOKUP('Données projet'!$B$10,Paramètres!$A$1:$I$89,5,0)</f>
        <v>0</v>
      </c>
      <c r="AK172" s="14" t="e">
        <f t="shared" si="164"/>
        <v>#NUM!</v>
      </c>
      <c r="AL172" s="22" t="e">
        <f t="shared" si="165"/>
        <v>#NUM!</v>
      </c>
      <c r="AM172" s="62" t="e">
        <f t="shared" si="113"/>
        <v>#NUM!</v>
      </c>
      <c r="AN172" s="62">
        <f ca="1">AVERAGE(OFFSET($AM$3,0,0,'Données projet'!$E$10+1,1))-AVERAGE(OFFSET($H$3,0,0,'Données projet'!$E$10+1,1))</f>
        <v>151.58413719376074</v>
      </c>
      <c r="AO172" s="62">
        <f t="shared" si="144"/>
        <v>310.105543138185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6.2986600341607559</v>
      </c>
      <c r="AV172" s="23">
        <f>EXP(-LN(2)/25)*AV171+(1-EXP(-LN(2)/25))/(LN(2)/25)*Calculateur!AQ172*Calculateur!AS172*VLOOKUP('Données projet'!$B$10,Paramètres!$A$1:$I$89,3,0)*0.475*44/12</f>
        <v>0</v>
      </c>
      <c r="AW172" s="23">
        <f>EXP(-LN(2)/2)*AW171+(1-EXP(-LN(2)/2))/(LN(2)/2)*AQ172*AT172*VLOOKUP('Données projet'!$B$10,Paramètres!$A$1:$I$89,3,0)*0.475*44/12</f>
        <v>3.1861950277998396E-19</v>
      </c>
      <c r="AX172" s="23">
        <f t="shared" si="166"/>
        <v>6.2986600341607559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101.65999999999987</v>
      </c>
      <c r="D173" s="12">
        <f t="shared" si="140"/>
        <v>27.35708992370472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10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995.92139590228101</v>
      </c>
      <c r="H173" s="70">
        <f t="shared" si="110"/>
        <v>518.03809828378553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1.1368683772161603E-13</v>
      </c>
      <c r="O173" s="14">
        <f>N173*VLOOKUP('Données projet'!$B$9,Paramètres!$A$1:$I$89,3,0)*VLOOKUP('Données projet'!$B$9,Paramètres!$A$1:$I$89,5,0)</f>
        <v>6.7984728957526396E-14</v>
      </c>
      <c r="P173" s="14">
        <f t="shared" si="141"/>
        <v>1.0682447123141398E-12</v>
      </c>
      <c r="Q173" s="22">
        <f t="shared" si="162"/>
        <v>1.978932943548152E-12</v>
      </c>
      <c r="R173" s="62">
        <f t="shared" si="109"/>
        <v>293.3333333333353</v>
      </c>
      <c r="S173" s="62">
        <f ca="1">AVERAGE(OFFSET($R$3,0,0,'Données projet'!$E$9+1,1))-AVERAGE(OFFSET($H$3,0,0,'Données projet'!$E$9+1,1))</f>
        <v>147.72913422715322</v>
      </c>
      <c r="T173" s="62">
        <f t="shared" si="142"/>
        <v>361.07991692964799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3.3325255814780825</v>
      </c>
      <c r="AA173" s="23">
        <f>EXP(-LN(2)/25)*AA172+(1-EXP(-LN(2)/25))/(LN(2)/25)*Calculateur!V173*Calculateur!X173*VLOOKUP('Données projet'!$B$9,Paramètres!$A$1:$I$89,3,0)*0.475*44/12</f>
        <v>0.90610638575551217</v>
      </c>
      <c r="AB173" s="23">
        <f>EXP(-LN(2)/2)*AB172+(1-EXP(-LN(2)/2))/(LN(2)/2)*V173*Y173*VLOOKUP('Données projet'!$B$9,Paramètres!$A$1:$I$89,3,0)*0.475*44/12</f>
        <v>3.6903010348687766E-20</v>
      </c>
      <c r="AC173" s="24">
        <f t="shared" si="163"/>
        <v>4.2386319672335944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>
        <f>AI173*VLOOKUP('Données projet'!$B$10,Paramètres!$A$1:$I$89,3,0)*VLOOKUP('Données projet'!$B$10,Paramètres!$A$1:$I$89,5,0)</f>
        <v>0</v>
      </c>
      <c r="AK173" s="14" t="e">
        <f t="shared" si="164"/>
        <v>#NUM!</v>
      </c>
      <c r="AL173" s="22" t="e">
        <f t="shared" si="165"/>
        <v>#NUM!</v>
      </c>
      <c r="AM173" s="62" t="e">
        <f t="shared" si="113"/>
        <v>#NUM!</v>
      </c>
      <c r="AN173" s="62">
        <f ca="1">AVERAGE(OFFSET($AM$3,0,0,'Données projet'!$E$10+1,1))-AVERAGE(OFFSET($H$3,0,0,'Données projet'!$E$10+1,1))</f>
        <v>151.58413719376074</v>
      </c>
      <c r="AO173" s="62">
        <f t="shared" si="144"/>
        <v>310.105543138185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6.1751471526941382</v>
      </c>
      <c r="AV173" s="23">
        <f>EXP(-LN(2)/25)*AV172+(1-EXP(-LN(2)/25))/(LN(2)/25)*Calculateur!AQ173*Calculateur!AS173*VLOOKUP('Données projet'!$B$10,Paramètres!$A$1:$I$89,3,0)*0.475*44/12</f>
        <v>0</v>
      </c>
      <c r="AW173" s="23">
        <f>EXP(-LN(2)/2)*AW172+(1-EXP(-LN(2)/2))/(LN(2)/2)*AQ173*AT173*VLOOKUP('Données projet'!$B$10,Paramètres!$A$1:$I$89,3,0)*0.475*44/12</f>
        <v>2.2529801103401269E-19</v>
      </c>
      <c r="AX173" s="23">
        <f t="shared" si="166"/>
        <v>6.1751471526941382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102.25799999999987</v>
      </c>
      <c r="D174" s="12">
        <f t="shared" si="140"/>
        <v>27.499233847895834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10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1001.6347875977913</v>
      </c>
      <c r="H174" s="70">
        <f t="shared" si="110"/>
        <v>519.32718228508497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1.1368683772161603E-13</v>
      </c>
      <c r="O174" s="14">
        <f>N174*VLOOKUP('Données projet'!$B$9,Paramètres!$A$1:$I$89,3,0)*VLOOKUP('Données projet'!$B$9,Paramètres!$A$1:$I$89,5,0)</f>
        <v>6.7984728957526396E-14</v>
      </c>
      <c r="P174" s="14">
        <f t="shared" si="141"/>
        <v>1.0682447123141398E-12</v>
      </c>
      <c r="Q174" s="22">
        <f t="shared" si="162"/>
        <v>1.978932943548152E-12</v>
      </c>
      <c r="R174" s="62">
        <f t="shared" si="109"/>
        <v>293.3333333333353</v>
      </c>
      <c r="S174" s="62">
        <f ca="1">AVERAGE(OFFSET($R$3,0,0,'Données projet'!$E$9+1,1))-AVERAGE(OFFSET($H$3,0,0,'Données projet'!$E$9+1,1))</f>
        <v>147.72913422715322</v>
      </c>
      <c r="T174" s="62">
        <f t="shared" si="142"/>
        <v>361.07991692964799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3.2671767874651954</v>
      </c>
      <c r="AA174" s="23">
        <f>EXP(-LN(2)/25)*AA173+(1-EXP(-LN(2)/25))/(LN(2)/25)*Calculateur!V174*Calculateur!X174*VLOOKUP('Données projet'!$B$9,Paramètres!$A$1:$I$89,3,0)*0.475*44/12</f>
        <v>0.88132885898696378</v>
      </c>
      <c r="AB174" s="23">
        <f>EXP(-LN(2)/2)*AB173+(1-EXP(-LN(2)/2))/(LN(2)/2)*V174*Y174*VLOOKUP('Données projet'!$B$9,Paramètres!$A$1:$I$89,3,0)*0.475*44/12</f>
        <v>2.6094368863754459E-20</v>
      </c>
      <c r="AC174" s="24">
        <f t="shared" si="163"/>
        <v>4.1485056464521595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>
        <f>AI174*VLOOKUP('Données projet'!$B$10,Paramètres!$A$1:$I$89,3,0)*VLOOKUP('Données projet'!$B$10,Paramètres!$A$1:$I$89,5,0)</f>
        <v>0</v>
      </c>
      <c r="AK174" s="14" t="e">
        <f t="shared" si="164"/>
        <v>#NUM!</v>
      </c>
      <c r="AL174" s="22" t="e">
        <f t="shared" si="165"/>
        <v>#NUM!</v>
      </c>
      <c r="AM174" s="62" t="e">
        <f t="shared" si="113"/>
        <v>#NUM!</v>
      </c>
      <c r="AN174" s="62">
        <f ca="1">AVERAGE(OFFSET($AM$3,0,0,'Données projet'!$E$10+1,1))-AVERAGE(OFFSET($H$3,0,0,'Données projet'!$E$10+1,1))</f>
        <v>151.58413719376074</v>
      </c>
      <c r="AO174" s="62">
        <f t="shared" si="144"/>
        <v>310.105543138185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6.054056283497661</v>
      </c>
      <c r="AV174" s="23">
        <f>EXP(-LN(2)/25)*AV173+(1-EXP(-LN(2)/25))/(LN(2)/25)*Calculateur!AQ174*Calculateur!AS174*VLOOKUP('Données projet'!$B$10,Paramètres!$A$1:$I$89,3,0)*0.475*44/12</f>
        <v>0</v>
      </c>
      <c r="AW174" s="23">
        <f>EXP(-LN(2)/2)*AW173+(1-EXP(-LN(2)/2))/(LN(2)/2)*AQ174*AT174*VLOOKUP('Données projet'!$B$10,Paramètres!$A$1:$I$89,3,0)*0.475*44/12</f>
        <v>1.5930975138999198E-19</v>
      </c>
      <c r="AX174" s="23">
        <f t="shared" si="166"/>
        <v>6.054056283497661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102.85599999999987</v>
      </c>
      <c r="D175" s="12">
        <f t="shared" si="140"/>
        <v>27.641281046809208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10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1007.3474326420347</v>
      </c>
      <c r="H175" s="70">
        <f t="shared" si="110"/>
        <v>520.61609782319238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1.1368683772161603E-13</v>
      </c>
      <c r="O175" s="14">
        <f>N175*VLOOKUP('Données projet'!$B$9,Paramètres!$A$1:$I$89,3,0)*VLOOKUP('Données projet'!$B$9,Paramètres!$A$1:$I$89,5,0)</f>
        <v>6.7984728957526396E-14</v>
      </c>
      <c r="P175" s="14">
        <f t="shared" si="141"/>
        <v>1.0682447123141398E-12</v>
      </c>
      <c r="Q175" s="22">
        <f t="shared" si="162"/>
        <v>1.978932943548152E-12</v>
      </c>
      <c r="R175" s="62">
        <f t="shared" si="109"/>
        <v>293.3333333333353</v>
      </c>
      <c r="S175" s="62">
        <f ca="1">AVERAGE(OFFSET($R$3,0,0,'Données projet'!$E$9+1,1))-AVERAGE(OFFSET($H$3,0,0,'Données projet'!$E$9+1,1))</f>
        <v>147.72913422715322</v>
      </c>
      <c r="T175" s="62">
        <f t="shared" si="142"/>
        <v>361.07991692964799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3.2031094434440726</v>
      </c>
      <c r="AA175" s="23">
        <f>EXP(-LN(2)/25)*AA174+(1-EXP(-LN(2)/25))/(LN(2)/25)*Calculateur!V175*Calculateur!X175*VLOOKUP('Données projet'!$B$9,Paramètres!$A$1:$I$89,3,0)*0.475*44/12</f>
        <v>0.85722887499089484</v>
      </c>
      <c r="AB175" s="23">
        <f>EXP(-LN(2)/2)*AB174+(1-EXP(-LN(2)/2))/(LN(2)/2)*V175*Y175*VLOOKUP('Données projet'!$B$9,Paramètres!$A$1:$I$89,3,0)*0.475*44/12</f>
        <v>1.8451505174343883E-20</v>
      </c>
      <c r="AC175" s="24">
        <f t="shared" si="163"/>
        <v>4.0603383184349671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>
        <f>AI175*VLOOKUP('Données projet'!$B$10,Paramètres!$A$1:$I$89,3,0)*VLOOKUP('Données projet'!$B$10,Paramètres!$A$1:$I$89,5,0)</f>
        <v>0</v>
      </c>
      <c r="AK175" s="14" t="e">
        <f t="shared" si="164"/>
        <v>#NUM!</v>
      </c>
      <c r="AL175" s="22" t="e">
        <f t="shared" si="165"/>
        <v>#NUM!</v>
      </c>
      <c r="AM175" s="62" t="e">
        <f t="shared" si="113"/>
        <v>#NUM!</v>
      </c>
      <c r="AN175" s="62">
        <f ca="1">AVERAGE(OFFSET($AM$3,0,0,'Données projet'!$E$10+1,1))-AVERAGE(OFFSET($H$3,0,0,'Données projet'!$E$10+1,1))</f>
        <v>151.58413719376074</v>
      </c>
      <c r="AO175" s="62">
        <f t="shared" si="144"/>
        <v>310.105543138185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5.9353399323879898</v>
      </c>
      <c r="AV175" s="23">
        <f>EXP(-LN(2)/25)*AV174+(1-EXP(-LN(2)/25))/(LN(2)/25)*Calculateur!AQ175*Calculateur!AS175*VLOOKUP('Données projet'!$B$10,Paramètres!$A$1:$I$89,3,0)*0.475*44/12</f>
        <v>0</v>
      </c>
      <c r="AW175" s="23">
        <f>EXP(-LN(2)/2)*AW174+(1-EXP(-LN(2)/2))/(LN(2)/2)*AQ175*AT175*VLOOKUP('Données projet'!$B$10,Paramètres!$A$1:$I$89,3,0)*0.475*44/12</f>
        <v>1.1264900551700634E-19</v>
      </c>
      <c r="AX175" s="23">
        <f t="shared" si="166"/>
        <v>5.9353399323879898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103.45399999999987</v>
      </c>
      <c r="D176" s="12">
        <f t="shared" si="140"/>
        <v>27.783232148054115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10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1013.0593358797149</v>
      </c>
      <c r="H176" s="70">
        <f t="shared" si="110"/>
        <v>521.90484599119395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1.1368683772161603E-13</v>
      </c>
      <c r="O176" s="14">
        <f>N176*VLOOKUP('Données projet'!$B$9,Paramètres!$A$1:$I$89,3,0)*VLOOKUP('Données projet'!$B$9,Paramètres!$A$1:$I$89,5,0)</f>
        <v>6.7984728957526396E-14</v>
      </c>
      <c r="P176" s="14">
        <f t="shared" si="141"/>
        <v>1.0682447123141398E-12</v>
      </c>
      <c r="Q176" s="22">
        <f t="shared" si="162"/>
        <v>1.978932943548152E-12</v>
      </c>
      <c r="R176" s="62">
        <f t="shared" si="109"/>
        <v>293.3333333333353</v>
      </c>
      <c r="S176" s="62">
        <f ca="1">AVERAGE(OFFSET($R$3,0,0,'Données projet'!$E$9+1,1))-AVERAGE(OFFSET($H$3,0,0,'Données projet'!$E$9+1,1))</f>
        <v>147.72913422715322</v>
      </c>
      <c r="T176" s="62">
        <f t="shared" si="142"/>
        <v>361.07991692964799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3.1402984209619826</v>
      </c>
      <c r="AA176" s="23">
        <f>EXP(-LN(2)/25)*AA175+(1-EXP(-LN(2)/25))/(LN(2)/25)*Calculateur!V176*Calculateur!X176*VLOOKUP('Données projet'!$B$9,Paramètres!$A$1:$I$89,3,0)*0.475*44/12</f>
        <v>0.83378790632456146</v>
      </c>
      <c r="AB176" s="23">
        <f>EXP(-LN(2)/2)*AB175+(1-EXP(-LN(2)/2))/(LN(2)/2)*V176*Y176*VLOOKUP('Données projet'!$B$9,Paramètres!$A$1:$I$89,3,0)*0.475*44/12</f>
        <v>1.3047184431877229E-20</v>
      </c>
      <c r="AC176" s="24">
        <f t="shared" si="163"/>
        <v>3.9740863272865443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>
        <f>AI176*VLOOKUP('Données projet'!$B$10,Paramètres!$A$1:$I$89,3,0)*VLOOKUP('Données projet'!$B$10,Paramètres!$A$1:$I$89,5,0)</f>
        <v>0</v>
      </c>
      <c r="AK176" s="14" t="e">
        <f t="shared" si="164"/>
        <v>#NUM!</v>
      </c>
      <c r="AL176" s="22" t="e">
        <f t="shared" si="165"/>
        <v>#NUM!</v>
      </c>
      <c r="AM176" s="62" t="e">
        <f t="shared" si="113"/>
        <v>#NUM!</v>
      </c>
      <c r="AN176" s="62">
        <f ca="1">AVERAGE(OFFSET($AM$3,0,0,'Données projet'!$E$10+1,1))-AVERAGE(OFFSET($H$3,0,0,'Données projet'!$E$10+1,1))</f>
        <v>151.58413719376074</v>
      </c>
      <c r="AO176" s="62">
        <f t="shared" si="144"/>
        <v>310.105543138185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5.8189515365137554</v>
      </c>
      <c r="AV176" s="23">
        <f>EXP(-LN(2)/25)*AV175+(1-EXP(-LN(2)/25))/(LN(2)/25)*Calculateur!AQ176*Calculateur!AS176*VLOOKUP('Données projet'!$B$10,Paramètres!$A$1:$I$89,3,0)*0.475*44/12</f>
        <v>0</v>
      </c>
      <c r="AW176" s="23">
        <f>EXP(-LN(2)/2)*AW175+(1-EXP(-LN(2)/2))/(LN(2)/2)*AQ176*AT176*VLOOKUP('Données projet'!$B$10,Paramètres!$A$1:$I$89,3,0)*0.475*44/12</f>
        <v>7.965487569499599E-20</v>
      </c>
      <c r="AX176" s="23">
        <f t="shared" si="166"/>
        <v>5.8189515365137554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104.05199999999986</v>
      </c>
      <c r="D177" s="12">
        <f t="shared" si="140"/>
        <v>27.925087771564392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10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1018.7705020962854</v>
      </c>
      <c r="H177" s="70">
        <f t="shared" si="110"/>
        <v>523.1934278688077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1.1368683772161603E-13</v>
      </c>
      <c r="O177" s="14">
        <f>N177*VLOOKUP('Données projet'!$B$9,Paramètres!$A$1:$I$89,3,0)*VLOOKUP('Données projet'!$B$9,Paramètres!$A$1:$I$89,5,0)</f>
        <v>6.7984728957526396E-14</v>
      </c>
      <c r="P177" s="14">
        <f t="shared" si="141"/>
        <v>1.0682447123141398E-12</v>
      </c>
      <c r="Q177" s="22">
        <f t="shared" si="162"/>
        <v>1.978932943548152E-12</v>
      </c>
      <c r="R177" s="62">
        <f t="shared" si="109"/>
        <v>293.3333333333353</v>
      </c>
      <c r="S177" s="62">
        <f ca="1">AVERAGE(OFFSET($R$3,0,0,'Données projet'!$E$9+1,1))-AVERAGE(OFFSET($H$3,0,0,'Données projet'!$E$9+1,1))</f>
        <v>147.72913422715322</v>
      </c>
      <c r="T177" s="62">
        <f t="shared" si="142"/>
        <v>361.07991692964799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3.0787190843198258</v>
      </c>
      <c r="AA177" s="23">
        <f>EXP(-LN(2)/25)*AA176+(1-EXP(-LN(2)/25))/(LN(2)/25)*Calculateur!V177*Calculateur!X177*VLOOKUP('Données projet'!$B$9,Paramètres!$A$1:$I$89,3,0)*0.475*44/12</f>
        <v>0.81098793217911602</v>
      </c>
      <c r="AB177" s="23">
        <f>EXP(-LN(2)/2)*AB176+(1-EXP(-LN(2)/2))/(LN(2)/2)*V177*Y177*VLOOKUP('Données projet'!$B$9,Paramètres!$A$1:$I$89,3,0)*0.475*44/12</f>
        <v>9.2257525871719414E-21</v>
      </c>
      <c r="AC177" s="24">
        <f t="shared" si="163"/>
        <v>3.8897070164989418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>
        <f>AI177*VLOOKUP('Données projet'!$B$10,Paramètres!$A$1:$I$89,3,0)*VLOOKUP('Données projet'!$B$10,Paramètres!$A$1:$I$89,5,0)</f>
        <v>0</v>
      </c>
      <c r="AK177" s="14" t="e">
        <f t="shared" si="164"/>
        <v>#NUM!</v>
      </c>
      <c r="AL177" s="22" t="e">
        <f t="shared" si="165"/>
        <v>#NUM!</v>
      </c>
      <c r="AM177" s="62" t="e">
        <f t="shared" si="113"/>
        <v>#NUM!</v>
      </c>
      <c r="AN177" s="62">
        <f ca="1">AVERAGE(OFFSET($AM$3,0,0,'Données projet'!$E$10+1,1))-AVERAGE(OFFSET($H$3,0,0,'Données projet'!$E$10+1,1))</f>
        <v>151.58413719376074</v>
      </c>
      <c r="AO177" s="62">
        <f t="shared" si="144"/>
        <v>310.105543138185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5.7048454460927029</v>
      </c>
      <c r="AV177" s="23">
        <f>EXP(-LN(2)/25)*AV176+(1-EXP(-LN(2)/25))/(LN(2)/25)*Calculateur!AQ177*Calculateur!AS177*VLOOKUP('Données projet'!$B$10,Paramètres!$A$1:$I$89,3,0)*0.475*44/12</f>
        <v>0</v>
      </c>
      <c r="AW177" s="23">
        <f>EXP(-LN(2)/2)*AW176+(1-EXP(-LN(2)/2))/(LN(2)/2)*AQ177*AT177*VLOOKUP('Données projet'!$B$10,Paramètres!$A$1:$I$89,3,0)*0.475*44/12</f>
        <v>5.6324502758503171E-20</v>
      </c>
      <c r="AX177" s="23">
        <f t="shared" si="166"/>
        <v>5.7048454460927029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104.64999999999986</v>
      </c>
      <c r="D178" s="12">
        <f t="shared" si="140"/>
        <v>28.066848529735836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10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1024.4809360190125</v>
      </c>
      <c r="H178" s="70">
        <f t="shared" si="110"/>
        <v>524.48184452262296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1.1368683772161603E-13</v>
      </c>
      <c r="O178" s="14">
        <f>N178*VLOOKUP('Données projet'!$B$9,Paramètres!$A$1:$I$89,3,0)*VLOOKUP('Données projet'!$B$9,Paramètres!$A$1:$I$89,5,0)</f>
        <v>6.7984728957526396E-14</v>
      </c>
      <c r="P178" s="14">
        <f t="shared" si="141"/>
        <v>1.0682447123141398E-12</v>
      </c>
      <c r="Q178" s="22">
        <f t="shared" si="162"/>
        <v>1.978932943548152E-12</v>
      </c>
      <c r="R178" s="62">
        <f t="shared" si="109"/>
        <v>293.3333333333353</v>
      </c>
      <c r="S178" s="62">
        <f ca="1">AVERAGE(OFFSET($R$3,0,0,'Données projet'!$E$9+1,1))-AVERAGE(OFFSET($H$3,0,0,'Données projet'!$E$9+1,1))</f>
        <v>147.72913422715322</v>
      </c>
      <c r="T178" s="62">
        <f t="shared" si="142"/>
        <v>361.07991692964799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3.0183472809095346</v>
      </c>
      <c r="AA178" s="23">
        <f>EXP(-LN(2)/25)*AA177+(1-EXP(-LN(2)/25))/(LN(2)/25)*Calculateur!V178*Calculateur!X178*VLOOKUP('Données projet'!$B$9,Paramètres!$A$1:$I$89,3,0)*0.475*44/12</f>
        <v>0.78881142452567632</v>
      </c>
      <c r="AB178" s="23">
        <f>EXP(-LN(2)/2)*AB177+(1-EXP(-LN(2)/2))/(LN(2)/2)*V178*Y178*VLOOKUP('Données projet'!$B$9,Paramètres!$A$1:$I$89,3,0)*0.475*44/12</f>
        <v>6.5235922159386147E-21</v>
      </c>
      <c r="AC178" s="24">
        <f t="shared" si="163"/>
        <v>3.807158705435211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>
        <f>AI178*VLOOKUP('Données projet'!$B$10,Paramètres!$A$1:$I$89,3,0)*VLOOKUP('Données projet'!$B$10,Paramètres!$A$1:$I$89,5,0)</f>
        <v>0</v>
      </c>
      <c r="AK178" s="14" t="e">
        <f t="shared" si="164"/>
        <v>#NUM!</v>
      </c>
      <c r="AL178" s="22" t="e">
        <f t="shared" si="165"/>
        <v>#NUM!</v>
      </c>
      <c r="AM178" s="62" t="e">
        <f t="shared" si="113"/>
        <v>#NUM!</v>
      </c>
      <c r="AN178" s="62">
        <f ca="1">AVERAGE(OFFSET($AM$3,0,0,'Données projet'!$E$10+1,1))-AVERAGE(OFFSET($H$3,0,0,'Données projet'!$E$10+1,1))</f>
        <v>151.58413719376074</v>
      </c>
      <c r="AO178" s="62">
        <f t="shared" si="144"/>
        <v>310.105543138185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5.5929769065069639</v>
      </c>
      <c r="AV178" s="23">
        <f>EXP(-LN(2)/25)*AV177+(1-EXP(-LN(2)/25))/(LN(2)/25)*Calculateur!AQ178*Calculateur!AS178*VLOOKUP('Données projet'!$B$10,Paramètres!$A$1:$I$89,3,0)*0.475*44/12</f>
        <v>0</v>
      </c>
      <c r="AW178" s="23">
        <f>EXP(-LN(2)/2)*AW177+(1-EXP(-LN(2)/2))/(LN(2)/2)*AQ178*AT178*VLOOKUP('Données projet'!$B$10,Paramètres!$A$1:$I$89,3,0)*0.475*44/12</f>
        <v>3.9827437847497995E-20</v>
      </c>
      <c r="AX178" s="23">
        <f t="shared" si="166"/>
        <v>5.5929769065069639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105.24799999999986</v>
      </c>
      <c r="D179" s="12">
        <f t="shared" si="140"/>
        <v>28.208515027560498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10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1030.1906423180098</v>
      </c>
      <c r="H179" s="70">
        <f t="shared" si="110"/>
        <v>525.77009700633425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1.1368683772161603E-13</v>
      </c>
      <c r="O179" s="14">
        <f>N179*VLOOKUP('Données projet'!$B$9,Paramètres!$A$1:$I$89,3,0)*VLOOKUP('Données projet'!$B$9,Paramètres!$A$1:$I$89,5,0)</f>
        <v>6.7984728957526396E-14</v>
      </c>
      <c r="P179" s="14">
        <f t="shared" si="141"/>
        <v>1.0682447123141398E-12</v>
      </c>
      <c r="Q179" s="22">
        <f t="shared" si="162"/>
        <v>1.978932943548152E-12</v>
      </c>
      <c r="R179" s="62">
        <f t="shared" si="109"/>
        <v>293.3333333333353</v>
      </c>
      <c r="S179" s="62">
        <f ca="1">AVERAGE(OFFSET($R$3,0,0,'Données projet'!$E$9+1,1))-AVERAGE(OFFSET($H$3,0,0,'Données projet'!$E$9+1,1))</f>
        <v>147.72913422715322</v>
      </c>
      <c r="T179" s="62">
        <f t="shared" si="142"/>
        <v>361.07991692964799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2.9591593317409552</v>
      </c>
      <c r="AA179" s="23">
        <f>EXP(-LN(2)/25)*AA178+(1-EXP(-LN(2)/25))/(LN(2)/25)*Calculateur!V179*Calculateur!X179*VLOOKUP('Données projet'!$B$9,Paramètres!$A$1:$I$89,3,0)*0.475*44/12</f>
        <v>0.7672413346402317</v>
      </c>
      <c r="AB179" s="23">
        <f>EXP(-LN(2)/2)*AB178+(1-EXP(-LN(2)/2))/(LN(2)/2)*V179*Y179*VLOOKUP('Données projet'!$B$9,Paramètres!$A$1:$I$89,3,0)*0.475*44/12</f>
        <v>4.6128762935859707E-21</v>
      </c>
      <c r="AC179" s="24">
        <f t="shared" si="163"/>
        <v>3.7264006663811871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>
        <f>AI179*VLOOKUP('Données projet'!$B$10,Paramètres!$A$1:$I$89,3,0)*VLOOKUP('Données projet'!$B$10,Paramètres!$A$1:$I$89,5,0)</f>
        <v>0</v>
      </c>
      <c r="AK179" s="14" t="e">
        <f t="shared" si="164"/>
        <v>#NUM!</v>
      </c>
      <c r="AL179" s="22" t="e">
        <f t="shared" si="165"/>
        <v>#NUM!</v>
      </c>
      <c r="AM179" s="62" t="e">
        <f t="shared" si="113"/>
        <v>#NUM!</v>
      </c>
      <c r="AN179" s="62">
        <f ca="1">AVERAGE(OFFSET($AM$3,0,0,'Données projet'!$E$10+1,1))-AVERAGE(OFFSET($H$3,0,0,'Données projet'!$E$10+1,1))</f>
        <v>151.58413719376074</v>
      </c>
      <c r="AO179" s="62">
        <f t="shared" si="144"/>
        <v>310.105543138185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5.4833020407494297</v>
      </c>
      <c r="AV179" s="23">
        <f>EXP(-LN(2)/25)*AV178+(1-EXP(-LN(2)/25))/(LN(2)/25)*Calculateur!AQ179*Calculateur!AS179*VLOOKUP('Données projet'!$B$10,Paramètres!$A$1:$I$89,3,0)*0.475*44/12</f>
        <v>0</v>
      </c>
      <c r="AW179" s="23">
        <f>EXP(-LN(2)/2)*AW178+(1-EXP(-LN(2)/2))/(LN(2)/2)*AQ179*AT179*VLOOKUP('Données projet'!$B$10,Paramètres!$A$1:$I$89,3,0)*0.475*44/12</f>
        <v>2.8162251379251586E-20</v>
      </c>
      <c r="AX179" s="23">
        <f t="shared" si="166"/>
        <v>5.4833020407494297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105.84599999999986</v>
      </c>
      <c r="D180" s="12">
        <f t="shared" si="140"/>
        <v>28.350087862757654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10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1035.8996256072508</v>
      </c>
      <c r="H180" s="70">
        <f t="shared" si="110"/>
        <v>527.05818636096933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1.1368683772161603E-13</v>
      </c>
      <c r="O180" s="14">
        <f>N180*VLOOKUP('Données projet'!$B$9,Paramètres!$A$1:$I$89,3,0)*VLOOKUP('Données projet'!$B$9,Paramètres!$A$1:$I$89,5,0)</f>
        <v>6.7984728957526396E-14</v>
      </c>
      <c r="P180" s="14">
        <f t="shared" si="141"/>
        <v>1.0682447123141398E-12</v>
      </c>
      <c r="Q180" s="22">
        <f t="shared" si="162"/>
        <v>1.978932943548152E-12</v>
      </c>
      <c r="R180" s="62">
        <f t="shared" si="109"/>
        <v>293.3333333333353</v>
      </c>
      <c r="S180" s="62">
        <f ca="1">AVERAGE(OFFSET($R$3,0,0,'Données projet'!$E$9+1,1))-AVERAGE(OFFSET($H$3,0,0,'Données projet'!$E$9+1,1))</f>
        <v>147.72913422715322</v>
      </c>
      <c r="T180" s="62">
        <f t="shared" si="142"/>
        <v>361.07991692964799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2.9011320221544876</v>
      </c>
      <c r="AA180" s="23">
        <f>EXP(-LN(2)/25)*AA179+(1-EXP(-LN(2)/25))/(LN(2)/25)*Calculateur!V180*Calculateur!X180*VLOOKUP('Données projet'!$B$9,Paramètres!$A$1:$I$89,3,0)*0.475*44/12</f>
        <v>0.74626107999702629</v>
      </c>
      <c r="AB180" s="23">
        <f>EXP(-LN(2)/2)*AB179+(1-EXP(-LN(2)/2))/(LN(2)/2)*V180*Y180*VLOOKUP('Données projet'!$B$9,Paramètres!$A$1:$I$89,3,0)*0.475*44/12</f>
        <v>3.2617961079693074E-21</v>
      </c>
      <c r="AC180" s="24">
        <f t="shared" si="163"/>
        <v>3.647393102151514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>
        <f>AI180*VLOOKUP('Données projet'!$B$10,Paramètres!$A$1:$I$89,3,0)*VLOOKUP('Données projet'!$B$10,Paramètres!$A$1:$I$89,5,0)</f>
        <v>0</v>
      </c>
      <c r="AK180" s="14" t="e">
        <f t="shared" si="164"/>
        <v>#NUM!</v>
      </c>
      <c r="AL180" s="22" t="e">
        <f t="shared" si="165"/>
        <v>#NUM!</v>
      </c>
      <c r="AM180" s="62" t="e">
        <f t="shared" si="113"/>
        <v>#NUM!</v>
      </c>
      <c r="AN180" s="62">
        <f ca="1">AVERAGE(OFFSET($AM$3,0,0,'Données projet'!$E$10+1,1))-AVERAGE(OFFSET($H$3,0,0,'Données projet'!$E$10+1,1))</f>
        <v>151.58413719376074</v>
      </c>
      <c r="AO180" s="62">
        <f t="shared" si="144"/>
        <v>310.105543138185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5.3757778322143377</v>
      </c>
      <c r="AV180" s="23">
        <f>EXP(-LN(2)/25)*AV179+(1-EXP(-LN(2)/25))/(LN(2)/25)*Calculateur!AQ180*Calculateur!AS180*VLOOKUP('Données projet'!$B$10,Paramètres!$A$1:$I$89,3,0)*0.475*44/12</f>
        <v>0</v>
      </c>
      <c r="AW180" s="23">
        <f>EXP(-LN(2)/2)*AW179+(1-EXP(-LN(2)/2))/(LN(2)/2)*AQ180*AT180*VLOOKUP('Données projet'!$B$10,Paramètres!$A$1:$I$89,3,0)*0.475*44/12</f>
        <v>1.9913718923748998E-20</v>
      </c>
      <c r="AX180" s="23">
        <f t="shared" si="166"/>
        <v>5.3757778322143377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106.44399999999986</v>
      </c>
      <c r="D181" s="12">
        <f t="shared" si="140"/>
        <v>28.491567625901897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10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1041.6078904455574</v>
      </c>
      <c r="H181" s="70">
        <f t="shared" si="110"/>
        <v>528.34611361511224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1.1368683772161603E-13</v>
      </c>
      <c r="O181" s="14">
        <f>N181*VLOOKUP('Données projet'!$B$9,Paramètres!$A$1:$I$89,3,0)*VLOOKUP('Données projet'!$B$9,Paramètres!$A$1:$I$89,5,0)</f>
        <v>6.7984728957526396E-14</v>
      </c>
      <c r="P181" s="14">
        <f t="shared" si="141"/>
        <v>1.0682447123141398E-12</v>
      </c>
      <c r="Q181" s="22">
        <f t="shared" si="162"/>
        <v>1.978932943548152E-12</v>
      </c>
      <c r="R181" s="62">
        <f t="shared" si="109"/>
        <v>293.3333333333353</v>
      </c>
      <c r="S181" s="62">
        <f ca="1">AVERAGE(OFFSET($R$3,0,0,'Données projet'!$E$9+1,1))-AVERAGE(OFFSET($H$3,0,0,'Données projet'!$E$9+1,1))</f>
        <v>147.72913422715322</v>
      </c>
      <c r="T181" s="62">
        <f t="shared" si="142"/>
        <v>361.07991692964799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2.8442425927158466</v>
      </c>
      <c r="AA181" s="23">
        <f>EXP(-LN(2)/25)*AA180+(1-EXP(-LN(2)/25))/(LN(2)/25)*Calculateur!V181*Calculateur!X181*VLOOKUP('Données projet'!$B$9,Paramètres!$A$1:$I$89,3,0)*0.475*44/12</f>
        <v>0.72585453152034296</v>
      </c>
      <c r="AB181" s="23">
        <f>EXP(-LN(2)/2)*AB180+(1-EXP(-LN(2)/2))/(LN(2)/2)*V181*Y181*VLOOKUP('Données projet'!$B$9,Paramètres!$A$1:$I$89,3,0)*0.475*44/12</f>
        <v>2.3064381467929853E-21</v>
      </c>
      <c r="AC181" s="24">
        <f t="shared" si="163"/>
        <v>3.5700971242361894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>
        <f>AI181*VLOOKUP('Données projet'!$B$10,Paramètres!$A$1:$I$89,3,0)*VLOOKUP('Données projet'!$B$10,Paramètres!$A$1:$I$89,5,0)</f>
        <v>0</v>
      </c>
      <c r="AK181" s="14" t="e">
        <f t="shared" si="164"/>
        <v>#NUM!</v>
      </c>
      <c r="AL181" s="22" t="e">
        <f t="shared" si="165"/>
        <v>#NUM!</v>
      </c>
      <c r="AM181" s="62" t="e">
        <f t="shared" si="113"/>
        <v>#NUM!</v>
      </c>
      <c r="AN181" s="62">
        <f ca="1">AVERAGE(OFFSET($AM$3,0,0,'Données projet'!$E$10+1,1))-AVERAGE(OFFSET($H$3,0,0,'Données projet'!$E$10+1,1))</f>
        <v>151.58413719376074</v>
      </c>
      <c r="AO181" s="62">
        <f t="shared" si="144"/>
        <v>310.105543138185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5.2703621078253278</v>
      </c>
      <c r="AV181" s="23">
        <f>EXP(-LN(2)/25)*AV180+(1-EXP(-LN(2)/25))/(LN(2)/25)*Calculateur!AQ181*Calculateur!AS181*VLOOKUP('Données projet'!$B$10,Paramètres!$A$1:$I$89,3,0)*0.475*44/12</f>
        <v>0</v>
      </c>
      <c r="AW181" s="23">
        <f>EXP(-LN(2)/2)*AW180+(1-EXP(-LN(2)/2))/(LN(2)/2)*AQ181*AT181*VLOOKUP('Données projet'!$B$10,Paramètres!$A$1:$I$89,3,0)*0.475*44/12</f>
        <v>1.4081125689625793E-20</v>
      </c>
      <c r="AX181" s="23">
        <f t="shared" si="166"/>
        <v>5.2703621078253278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107.04199999999986</v>
      </c>
      <c r="D182" s="12">
        <f t="shared" si="140"/>
        <v>28.632954900548057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10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1047.3154413375626</v>
      </c>
      <c r="H182" s="70">
        <f t="shared" si="110"/>
        <v>529.63387978512094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1.1368683772161603E-13</v>
      </c>
      <c r="O182" s="14">
        <f>N182*VLOOKUP('Données projet'!$B$9,Paramètres!$A$1:$I$89,3,0)*VLOOKUP('Données projet'!$B$9,Paramètres!$A$1:$I$89,5,0)</f>
        <v>6.7984728957526396E-14</v>
      </c>
      <c r="P182" s="14">
        <f t="shared" si="141"/>
        <v>1.0682447123141398E-12</v>
      </c>
      <c r="Q182" s="22">
        <f t="shared" si="162"/>
        <v>1.978932943548152E-12</v>
      </c>
      <c r="R182" s="62">
        <f t="shared" si="109"/>
        <v>293.3333333333353</v>
      </c>
      <c r="S182" s="62">
        <f ca="1">AVERAGE(OFFSET($R$3,0,0,'Données projet'!$E$9+1,1))-AVERAGE(OFFSET($H$3,0,0,'Données projet'!$E$9+1,1))</f>
        <v>147.72913422715322</v>
      </c>
      <c r="T182" s="62">
        <f t="shared" si="142"/>
        <v>361.07991692964799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2.7884687302893716</v>
      </c>
      <c r="AA182" s="23">
        <f>EXP(-LN(2)/25)*AA181+(1-EXP(-LN(2)/25))/(LN(2)/25)*Calculateur!V182*Calculateur!X182*VLOOKUP('Données projet'!$B$9,Paramètres!$A$1:$I$89,3,0)*0.475*44/12</f>
        <v>0.70600600118488832</v>
      </c>
      <c r="AB182" s="23">
        <f>EXP(-LN(2)/2)*AB181+(1-EXP(-LN(2)/2))/(LN(2)/2)*V182*Y182*VLOOKUP('Données projet'!$B$9,Paramètres!$A$1:$I$89,3,0)*0.475*44/12</f>
        <v>1.6308980539846537E-21</v>
      </c>
      <c r="AC182" s="24">
        <f t="shared" si="163"/>
        <v>3.4944747314742601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>
        <f>AI182*VLOOKUP('Données projet'!$B$10,Paramètres!$A$1:$I$89,3,0)*VLOOKUP('Données projet'!$B$10,Paramètres!$A$1:$I$89,5,0)</f>
        <v>0</v>
      </c>
      <c r="AK182" s="14" t="e">
        <f t="shared" si="164"/>
        <v>#NUM!</v>
      </c>
      <c r="AL182" s="22" t="e">
        <f t="shared" si="165"/>
        <v>#NUM!</v>
      </c>
      <c r="AM182" s="62" t="e">
        <f t="shared" si="113"/>
        <v>#NUM!</v>
      </c>
      <c r="AN182" s="62">
        <f ca="1">AVERAGE(OFFSET($AM$3,0,0,'Données projet'!$E$10+1,1))-AVERAGE(OFFSET($H$3,0,0,'Données projet'!$E$10+1,1))</f>
        <v>151.58413719376074</v>
      </c>
      <c r="AO182" s="62">
        <f t="shared" si="144"/>
        <v>310.105543138185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5.1670135214943436</v>
      </c>
      <c r="AV182" s="23">
        <f>EXP(-LN(2)/25)*AV181+(1-EXP(-LN(2)/25))/(LN(2)/25)*Calculateur!AQ182*Calculateur!AS182*VLOOKUP('Données projet'!$B$10,Paramètres!$A$1:$I$89,3,0)*0.475*44/12</f>
        <v>0</v>
      </c>
      <c r="AW182" s="23">
        <f>EXP(-LN(2)/2)*AW181+(1-EXP(-LN(2)/2))/(LN(2)/2)*AQ182*AT182*VLOOKUP('Données projet'!$B$10,Paramètres!$A$1:$I$89,3,0)*0.475*44/12</f>
        <v>9.9568594618744988E-21</v>
      </c>
      <c r="AX182" s="23">
        <f t="shared" si="166"/>
        <v>5.1670135214943436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107.63999999999986</v>
      </c>
      <c r="D183" s="12">
        <f t="shared" si="140"/>
        <v>28.774250263353558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10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1053.0222827346581</v>
      </c>
      <c r="H183" s="70">
        <f t="shared" si="110"/>
        <v>530.92148587534052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1.1368683772161603E-13</v>
      </c>
      <c r="O183" s="14">
        <f>N183*VLOOKUP('Données projet'!$B$9,Paramètres!$A$1:$I$89,3,0)*VLOOKUP('Données projet'!$B$9,Paramètres!$A$1:$I$89,5,0)</f>
        <v>6.7984728957526396E-14</v>
      </c>
      <c r="P183" s="14">
        <f t="shared" si="141"/>
        <v>1.0682447123141398E-12</v>
      </c>
      <c r="Q183" s="22">
        <f t="shared" si="162"/>
        <v>1.978932943548152E-12</v>
      </c>
      <c r="R183" s="62">
        <f t="shared" si="109"/>
        <v>293.3333333333353</v>
      </c>
      <c r="S183" s="62">
        <f ca="1">AVERAGE(OFFSET($R$3,0,0,'Données projet'!$E$9+1,1))-AVERAGE(OFFSET($H$3,0,0,'Données projet'!$E$9+1,1))</f>
        <v>147.72913422715322</v>
      </c>
      <c r="T183" s="62">
        <f t="shared" si="142"/>
        <v>361.07991692964799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2.7337885592863826</v>
      </c>
      <c r="AA183" s="23">
        <f>EXP(-LN(2)/25)*AA182+(1-EXP(-LN(2)/25))/(LN(2)/25)*Calculateur!V183*Calculateur!X183*VLOOKUP('Données projet'!$B$9,Paramètres!$A$1:$I$89,3,0)*0.475*44/12</f>
        <v>0.6867002299552456</v>
      </c>
      <c r="AB183" s="23">
        <f>EXP(-LN(2)/2)*AB182+(1-EXP(-LN(2)/2))/(LN(2)/2)*V183*Y183*VLOOKUP('Données projet'!$B$9,Paramètres!$A$1:$I$89,3,0)*0.475*44/12</f>
        <v>1.1532190733964927E-21</v>
      </c>
      <c r="AC183" s="24">
        <f t="shared" si="163"/>
        <v>3.4204887892416282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>
        <f>AI183*VLOOKUP('Données projet'!$B$10,Paramètres!$A$1:$I$89,3,0)*VLOOKUP('Données projet'!$B$10,Paramètres!$A$1:$I$89,5,0)</f>
        <v>0</v>
      </c>
      <c r="AK183" s="14" t="e">
        <f t="shared" si="164"/>
        <v>#NUM!</v>
      </c>
      <c r="AL183" s="22" t="e">
        <f t="shared" si="165"/>
        <v>#NUM!</v>
      </c>
      <c r="AM183" s="62" t="e">
        <f t="shared" si="113"/>
        <v>#NUM!</v>
      </c>
      <c r="AN183" s="62">
        <f ca="1">AVERAGE(OFFSET($AM$3,0,0,'Données projet'!$E$10+1,1))-AVERAGE(OFFSET($H$3,0,0,'Données projet'!$E$10+1,1))</f>
        <v>151.58413719376074</v>
      </c>
      <c r="AO183" s="62">
        <f t="shared" si="144"/>
        <v>310.105543138185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5.0656915379048959</v>
      </c>
      <c r="AV183" s="23">
        <f>EXP(-LN(2)/25)*AV182+(1-EXP(-LN(2)/25))/(LN(2)/25)*Calculateur!AQ183*Calculateur!AS183*VLOOKUP('Données projet'!$B$10,Paramètres!$A$1:$I$89,3,0)*0.475*44/12</f>
        <v>0</v>
      </c>
      <c r="AW183" s="23">
        <f>EXP(-LN(2)/2)*AW182+(1-EXP(-LN(2)/2))/(LN(2)/2)*AQ183*AT183*VLOOKUP('Données projet'!$B$10,Paramètres!$A$1:$I$89,3,0)*0.475*44/12</f>
        <v>7.0405628448128964E-21</v>
      </c>
      <c r="AX183" s="23">
        <f t="shared" si="166"/>
        <v>5.0656915379048959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108.23799999999986</v>
      </c>
      <c r="D184" s="12">
        <f t="shared" si="140"/>
        <v>28.915454284197654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10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1058.7284190359107</v>
      </c>
      <c r="H184" s="70">
        <f t="shared" si="110"/>
        <v>532.20893287831063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1.1368683772161603E-13</v>
      </c>
      <c r="O184" s="14">
        <f>N184*VLOOKUP('Données projet'!$B$9,Paramètres!$A$1:$I$89,3,0)*VLOOKUP('Données projet'!$B$9,Paramètres!$A$1:$I$89,5,0)</f>
        <v>6.7984728957526396E-14</v>
      </c>
      <c r="P184" s="14">
        <f t="shared" si="141"/>
        <v>1.0682447123141398E-12</v>
      </c>
      <c r="Q184" s="22">
        <f t="shared" si="162"/>
        <v>1.978932943548152E-12</v>
      </c>
      <c r="R184" s="62">
        <f t="shared" si="109"/>
        <v>293.3333333333353</v>
      </c>
      <c r="S184" s="62">
        <f ca="1">AVERAGE(OFFSET($R$3,0,0,'Données projet'!$E$9+1,1))-AVERAGE(OFFSET($H$3,0,0,'Données projet'!$E$9+1,1))</f>
        <v>147.72913422715322</v>
      </c>
      <c r="T184" s="62">
        <f t="shared" si="142"/>
        <v>361.07991692964799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2.680180633085151</v>
      </c>
      <c r="AA184" s="23">
        <f>EXP(-LN(2)/25)*AA183+(1-EXP(-LN(2)/25))/(LN(2)/25)*Calculateur!V184*Calculateur!X184*VLOOKUP('Données projet'!$B$9,Paramètres!$A$1:$I$89,3,0)*0.475*44/12</f>
        <v>0.66792237605512383</v>
      </c>
      <c r="AB184" s="23">
        <f>EXP(-LN(2)/2)*AB183+(1-EXP(-LN(2)/2))/(LN(2)/2)*V184*Y184*VLOOKUP('Données projet'!$B$9,Paramètres!$A$1:$I$89,3,0)*0.475*44/12</f>
        <v>8.1544902699232684E-22</v>
      </c>
      <c r="AC184" s="24">
        <f t="shared" si="163"/>
        <v>3.3481030091402748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>
        <f>AI184*VLOOKUP('Données projet'!$B$10,Paramètres!$A$1:$I$89,3,0)*VLOOKUP('Données projet'!$B$10,Paramètres!$A$1:$I$89,5,0)</f>
        <v>0</v>
      </c>
      <c r="AK184" s="14" t="e">
        <f t="shared" si="164"/>
        <v>#NUM!</v>
      </c>
      <c r="AL184" s="22" t="e">
        <f t="shared" si="165"/>
        <v>#NUM!</v>
      </c>
      <c r="AM184" s="62" t="e">
        <f t="shared" si="113"/>
        <v>#NUM!</v>
      </c>
      <c r="AN184" s="62">
        <f ca="1">AVERAGE(OFFSET($AM$3,0,0,'Données projet'!$E$10+1,1))-AVERAGE(OFFSET($H$3,0,0,'Données projet'!$E$10+1,1))</f>
        <v>151.58413719376074</v>
      </c>
      <c r="AO184" s="62">
        <f t="shared" si="144"/>
        <v>310.105543138185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4.9663564166133298</v>
      </c>
      <c r="AV184" s="23">
        <f>EXP(-LN(2)/25)*AV183+(1-EXP(-LN(2)/25))/(LN(2)/25)*Calculateur!AQ184*Calculateur!AS184*VLOOKUP('Données projet'!$B$10,Paramètres!$A$1:$I$89,3,0)*0.475*44/12</f>
        <v>0</v>
      </c>
      <c r="AW184" s="23">
        <f>EXP(-LN(2)/2)*AW183+(1-EXP(-LN(2)/2))/(LN(2)/2)*AQ184*AT184*VLOOKUP('Données projet'!$B$10,Paramètres!$A$1:$I$89,3,0)*0.475*44/12</f>
        <v>4.9784297309372494E-21</v>
      </c>
      <c r="AX184" s="23">
        <f t="shared" si="166"/>
        <v>4.9663564166133298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108.83599999999986</v>
      </c>
      <c r="D185" s="12">
        <f t="shared" si="140"/>
        <v>29.056567526298124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10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1064.4338545889668</v>
      </c>
      <c r="H185" s="70">
        <f t="shared" si="110"/>
        <v>533.49622177496894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1.1368683772161603E-13</v>
      </c>
      <c r="O185" s="14">
        <f>N185*VLOOKUP('Données projet'!$B$9,Paramètres!$A$1:$I$89,3,0)*VLOOKUP('Données projet'!$B$9,Paramètres!$A$1:$I$89,5,0)</f>
        <v>6.7984728957526396E-14</v>
      </c>
      <c r="P185" s="14">
        <f t="shared" si="141"/>
        <v>1.0682447123141398E-12</v>
      </c>
      <c r="Q185" s="22">
        <f t="shared" si="162"/>
        <v>1.978932943548152E-12</v>
      </c>
      <c r="R185" s="62">
        <f t="shared" si="109"/>
        <v>293.3333333333353</v>
      </c>
      <c r="S185" s="62">
        <f ca="1">AVERAGE(OFFSET($R$3,0,0,'Données projet'!$E$9+1,1))-AVERAGE(OFFSET($H$3,0,0,'Données projet'!$E$9+1,1))</f>
        <v>147.72913422715322</v>
      </c>
      <c r="T185" s="62">
        <f t="shared" si="142"/>
        <v>361.07991692964799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2.6276239256191194</v>
      </c>
      <c r="AA185" s="23">
        <f>EXP(-LN(2)/25)*AA184+(1-EXP(-LN(2)/25))/(LN(2)/25)*Calculateur!V185*Calculateur!X185*VLOOKUP('Données projet'!$B$9,Paramètres!$A$1:$I$89,3,0)*0.475*44/12</f>
        <v>0.64965800355738523</v>
      </c>
      <c r="AB185" s="23">
        <f>EXP(-LN(2)/2)*AB184+(1-EXP(-LN(2)/2))/(LN(2)/2)*V185*Y185*VLOOKUP('Données projet'!$B$9,Paramètres!$A$1:$I$89,3,0)*0.475*44/12</f>
        <v>5.7660953669824634E-22</v>
      </c>
      <c r="AC185" s="24">
        <f t="shared" si="163"/>
        <v>3.2772819291765045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>
        <f>AI185*VLOOKUP('Données projet'!$B$10,Paramètres!$A$1:$I$89,3,0)*VLOOKUP('Données projet'!$B$10,Paramètres!$A$1:$I$89,5,0)</f>
        <v>0</v>
      </c>
      <c r="AK185" s="14" t="e">
        <f t="shared" si="164"/>
        <v>#NUM!</v>
      </c>
      <c r="AL185" s="22" t="e">
        <f t="shared" si="165"/>
        <v>#NUM!</v>
      </c>
      <c r="AM185" s="62" t="e">
        <f t="shared" si="113"/>
        <v>#NUM!</v>
      </c>
      <c r="AN185" s="62">
        <f ca="1">AVERAGE(OFFSET($AM$3,0,0,'Données projet'!$E$10+1,1))-AVERAGE(OFFSET($H$3,0,0,'Données projet'!$E$10+1,1))</f>
        <v>151.58413719376074</v>
      </c>
      <c r="AO185" s="62">
        <f t="shared" si="144"/>
        <v>310.105543138185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4.8689691964618502</v>
      </c>
      <c r="AV185" s="23">
        <f>EXP(-LN(2)/25)*AV184+(1-EXP(-LN(2)/25))/(LN(2)/25)*Calculateur!AQ185*Calculateur!AS185*VLOOKUP('Données projet'!$B$10,Paramètres!$A$1:$I$89,3,0)*0.475*44/12</f>
        <v>0</v>
      </c>
      <c r="AW185" s="23">
        <f>EXP(-LN(2)/2)*AW184+(1-EXP(-LN(2)/2))/(LN(2)/2)*AQ185*AT185*VLOOKUP('Données projet'!$B$10,Paramètres!$A$1:$I$89,3,0)*0.475*44/12</f>
        <v>3.5202814224064482E-21</v>
      </c>
      <c r="AX185" s="23">
        <f t="shared" si="166"/>
        <v>4.8689691964618502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109.43399999999986</v>
      </c>
      <c r="D186" s="12">
        <f t="shared" si="140"/>
        <v>29.197590546325394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10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1070.1385936909319</v>
      </c>
      <c r="H186" s="70">
        <f t="shared" si="110"/>
        <v>534.78335353484977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1.1368683772161603E-13</v>
      </c>
      <c r="O186" s="14">
        <f>N186*VLOOKUP('Données projet'!$B$9,Paramètres!$A$1:$I$89,3,0)*VLOOKUP('Données projet'!$B$9,Paramètres!$A$1:$I$89,5,0)</f>
        <v>6.7984728957526396E-14</v>
      </c>
      <c r="P186" s="14">
        <f t="shared" si="141"/>
        <v>1.0682447123141398E-12</v>
      </c>
      <c r="Q186" s="22">
        <f t="shared" si="162"/>
        <v>1.978932943548152E-12</v>
      </c>
      <c r="R186" s="62">
        <f t="shared" si="109"/>
        <v>293.3333333333353</v>
      </c>
      <c r="S186" s="62">
        <f ca="1">AVERAGE(OFFSET($R$3,0,0,'Données projet'!$E$9+1,1))-AVERAGE(OFFSET($H$3,0,0,'Données projet'!$E$9+1,1))</f>
        <v>147.72913422715322</v>
      </c>
      <c r="T186" s="62">
        <f t="shared" si="142"/>
        <v>361.07991692964799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2.5760978231300702</v>
      </c>
      <c r="AA186" s="23">
        <f>EXP(-LN(2)/25)*AA185+(1-EXP(-LN(2)/25))/(LN(2)/25)*Calculateur!V186*Calculateur!X186*VLOOKUP('Données projet'!$B$9,Paramètres!$A$1:$I$89,3,0)*0.475*44/12</f>
        <v>0.63189307128607897</v>
      </c>
      <c r="AB186" s="23">
        <f>EXP(-LN(2)/2)*AB185+(1-EXP(-LN(2)/2))/(LN(2)/2)*V186*Y186*VLOOKUP('Données projet'!$B$9,Paramètres!$A$1:$I$89,3,0)*0.475*44/12</f>
        <v>4.0772451349616342E-22</v>
      </c>
      <c r="AC186" s="24">
        <f t="shared" si="163"/>
        <v>3.2079908944161493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>
        <f>AI186*VLOOKUP('Données projet'!$B$10,Paramètres!$A$1:$I$89,3,0)*VLOOKUP('Données projet'!$B$10,Paramètres!$A$1:$I$89,5,0)</f>
        <v>0</v>
      </c>
      <c r="AK186" s="14" t="e">
        <f t="shared" si="164"/>
        <v>#NUM!</v>
      </c>
      <c r="AL186" s="22" t="e">
        <f t="shared" si="165"/>
        <v>#NUM!</v>
      </c>
      <c r="AM186" s="62" t="e">
        <f t="shared" si="113"/>
        <v>#NUM!</v>
      </c>
      <c r="AN186" s="62">
        <f ca="1">AVERAGE(OFFSET($AM$3,0,0,'Données projet'!$E$10+1,1))-AVERAGE(OFFSET($H$3,0,0,'Données projet'!$E$10+1,1))</f>
        <v>151.58413719376074</v>
      </c>
      <c r="AO186" s="62">
        <f t="shared" si="144"/>
        <v>310.105543138185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4.7734916802972016</v>
      </c>
      <c r="AV186" s="23">
        <f>EXP(-LN(2)/25)*AV185+(1-EXP(-LN(2)/25))/(LN(2)/25)*Calculateur!AQ186*Calculateur!AS186*VLOOKUP('Données projet'!$B$10,Paramètres!$A$1:$I$89,3,0)*0.475*44/12</f>
        <v>0</v>
      </c>
      <c r="AW186" s="23">
        <f>EXP(-LN(2)/2)*AW185+(1-EXP(-LN(2)/2))/(LN(2)/2)*AQ186*AT186*VLOOKUP('Données projet'!$B$10,Paramètres!$A$1:$I$89,3,0)*0.475*44/12</f>
        <v>2.4892148654686247E-21</v>
      </c>
      <c r="AX186" s="23">
        <f t="shared" si="166"/>
        <v>4.7734916802972016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110.03199999999985</v>
      </c>
      <c r="D187" s="12">
        <f t="shared" si="140"/>
        <v>29.338523894513862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10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1075.8426405892287</v>
      </c>
      <c r="H187" s="70">
        <f t="shared" si="110"/>
        <v>536.07032911627812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1.1368683772161603E-13</v>
      </c>
      <c r="O187" s="14">
        <f>N187*VLOOKUP('Données projet'!$B$9,Paramètres!$A$1:$I$89,3,0)*VLOOKUP('Données projet'!$B$9,Paramètres!$A$1:$I$89,5,0)</f>
        <v>6.7984728957526396E-14</v>
      </c>
      <c r="P187" s="14">
        <f t="shared" si="141"/>
        <v>1.0682447123141398E-12</v>
      </c>
      <c r="Q187" s="22">
        <f t="shared" si="162"/>
        <v>1.978932943548152E-12</v>
      </c>
      <c r="R187" s="62">
        <f t="shared" si="109"/>
        <v>293.3333333333353</v>
      </c>
      <c r="S187" s="62">
        <f ca="1">AVERAGE(OFFSET($R$3,0,0,'Données projet'!$E$9+1,1))-AVERAGE(OFFSET($H$3,0,0,'Données projet'!$E$9+1,1))</f>
        <v>147.72913422715322</v>
      </c>
      <c r="T187" s="62">
        <f t="shared" si="142"/>
        <v>361.07991692964799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2.5255821160830121</v>
      </c>
      <c r="AA187" s="23">
        <f>EXP(-LN(2)/25)*AA186+(1-EXP(-LN(2)/25))/(LN(2)/25)*Calculateur!V187*Calculateur!X187*VLOOKUP('Données projet'!$B$9,Paramètres!$A$1:$I$89,3,0)*0.475*44/12</f>
        <v>0.61461392202194876</v>
      </c>
      <c r="AB187" s="23">
        <f>EXP(-LN(2)/2)*AB186+(1-EXP(-LN(2)/2))/(LN(2)/2)*V187*Y187*VLOOKUP('Données projet'!$B$9,Paramètres!$A$1:$I$89,3,0)*0.475*44/12</f>
        <v>2.8830476834912317E-22</v>
      </c>
      <c r="AC187" s="24">
        <f t="shared" si="163"/>
        <v>3.140196038104961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>
        <f>AI187*VLOOKUP('Données projet'!$B$10,Paramètres!$A$1:$I$89,3,0)*VLOOKUP('Données projet'!$B$10,Paramètres!$A$1:$I$89,5,0)</f>
        <v>0</v>
      </c>
      <c r="AK187" s="14" t="e">
        <f t="shared" si="164"/>
        <v>#NUM!</v>
      </c>
      <c r="AL187" s="22" t="e">
        <f t="shared" si="165"/>
        <v>#NUM!</v>
      </c>
      <c r="AM187" s="62" t="e">
        <f t="shared" si="113"/>
        <v>#NUM!</v>
      </c>
      <c r="AN187" s="62">
        <f ca="1">AVERAGE(OFFSET($AM$3,0,0,'Données projet'!$E$10+1,1))-AVERAGE(OFFSET($H$3,0,0,'Données projet'!$E$10+1,1))</f>
        <v>151.58413719376074</v>
      </c>
      <c r="AO187" s="62">
        <f t="shared" si="144"/>
        <v>310.105543138185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4.6798864199890078</v>
      </c>
      <c r="AV187" s="23">
        <f>EXP(-LN(2)/25)*AV186+(1-EXP(-LN(2)/25))/(LN(2)/25)*Calculateur!AQ187*Calculateur!AS187*VLOOKUP('Données projet'!$B$10,Paramètres!$A$1:$I$89,3,0)*0.475*44/12</f>
        <v>0</v>
      </c>
      <c r="AW187" s="23">
        <f>EXP(-LN(2)/2)*AW186+(1-EXP(-LN(2)/2))/(LN(2)/2)*AQ187*AT187*VLOOKUP('Données projet'!$B$10,Paramètres!$A$1:$I$89,3,0)*0.475*44/12</f>
        <v>1.7601407112032241E-21</v>
      </c>
      <c r="AX187" s="23">
        <f t="shared" si="166"/>
        <v>4.6798864199890078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110.62999999999985</v>
      </c>
      <c r="D188" s="12">
        <f t="shared" si="140"/>
        <v>29.479368114770981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10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1081.5459994824416</v>
      </c>
      <c r="H188" s="70">
        <f t="shared" si="110"/>
        <v>537.35714946655912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1.1368683772161603E-13</v>
      </c>
      <c r="O188" s="14">
        <f>N188*VLOOKUP('Données projet'!$B$9,Paramètres!$A$1:$I$89,3,0)*VLOOKUP('Données projet'!$B$9,Paramètres!$A$1:$I$89,5,0)</f>
        <v>6.7984728957526396E-14</v>
      </c>
      <c r="P188" s="14">
        <f t="shared" si="141"/>
        <v>1.0682447123141398E-12</v>
      </c>
      <c r="Q188" s="22">
        <f t="shared" si="162"/>
        <v>1.978932943548152E-12</v>
      </c>
      <c r="R188" s="62">
        <f t="shared" si="109"/>
        <v>293.3333333333353</v>
      </c>
      <c r="S188" s="62">
        <f ca="1">AVERAGE(OFFSET($R$3,0,0,'Données projet'!$E$9+1,1))-AVERAGE(OFFSET($H$3,0,0,'Données projet'!$E$9+1,1))</f>
        <v>147.72913422715322</v>
      </c>
      <c r="T188" s="62">
        <f t="shared" si="142"/>
        <v>361.07991692964799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2.476056991239608</v>
      </c>
      <c r="AA188" s="23">
        <f>EXP(-LN(2)/25)*AA187+(1-EXP(-LN(2)/25))/(LN(2)/25)*Calculateur!V188*Calculateur!X188*VLOOKUP('Données projet'!$B$9,Paramètres!$A$1:$I$89,3,0)*0.475*44/12</f>
        <v>0.59780727200311712</v>
      </c>
      <c r="AB188" s="23">
        <f>EXP(-LN(2)/2)*AB187+(1-EXP(-LN(2)/2))/(LN(2)/2)*V188*Y188*VLOOKUP('Données projet'!$B$9,Paramètres!$A$1:$I$89,3,0)*0.475*44/12</f>
        <v>2.0386225674808171E-22</v>
      </c>
      <c r="AC188" s="24">
        <f t="shared" si="163"/>
        <v>3.0738642632427249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>
        <f>AI188*VLOOKUP('Données projet'!$B$10,Paramètres!$A$1:$I$89,3,0)*VLOOKUP('Données projet'!$B$10,Paramètres!$A$1:$I$89,5,0)</f>
        <v>0</v>
      </c>
      <c r="AK188" s="14" t="e">
        <f t="shared" si="164"/>
        <v>#NUM!</v>
      </c>
      <c r="AL188" s="22" t="e">
        <f t="shared" si="165"/>
        <v>#NUM!</v>
      </c>
      <c r="AM188" s="62" t="e">
        <f t="shared" si="113"/>
        <v>#NUM!</v>
      </c>
      <c r="AN188" s="62">
        <f ca="1">AVERAGE(OFFSET($AM$3,0,0,'Données projet'!$E$10+1,1))-AVERAGE(OFFSET($H$3,0,0,'Données projet'!$E$10+1,1))</f>
        <v>151.58413719376074</v>
      </c>
      <c r="AO188" s="62">
        <f t="shared" si="144"/>
        <v>310.105543138185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4.5881167017418862</v>
      </c>
      <c r="AV188" s="23">
        <f>EXP(-LN(2)/25)*AV187+(1-EXP(-LN(2)/25))/(LN(2)/25)*Calculateur!AQ188*Calculateur!AS188*VLOOKUP('Données projet'!$B$10,Paramètres!$A$1:$I$89,3,0)*0.475*44/12</f>
        <v>0</v>
      </c>
      <c r="AW188" s="23">
        <f>EXP(-LN(2)/2)*AW187+(1-EXP(-LN(2)/2))/(LN(2)/2)*AQ188*AT188*VLOOKUP('Données projet'!$B$10,Paramètres!$A$1:$I$89,3,0)*0.475*44/12</f>
        <v>1.2446074327343123E-21</v>
      </c>
      <c r="AX188" s="23">
        <f t="shared" si="166"/>
        <v>4.5881167017418862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111.22799999999985</v>
      </c>
      <c r="D189" s="12">
        <f t="shared" si="140"/>
        <v>29.620123744783776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10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1087.2486745211368</v>
      </c>
      <c r="H189" s="70">
        <f t="shared" si="110"/>
        <v>538.6438155221648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1.1368683772161603E-13</v>
      </c>
      <c r="O189" s="14">
        <f>N189*VLOOKUP('Données projet'!$B$9,Paramètres!$A$1:$I$89,3,0)*VLOOKUP('Données projet'!$B$9,Paramètres!$A$1:$I$89,5,0)</f>
        <v>6.7984728957526396E-14</v>
      </c>
      <c r="P189" s="14">
        <f t="shared" si="141"/>
        <v>1.0682447123141398E-12</v>
      </c>
      <c r="Q189" s="22">
        <f t="shared" si="162"/>
        <v>1.978932943548152E-12</v>
      </c>
      <c r="R189" s="62">
        <f t="shared" si="109"/>
        <v>293.3333333333353</v>
      </c>
      <c r="S189" s="62">
        <f ca="1">AVERAGE(OFFSET($R$3,0,0,'Données projet'!$E$9+1,1))-AVERAGE(OFFSET($H$3,0,0,'Données projet'!$E$9+1,1))</f>
        <v>147.72913422715322</v>
      </c>
      <c r="T189" s="62">
        <f t="shared" si="142"/>
        <v>361.07991692964799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2.4275030238870396</v>
      </c>
      <c r="AA189" s="23">
        <f>EXP(-LN(2)/25)*AA188+(1-EXP(-LN(2)/25))/(LN(2)/25)*Calculateur!V189*Calculateur!X189*VLOOKUP('Données projet'!$B$9,Paramètres!$A$1:$I$89,3,0)*0.475*44/12</f>
        <v>0.58146020071287374</v>
      </c>
      <c r="AB189" s="23">
        <f>EXP(-LN(2)/2)*AB188+(1-EXP(-LN(2)/2))/(LN(2)/2)*V189*Y189*VLOOKUP('Données projet'!$B$9,Paramètres!$A$1:$I$89,3,0)*0.475*44/12</f>
        <v>1.4415238417456158E-22</v>
      </c>
      <c r="AC189" s="24">
        <f t="shared" si="163"/>
        <v>3.0089632245999134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>
        <f>AI189*VLOOKUP('Données projet'!$B$10,Paramètres!$A$1:$I$89,3,0)*VLOOKUP('Données projet'!$B$10,Paramètres!$A$1:$I$89,5,0)</f>
        <v>0</v>
      </c>
      <c r="AK189" s="14" t="e">
        <f t="shared" si="164"/>
        <v>#NUM!</v>
      </c>
      <c r="AL189" s="22" t="e">
        <f t="shared" si="165"/>
        <v>#NUM!</v>
      </c>
      <c r="AM189" s="62" t="e">
        <f t="shared" si="113"/>
        <v>#NUM!</v>
      </c>
      <c r="AN189" s="62">
        <f ca="1">AVERAGE(OFFSET($AM$3,0,0,'Données projet'!$E$10+1,1))-AVERAGE(OFFSET($H$3,0,0,'Données projet'!$E$10+1,1))</f>
        <v>151.58413719376074</v>
      </c>
      <c r="AO189" s="62">
        <f t="shared" si="144"/>
        <v>310.105543138185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4.4981465316955891</v>
      </c>
      <c r="AV189" s="23">
        <f>EXP(-LN(2)/25)*AV188+(1-EXP(-LN(2)/25))/(LN(2)/25)*Calculateur!AQ189*Calculateur!AS189*VLOOKUP('Données projet'!$B$10,Paramètres!$A$1:$I$89,3,0)*0.475*44/12</f>
        <v>0</v>
      </c>
      <c r="AW189" s="23">
        <f>EXP(-LN(2)/2)*AW188+(1-EXP(-LN(2)/2))/(LN(2)/2)*AQ189*AT189*VLOOKUP('Données projet'!$B$10,Paramètres!$A$1:$I$89,3,0)*0.475*44/12</f>
        <v>8.8007035560161205E-22</v>
      </c>
      <c r="AX189" s="23">
        <f t="shared" si="166"/>
        <v>4.4981465316955891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111.82599999999985</v>
      </c>
      <c r="D190" s="12">
        <f t="shared" si="140"/>
        <v>29.760791316122987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10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1092.9506698086675</v>
      </c>
      <c r="H190" s="70">
        <f t="shared" si="110"/>
        <v>539.93032820891392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1.1368683772161603E-13</v>
      </c>
      <c r="O190" s="14">
        <f>N190*VLOOKUP('Données projet'!$B$9,Paramètres!$A$1:$I$89,3,0)*VLOOKUP('Données projet'!$B$9,Paramètres!$A$1:$I$89,5,0)</f>
        <v>6.7984728957526396E-14</v>
      </c>
      <c r="P190" s="14">
        <f t="shared" si="141"/>
        <v>1.0682447123141398E-12</v>
      </c>
      <c r="Q190" s="22">
        <f t="shared" si="162"/>
        <v>1.978932943548152E-12</v>
      </c>
      <c r="R190" s="62">
        <f t="shared" si="109"/>
        <v>293.3333333333353</v>
      </c>
      <c r="S190" s="62">
        <f ca="1">AVERAGE(OFFSET($R$3,0,0,'Données projet'!$E$9+1,1))-AVERAGE(OFFSET($H$3,0,0,'Données projet'!$E$9+1,1))</f>
        <v>147.72913422715322</v>
      </c>
      <c r="T190" s="62">
        <f t="shared" si="142"/>
        <v>361.07991692964799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2.3799011702192594</v>
      </c>
      <c r="AA190" s="23">
        <f>EXP(-LN(2)/25)*AA189+(1-EXP(-LN(2)/25))/(LN(2)/25)*Calculateur!V190*Calculateur!X190*VLOOKUP('Données projet'!$B$9,Paramètres!$A$1:$I$89,3,0)*0.475*44/12</f>
        <v>0.56556014094671725</v>
      </c>
      <c r="AB190" s="23">
        <f>EXP(-LN(2)/2)*AB189+(1-EXP(-LN(2)/2))/(LN(2)/2)*V190*Y190*VLOOKUP('Données projet'!$B$9,Paramètres!$A$1:$I$89,3,0)*0.475*44/12</f>
        <v>1.0193112837404086E-22</v>
      </c>
      <c r="AC190" s="24">
        <f t="shared" si="163"/>
        <v>2.9454613111659764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>
        <f>AI190*VLOOKUP('Données projet'!$B$10,Paramètres!$A$1:$I$89,3,0)*VLOOKUP('Données projet'!$B$10,Paramètres!$A$1:$I$89,5,0)</f>
        <v>0</v>
      </c>
      <c r="AK190" s="14" t="e">
        <f t="shared" si="164"/>
        <v>#NUM!</v>
      </c>
      <c r="AL190" s="22" t="e">
        <f t="shared" si="165"/>
        <v>#NUM!</v>
      </c>
      <c r="AM190" s="62" t="e">
        <f t="shared" si="113"/>
        <v>#NUM!</v>
      </c>
      <c r="AN190" s="62">
        <f ca="1">AVERAGE(OFFSET($AM$3,0,0,'Données projet'!$E$10+1,1))-AVERAGE(OFFSET($H$3,0,0,'Données projet'!$E$10+1,1))</f>
        <v>151.58413719376074</v>
      </c>
      <c r="AO190" s="62">
        <f t="shared" si="144"/>
        <v>310.105543138185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4.4099406218075154</v>
      </c>
      <c r="AV190" s="23">
        <f>EXP(-LN(2)/25)*AV189+(1-EXP(-LN(2)/25))/(LN(2)/25)*Calculateur!AQ190*Calculateur!AS190*VLOOKUP('Données projet'!$B$10,Paramètres!$A$1:$I$89,3,0)*0.475*44/12</f>
        <v>0</v>
      </c>
      <c r="AW190" s="23">
        <f>EXP(-LN(2)/2)*AW189+(1-EXP(-LN(2)/2))/(LN(2)/2)*AQ190*AT190*VLOOKUP('Données projet'!$B$10,Paramètres!$A$1:$I$89,3,0)*0.475*44/12</f>
        <v>6.2230371636715617E-22</v>
      </c>
      <c r="AX190" s="23">
        <f t="shared" si="166"/>
        <v>4.4099406218075154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112.42399999999985</v>
      </c>
      <c r="D191" s="12">
        <f t="shared" si="140"/>
        <v>29.901371354345098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10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1098.6519894019611</v>
      </c>
      <c r="H191" s="70">
        <f t="shared" si="110"/>
        <v>541.21668844215083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1.1368683772161603E-13</v>
      </c>
      <c r="O191" s="14">
        <f>N191*VLOOKUP('Données projet'!$B$9,Paramètres!$A$1:$I$89,3,0)*VLOOKUP('Données projet'!$B$9,Paramètres!$A$1:$I$89,5,0)</f>
        <v>6.7984728957526396E-14</v>
      </c>
      <c r="P191" s="14">
        <f t="shared" si="141"/>
        <v>1.0682447123141398E-12</v>
      </c>
      <c r="Q191" s="22">
        <f t="shared" si="162"/>
        <v>1.978932943548152E-12</v>
      </c>
      <c r="R191" s="62">
        <f t="shared" si="109"/>
        <v>293.3333333333353</v>
      </c>
      <c r="S191" s="62">
        <f ca="1">AVERAGE(OFFSET($R$3,0,0,'Données projet'!$E$9+1,1))-AVERAGE(OFFSET($H$3,0,0,'Données projet'!$E$9+1,1))</f>
        <v>147.72913422715322</v>
      </c>
      <c r="T191" s="62">
        <f t="shared" si="142"/>
        <v>361.07991692964799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2.3332327598676401</v>
      </c>
      <c r="AA191" s="23">
        <f>EXP(-LN(2)/25)*AA190+(1-EXP(-LN(2)/25))/(LN(2)/25)*Calculateur!V191*Calculateur!X191*VLOOKUP('Données projet'!$B$9,Paramètres!$A$1:$I$89,3,0)*0.475*44/12</f>
        <v>0.55009486915101402</v>
      </c>
      <c r="AB191" s="23">
        <f>EXP(-LN(2)/2)*AB190+(1-EXP(-LN(2)/2))/(LN(2)/2)*V191*Y191*VLOOKUP('Données projet'!$B$9,Paramètres!$A$1:$I$89,3,0)*0.475*44/12</f>
        <v>7.2076192087280792E-23</v>
      </c>
      <c r="AC191" s="24">
        <f t="shared" si="163"/>
        <v>2.883327629018654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>
        <f>AI191*VLOOKUP('Données projet'!$B$10,Paramètres!$A$1:$I$89,3,0)*VLOOKUP('Données projet'!$B$10,Paramètres!$A$1:$I$89,5,0)</f>
        <v>0</v>
      </c>
      <c r="AK191" s="14" t="e">
        <f t="shared" si="164"/>
        <v>#NUM!</v>
      </c>
      <c r="AL191" s="22" t="e">
        <f t="shared" si="165"/>
        <v>#NUM!</v>
      </c>
      <c r="AM191" s="62" t="e">
        <f t="shared" si="113"/>
        <v>#NUM!</v>
      </c>
      <c r="AN191" s="62">
        <f ca="1">AVERAGE(OFFSET($AM$3,0,0,'Données projet'!$E$10+1,1))-AVERAGE(OFFSET($H$3,0,0,'Données projet'!$E$10+1,1))</f>
        <v>151.58413719376074</v>
      </c>
      <c r="AO191" s="62">
        <f t="shared" si="144"/>
        <v>310.105543138185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4.3234643760120539</v>
      </c>
      <c r="AV191" s="23">
        <f>EXP(-LN(2)/25)*AV190+(1-EXP(-LN(2)/25))/(LN(2)/25)*Calculateur!AQ191*Calculateur!AS191*VLOOKUP('Données projet'!$B$10,Paramètres!$A$1:$I$89,3,0)*0.475*44/12</f>
        <v>0</v>
      </c>
      <c r="AW191" s="23">
        <f>EXP(-LN(2)/2)*AW190+(1-EXP(-LN(2)/2))/(LN(2)/2)*AQ191*AT191*VLOOKUP('Données projet'!$B$10,Paramètres!$A$1:$I$89,3,0)*0.475*44/12</f>
        <v>4.4003517780080603E-22</v>
      </c>
      <c r="AX191" s="23">
        <f t="shared" si="166"/>
        <v>4.3234643760120539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113.02199999999985</v>
      </c>
      <c r="D192" s="12">
        <f t="shared" si="140"/>
        <v>30.041864379091798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10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1104.3526373122866</v>
      </c>
      <c r="H192" s="70">
        <f t="shared" si="110"/>
        <v>542.50289712691801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1.1368683772161603E-13</v>
      </c>
      <c r="O192" s="14">
        <f>N192*VLOOKUP('Données projet'!$B$9,Paramètres!$A$1:$I$89,3,0)*VLOOKUP('Données projet'!$B$9,Paramètres!$A$1:$I$89,5,0)</f>
        <v>6.7984728957526396E-14</v>
      </c>
      <c r="P192" s="14">
        <f t="shared" si="141"/>
        <v>1.0682447123141398E-12</v>
      </c>
      <c r="Q192" s="22">
        <f t="shared" si="162"/>
        <v>1.978932943548152E-12</v>
      </c>
      <c r="R192" s="62">
        <f t="shared" si="109"/>
        <v>293.3333333333353</v>
      </c>
      <c r="S192" s="62">
        <f ca="1">AVERAGE(OFFSET($R$3,0,0,'Données projet'!$E$9+1,1))-AVERAGE(OFFSET($H$3,0,0,'Données projet'!$E$9+1,1))</f>
        <v>147.72913422715322</v>
      </c>
      <c r="T192" s="62">
        <f t="shared" si="142"/>
        <v>361.07991692964799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2.2874794885780965</v>
      </c>
      <c r="AA192" s="23">
        <f>EXP(-LN(2)/25)*AA191+(1-EXP(-LN(2)/25))/(LN(2)/25)*Calculateur!V192*Calculateur!X192*VLOOKUP('Données projet'!$B$9,Paramètres!$A$1:$I$89,3,0)*0.475*44/12</f>
        <v>0.53505249602584759</v>
      </c>
      <c r="AB192" s="23">
        <f>EXP(-LN(2)/2)*AB191+(1-EXP(-LN(2)/2))/(LN(2)/2)*V192*Y192*VLOOKUP('Données projet'!$B$9,Paramètres!$A$1:$I$89,3,0)*0.475*44/12</f>
        <v>5.0965564187020428E-23</v>
      </c>
      <c r="AC192" s="24">
        <f t="shared" si="163"/>
        <v>2.8225319846039438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>
        <f>AI192*VLOOKUP('Données projet'!$B$10,Paramètres!$A$1:$I$89,3,0)*VLOOKUP('Données projet'!$B$10,Paramètres!$A$1:$I$89,5,0)</f>
        <v>0</v>
      </c>
      <c r="AK192" s="14" t="e">
        <f t="shared" si="164"/>
        <v>#NUM!</v>
      </c>
      <c r="AL192" s="22" t="e">
        <f t="shared" si="165"/>
        <v>#NUM!</v>
      </c>
      <c r="AM192" s="62" t="e">
        <f t="shared" si="113"/>
        <v>#NUM!</v>
      </c>
      <c r="AN192" s="62">
        <f ca="1">AVERAGE(OFFSET($AM$3,0,0,'Données projet'!$E$10+1,1))-AVERAGE(OFFSET($H$3,0,0,'Données projet'!$E$10+1,1))</f>
        <v>151.58413719376074</v>
      </c>
      <c r="AO192" s="62">
        <f t="shared" si="144"/>
        <v>310.105543138185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4.2386838766513399</v>
      </c>
      <c r="AV192" s="23">
        <f>EXP(-LN(2)/25)*AV191+(1-EXP(-LN(2)/25))/(LN(2)/25)*Calculateur!AQ192*Calculateur!AS192*VLOOKUP('Données projet'!$B$10,Paramètres!$A$1:$I$89,3,0)*0.475*44/12</f>
        <v>0</v>
      </c>
      <c r="AW192" s="23">
        <f>EXP(-LN(2)/2)*AW191+(1-EXP(-LN(2)/2))/(LN(2)/2)*AQ192*AT192*VLOOKUP('Données projet'!$B$10,Paramètres!$A$1:$I$89,3,0)*0.475*44/12</f>
        <v>3.1115185818357809E-22</v>
      </c>
      <c r="AX192" s="23">
        <f t="shared" si="166"/>
        <v>4.2386838766513399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113.61999999999985</v>
      </c>
      <c r="D193" s="12">
        <f t="shared" si="140"/>
        <v>30.182270904187739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10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1110.0526175060095</v>
      </c>
      <c r="H193" s="70">
        <f t="shared" si="110"/>
        <v>543.78895515812667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1.1368683772161603E-13</v>
      </c>
      <c r="O193" s="14">
        <f>N193*VLOOKUP('Données projet'!$B$9,Paramètres!$A$1:$I$89,3,0)*VLOOKUP('Données projet'!$B$9,Paramètres!$A$1:$I$89,5,0)</f>
        <v>6.7984728957526396E-14</v>
      </c>
      <c r="P193" s="14">
        <f t="shared" si="141"/>
        <v>1.0682447123141398E-12</v>
      </c>
      <c r="Q193" s="22">
        <f t="shared" si="162"/>
        <v>1.978932943548152E-12</v>
      </c>
      <c r="R193" s="62">
        <f t="shared" si="109"/>
        <v>293.3333333333353</v>
      </c>
      <c r="S193" s="62">
        <f ca="1">AVERAGE(OFFSET($R$3,0,0,'Données projet'!$E$9+1,1))-AVERAGE(OFFSET($H$3,0,0,'Données projet'!$E$9+1,1))</f>
        <v>147.72913422715322</v>
      </c>
      <c r="T193" s="62">
        <f t="shared" si="142"/>
        <v>361.07991692964799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2.2426234110318011</v>
      </c>
      <c r="AA193" s="23">
        <f>EXP(-LN(2)/25)*AA192+(1-EXP(-LN(2)/25))/(LN(2)/25)*Calculateur!V193*Calculateur!X193*VLOOKUP('Données projet'!$B$9,Paramètres!$A$1:$I$89,3,0)*0.475*44/12</f>
        <v>0.52042145738483292</v>
      </c>
      <c r="AB193" s="23">
        <f>EXP(-LN(2)/2)*AB192+(1-EXP(-LN(2)/2))/(LN(2)/2)*V193*Y193*VLOOKUP('Données projet'!$B$9,Paramètres!$A$1:$I$89,3,0)*0.475*44/12</f>
        <v>3.6038096043640396E-23</v>
      </c>
      <c r="AC193" s="24">
        <f t="shared" si="163"/>
        <v>2.763044868416634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>
        <f>AI193*VLOOKUP('Données projet'!$B$10,Paramètres!$A$1:$I$89,3,0)*VLOOKUP('Données projet'!$B$10,Paramètres!$A$1:$I$89,5,0)</f>
        <v>0</v>
      </c>
      <c r="AK193" s="14" t="e">
        <f t="shared" si="164"/>
        <v>#NUM!</v>
      </c>
      <c r="AL193" s="22" t="e">
        <f t="shared" si="165"/>
        <v>#NUM!</v>
      </c>
      <c r="AM193" s="62" t="e">
        <f t="shared" si="113"/>
        <v>#NUM!</v>
      </c>
      <c r="AN193" s="62">
        <f ca="1">AVERAGE(OFFSET($AM$3,0,0,'Données projet'!$E$10+1,1))-AVERAGE(OFFSET($H$3,0,0,'Données projet'!$E$10+1,1))</f>
        <v>151.58413719376074</v>
      </c>
      <c r="AO193" s="62">
        <f t="shared" si="144"/>
        <v>310.105543138185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4.1555658711720902</v>
      </c>
      <c r="AV193" s="23">
        <f>EXP(-LN(2)/25)*AV192+(1-EXP(-LN(2)/25))/(LN(2)/25)*Calculateur!AQ193*Calculateur!AS193*VLOOKUP('Données projet'!$B$10,Paramètres!$A$1:$I$89,3,0)*0.475*44/12</f>
        <v>0</v>
      </c>
      <c r="AW193" s="23">
        <f>EXP(-LN(2)/2)*AW192+(1-EXP(-LN(2)/2))/(LN(2)/2)*AQ193*AT193*VLOOKUP('Données projet'!$B$10,Paramètres!$A$1:$I$89,3,0)*0.475*44/12</f>
        <v>2.2001758890040301E-22</v>
      </c>
      <c r="AX193" s="23">
        <f t="shared" si="166"/>
        <v>4.1555658711720902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114.21799999999985</v>
      </c>
      <c r="D194" s="12">
        <f t="shared" si="140"/>
        <v>30.322591437735614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10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1115.7519339053265</v>
      </c>
      <c r="H194" s="70">
        <f t="shared" si="110"/>
        <v>545.07486342072252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1.1368683772161603E-13</v>
      </c>
      <c r="O194" s="14">
        <f>N194*VLOOKUP('Données projet'!$B$9,Paramètres!$A$1:$I$89,3,0)*VLOOKUP('Données projet'!$B$9,Paramètres!$A$1:$I$89,5,0)</f>
        <v>6.7984728957526396E-14</v>
      </c>
      <c r="P194" s="14">
        <f t="shared" si="141"/>
        <v>1.0682447123141398E-12</v>
      </c>
      <c r="Q194" s="22">
        <f t="shared" si="162"/>
        <v>1.978932943548152E-12</v>
      </c>
      <c r="R194" s="62">
        <f t="shared" si="109"/>
        <v>293.3333333333353</v>
      </c>
      <c r="S194" s="62">
        <f ca="1">AVERAGE(OFFSET($R$3,0,0,'Données projet'!$E$9+1,1))-AVERAGE(OFFSET($H$3,0,0,'Données projet'!$E$9+1,1))</f>
        <v>147.72913422715322</v>
      </c>
      <c r="T194" s="62">
        <f t="shared" si="142"/>
        <v>361.07991692964799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2.1986469338066827</v>
      </c>
      <c r="AA194" s="23">
        <f>EXP(-LN(2)/25)*AA193+(1-EXP(-LN(2)/25))/(LN(2)/25)*Calculateur!V194*Calculateur!X194*VLOOKUP('Données projet'!$B$9,Paramètres!$A$1:$I$89,3,0)*0.475*44/12</f>
        <v>0.50619050526486964</v>
      </c>
      <c r="AB194" s="23">
        <f>EXP(-LN(2)/2)*AB193+(1-EXP(-LN(2)/2))/(LN(2)/2)*V194*Y194*VLOOKUP('Données projet'!$B$9,Paramètres!$A$1:$I$89,3,0)*0.475*44/12</f>
        <v>2.5482782093510214E-23</v>
      </c>
      <c r="AC194" s="24">
        <f t="shared" si="163"/>
        <v>2.7048374390715524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>
        <f>AI194*VLOOKUP('Données projet'!$B$10,Paramètres!$A$1:$I$89,3,0)*VLOOKUP('Données projet'!$B$10,Paramètres!$A$1:$I$89,5,0)</f>
        <v>0</v>
      </c>
      <c r="AK194" s="14" t="e">
        <f t="shared" si="164"/>
        <v>#NUM!</v>
      </c>
      <c r="AL194" s="22" t="e">
        <f t="shared" si="165"/>
        <v>#NUM!</v>
      </c>
      <c r="AM194" s="62" t="e">
        <f t="shared" si="113"/>
        <v>#NUM!</v>
      </c>
      <c r="AN194" s="62">
        <f ca="1">AVERAGE(OFFSET($AM$3,0,0,'Données projet'!$E$10+1,1))-AVERAGE(OFFSET($H$3,0,0,'Données projet'!$E$10+1,1))</f>
        <v>151.58413719376074</v>
      </c>
      <c r="AO194" s="62">
        <f t="shared" si="144"/>
        <v>310.105543138185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4.0740777590833117</v>
      </c>
      <c r="AV194" s="23">
        <f>EXP(-LN(2)/25)*AV193+(1-EXP(-LN(2)/25))/(LN(2)/25)*Calculateur!AQ194*Calculateur!AS194*VLOOKUP('Données projet'!$B$10,Paramètres!$A$1:$I$89,3,0)*0.475*44/12</f>
        <v>0</v>
      </c>
      <c r="AW194" s="23">
        <f>EXP(-LN(2)/2)*AW193+(1-EXP(-LN(2)/2))/(LN(2)/2)*AQ194*AT194*VLOOKUP('Données projet'!$B$10,Paramètres!$A$1:$I$89,3,0)*0.475*44/12</f>
        <v>1.5557592909178904E-22</v>
      </c>
      <c r="AX194" s="23">
        <f t="shared" si="166"/>
        <v>4.0740777590833117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114.81599999999985</v>
      </c>
      <c r="D195" s="12">
        <f t="shared" si="140"/>
        <v>30.462826482209802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10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1121.4505903889867</v>
      </c>
      <c r="H195" s="70">
        <f t="shared" si="110"/>
        <v>546.36062278984843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1.1368683772161603E-13</v>
      </c>
      <c r="O195" s="14">
        <f>N195*VLOOKUP('Données projet'!$B$9,Paramètres!$A$1:$I$89,3,0)*VLOOKUP('Données projet'!$B$9,Paramètres!$A$1:$I$89,5,0)</f>
        <v>6.7984728957526396E-14</v>
      </c>
      <c r="P195" s="14">
        <f t="shared" si="141"/>
        <v>1.0682447123141398E-12</v>
      </c>
      <c r="Q195" s="22">
        <f t="shared" si="162"/>
        <v>1.978932943548152E-12</v>
      </c>
      <c r="R195" s="62">
        <f t="shared" ref="R195:R203" si="191">Q195+(I195+J195)*44/12</f>
        <v>293.3333333333353</v>
      </c>
      <c r="S195" s="62">
        <f ca="1">AVERAGE(OFFSET($R$3,0,0,'Données projet'!$E$9+1,1))-AVERAGE(OFFSET($H$3,0,0,'Données projet'!$E$9+1,1))</f>
        <v>147.72913422715322</v>
      </c>
      <c r="T195" s="62">
        <f t="shared" si="142"/>
        <v>361.07991692964799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2.1555328084769463</v>
      </c>
      <c r="AA195" s="23">
        <f>EXP(-LN(2)/25)*AA194+(1-EXP(-LN(2)/25))/(LN(2)/25)*Calculateur!V195*Calculateur!X195*VLOOKUP('Données projet'!$B$9,Paramètres!$A$1:$I$89,3,0)*0.475*44/12</f>
        <v>0.49234869927900005</v>
      </c>
      <c r="AB195" s="23">
        <f>EXP(-LN(2)/2)*AB194+(1-EXP(-LN(2)/2))/(LN(2)/2)*V195*Y195*VLOOKUP('Données projet'!$B$9,Paramètres!$A$1:$I$89,3,0)*0.475*44/12</f>
        <v>1.8019048021820198E-23</v>
      </c>
      <c r="AC195" s="24">
        <f t="shared" si="163"/>
        <v>2.6478815077559466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>
        <f>AI195*VLOOKUP('Données projet'!$B$10,Paramètres!$A$1:$I$89,3,0)*VLOOKUP('Données projet'!$B$10,Paramètres!$A$1:$I$89,5,0)</f>
        <v>0</v>
      </c>
      <c r="AK195" s="14" t="e">
        <f t="shared" si="164"/>
        <v>#NUM!</v>
      </c>
      <c r="AL195" s="22" t="e">
        <f t="shared" si="165"/>
        <v>#NUM!</v>
      </c>
      <c r="AM195" s="62" t="e">
        <f t="shared" si="113"/>
        <v>#NUM!</v>
      </c>
      <c r="AN195" s="62">
        <f ca="1">AVERAGE(OFFSET($AM$3,0,0,'Données projet'!$E$10+1,1))-AVERAGE(OFFSET($H$3,0,0,'Données projet'!$E$10+1,1))</f>
        <v>151.58413719376074</v>
      </c>
      <c r="AO195" s="62">
        <f t="shared" si="144"/>
        <v>310.105543138185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3.9941875791697532</v>
      </c>
      <c r="AV195" s="23">
        <f>EXP(-LN(2)/25)*AV194+(1-EXP(-LN(2)/25))/(LN(2)/25)*Calculateur!AQ195*Calculateur!AS195*VLOOKUP('Données projet'!$B$10,Paramètres!$A$1:$I$89,3,0)*0.475*44/12</f>
        <v>0</v>
      </c>
      <c r="AW195" s="23">
        <f>EXP(-LN(2)/2)*AW194+(1-EXP(-LN(2)/2))/(LN(2)/2)*AQ195*AT195*VLOOKUP('Données projet'!$B$10,Paramètres!$A$1:$I$89,3,0)*0.475*44/12</f>
        <v>1.1000879445020151E-22</v>
      </c>
      <c r="AX195" s="23">
        <f t="shared" si="166"/>
        <v>3.9941875791697532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115.41399999999985</v>
      </c>
      <c r="D196" s="12">
        <f t="shared" si="140"/>
        <v>30.602976534547494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10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1127.1485907929971</v>
      </c>
      <c r="H196" s="70">
        <f t="shared" ref="H196:H203" si="192">(B196+E196+F196)*44/12+(C196+D196)*0.475*44/12</f>
        <v>547.64623413100321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1.1368683772161603E-13</v>
      </c>
      <c r="O196" s="14">
        <f>N196*VLOOKUP('Données projet'!$B$9,Paramètres!$A$1:$I$89,3,0)*VLOOKUP('Données projet'!$B$9,Paramètres!$A$1:$I$89,5,0)</f>
        <v>6.7984728957526396E-14</v>
      </c>
      <c r="P196" s="14">
        <f t="shared" si="141"/>
        <v>1.0682447123141398E-12</v>
      </c>
      <c r="Q196" s="22">
        <f t="shared" si="162"/>
        <v>1.978932943548152E-12</v>
      </c>
      <c r="R196" s="62">
        <f t="shared" si="191"/>
        <v>293.3333333333353</v>
      </c>
      <c r="S196" s="62">
        <f ca="1">AVERAGE(OFFSET($R$3,0,0,'Données projet'!$E$9+1,1))-AVERAGE(OFFSET($H$3,0,0,'Données projet'!$E$9+1,1))</f>
        <v>147.72913422715322</v>
      </c>
      <c r="T196" s="62">
        <f t="shared" si="142"/>
        <v>361.07991692964799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2.1132641248479063</v>
      </c>
      <c r="AA196" s="23">
        <f>EXP(-LN(2)/25)*AA195+(1-EXP(-LN(2)/25))/(LN(2)/25)*Calculateur!V196*Calculateur!X196*VLOOKUP('Données projet'!$B$9,Paramètres!$A$1:$I$89,3,0)*0.475*44/12</f>
        <v>0.47888539820572296</v>
      </c>
      <c r="AB196" s="23">
        <f>EXP(-LN(2)/2)*AB195+(1-EXP(-LN(2)/2))/(LN(2)/2)*V196*Y196*VLOOKUP('Données projet'!$B$9,Paramètres!$A$1:$I$89,3,0)*0.475*44/12</f>
        <v>1.2741391046755107E-23</v>
      </c>
      <c r="AC196" s="24">
        <f t="shared" si="163"/>
        <v>2.5921495230536293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>
        <f>AI196*VLOOKUP('Données projet'!$B$10,Paramètres!$A$1:$I$89,3,0)*VLOOKUP('Données projet'!$B$10,Paramètres!$A$1:$I$89,5,0)</f>
        <v>0</v>
      </c>
      <c r="AK196" s="14" t="e">
        <f t="shared" si="164"/>
        <v>#NUM!</v>
      </c>
      <c r="AL196" s="22" t="e">
        <f t="shared" si="165"/>
        <v>#NUM!</v>
      </c>
      <c r="AM196" s="62" t="e">
        <f t="shared" ref="AM196:AM203" si="193">AL196+(AD196+AE196)*44/12</f>
        <v>#NUM!</v>
      </c>
      <c r="AN196" s="62">
        <f ca="1">AVERAGE(OFFSET($AM$3,0,0,'Données projet'!$E$10+1,1))-AVERAGE(OFFSET($H$3,0,0,'Données projet'!$E$10+1,1))</f>
        <v>151.58413719376074</v>
      </c>
      <c r="AO196" s="62">
        <f t="shared" si="144"/>
        <v>310.105543138185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3.9158639969561015</v>
      </c>
      <c r="AV196" s="23">
        <f>EXP(-LN(2)/25)*AV195+(1-EXP(-LN(2)/25))/(LN(2)/25)*Calculateur!AQ196*Calculateur!AS196*VLOOKUP('Données projet'!$B$10,Paramètres!$A$1:$I$89,3,0)*0.475*44/12</f>
        <v>0</v>
      </c>
      <c r="AW196" s="23">
        <f>EXP(-LN(2)/2)*AW195+(1-EXP(-LN(2)/2))/(LN(2)/2)*AQ196*AT196*VLOOKUP('Données projet'!$B$10,Paramètres!$A$1:$I$89,3,0)*0.475*44/12</f>
        <v>7.7787964545894522E-23</v>
      </c>
      <c r="AX196" s="23">
        <f t="shared" si="166"/>
        <v>3.9158639969561015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116.01199999999984</v>
      </c>
      <c r="D197" s="12">
        <f t="shared" ref="D197:D203" si="202">IFERROR(EXP(-1.0587+0.8836*LN(C197)+0.284),0)</f>
        <v>30.743042086238148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10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1132.8459389113111</v>
      </c>
      <c r="H197" s="70">
        <f t="shared" si="192"/>
        <v>548.93169830019781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1.1368683772161603E-13</v>
      </c>
      <c r="O197" s="14">
        <f>N197*VLOOKUP('Données projet'!$B$9,Paramètres!$A$1:$I$89,3,0)*VLOOKUP('Données projet'!$B$9,Paramètres!$A$1:$I$89,5,0)</f>
        <v>6.7984728957526396E-14</v>
      </c>
      <c r="P197" s="14">
        <f t="shared" ref="P197:P203" si="203">EXP(-1.0587+0.8836*LN(O197)+0.284)</f>
        <v>1.0682447123141398E-12</v>
      </c>
      <c r="Q197" s="22">
        <f t="shared" si="162"/>
        <v>1.978932943548152E-12</v>
      </c>
      <c r="R197" s="62">
        <f t="shared" si="191"/>
        <v>293.3333333333353</v>
      </c>
      <c r="S197" s="62">
        <f ca="1">AVERAGE(OFFSET($R$3,0,0,'Données projet'!$E$9+1,1))-AVERAGE(OFFSET($H$3,0,0,'Données projet'!$E$9+1,1))</f>
        <v>147.72913422715322</v>
      </c>
      <c r="T197" s="62">
        <f t="shared" ref="T197:T203" si="204">$T$3</f>
        <v>361.07991692964799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2.0718243043234805</v>
      </c>
      <c r="AA197" s="23">
        <f>EXP(-LN(2)/25)*AA196+(1-EXP(-LN(2)/25))/(LN(2)/25)*Calculateur!V197*Calculateur!X197*VLOOKUP('Données projet'!$B$9,Paramètres!$A$1:$I$89,3,0)*0.475*44/12</f>
        <v>0.46579025180829886</v>
      </c>
      <c r="AB197" s="23">
        <f>EXP(-LN(2)/2)*AB196+(1-EXP(-LN(2)/2))/(LN(2)/2)*V197*Y197*VLOOKUP('Données projet'!$B$9,Paramètres!$A$1:$I$89,3,0)*0.475*44/12</f>
        <v>9.009524010910099E-24</v>
      </c>
      <c r="AC197" s="24">
        <f t="shared" si="163"/>
        <v>2.5376145561317793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>
        <f>AI197*VLOOKUP('Données projet'!$B$10,Paramètres!$A$1:$I$89,3,0)*VLOOKUP('Données projet'!$B$10,Paramètres!$A$1:$I$89,5,0)</f>
        <v>0</v>
      </c>
      <c r="AK197" s="14" t="e">
        <f t="shared" si="164"/>
        <v>#NUM!</v>
      </c>
      <c r="AL197" s="22" t="e">
        <f t="shared" si="165"/>
        <v>#NUM!</v>
      </c>
      <c r="AM197" s="62" t="e">
        <f t="shared" si="193"/>
        <v>#NUM!</v>
      </c>
      <c r="AN197" s="62">
        <f ca="1">AVERAGE(OFFSET($AM$3,0,0,'Données projet'!$E$10+1,1))-AVERAGE(OFFSET($H$3,0,0,'Données projet'!$E$10+1,1))</f>
        <v>151.58413719376074</v>
      </c>
      <c r="AO197" s="62">
        <f t="shared" ref="AO197:AO203" si="205">$AO$3</f>
        <v>310.105543138185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3.8390762924169914</v>
      </c>
      <c r="AV197" s="23">
        <f>EXP(-LN(2)/25)*AV196+(1-EXP(-LN(2)/25))/(LN(2)/25)*Calculateur!AQ197*Calculateur!AS197*VLOOKUP('Données projet'!$B$10,Paramètres!$A$1:$I$89,3,0)*0.475*44/12</f>
        <v>0</v>
      </c>
      <c r="AW197" s="23">
        <f>EXP(-LN(2)/2)*AW196+(1-EXP(-LN(2)/2))/(LN(2)/2)*AQ197*AT197*VLOOKUP('Données projet'!$B$10,Paramètres!$A$1:$I$89,3,0)*0.475*44/12</f>
        <v>5.5004397225100753E-23</v>
      </c>
      <c r="AX197" s="23">
        <f t="shared" si="166"/>
        <v>3.8390762924169914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116.60999999999984</v>
      </c>
      <c r="D198" s="12">
        <f t="shared" si="202"/>
        <v>30.883023623410974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10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1138.5426384965047</v>
      </c>
      <c r="H198" s="70">
        <f t="shared" si="192"/>
        <v>550.21701614410711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1.1368683772161603E-13</v>
      </c>
      <c r="O198" s="14">
        <f>N198*VLOOKUP('Données projet'!$B$9,Paramètres!$A$1:$I$89,3,0)*VLOOKUP('Données projet'!$B$9,Paramètres!$A$1:$I$89,5,0)</f>
        <v>6.7984728957526396E-14</v>
      </c>
      <c r="P198" s="14">
        <f t="shared" si="203"/>
        <v>1.0682447123141398E-12</v>
      </c>
      <c r="Q198" s="22">
        <f t="shared" si="162"/>
        <v>1.978932943548152E-12</v>
      </c>
      <c r="R198" s="62">
        <f t="shared" si="191"/>
        <v>293.3333333333353</v>
      </c>
      <c r="S198" s="62">
        <f ca="1">AVERAGE(OFFSET($R$3,0,0,'Données projet'!$E$9+1,1))-AVERAGE(OFFSET($H$3,0,0,'Données projet'!$E$9+1,1))</f>
        <v>147.72913422715322</v>
      </c>
      <c r="T198" s="62">
        <f t="shared" si="204"/>
        <v>361.07991692964799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2.031197093403744</v>
      </c>
      <c r="AA198" s="23">
        <f>EXP(-LN(2)/25)*AA197+(1-EXP(-LN(2)/25))/(LN(2)/25)*Calculateur!V198*Calculateur!X198*VLOOKUP('Données projet'!$B$9,Paramètres!$A$1:$I$89,3,0)*0.475*44/12</f>
        <v>0.45305319287775614</v>
      </c>
      <c r="AB198" s="23">
        <f>EXP(-LN(2)/2)*AB197+(1-EXP(-LN(2)/2))/(LN(2)/2)*V198*Y198*VLOOKUP('Données projet'!$B$9,Paramètres!$A$1:$I$89,3,0)*0.475*44/12</f>
        <v>6.3706955233775535E-24</v>
      </c>
      <c r="AC198" s="24">
        <f t="shared" si="163"/>
        <v>2.4842502862815001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>
        <f>AI198*VLOOKUP('Données projet'!$B$10,Paramètres!$A$1:$I$89,3,0)*VLOOKUP('Données projet'!$B$10,Paramètres!$A$1:$I$89,5,0)</f>
        <v>0</v>
      </c>
      <c r="AK198" s="14" t="e">
        <f t="shared" si="164"/>
        <v>#NUM!</v>
      </c>
      <c r="AL198" s="22" t="e">
        <f t="shared" si="165"/>
        <v>#NUM!</v>
      </c>
      <c r="AM198" s="62" t="e">
        <f t="shared" si="193"/>
        <v>#NUM!</v>
      </c>
      <c r="AN198" s="62">
        <f ca="1">AVERAGE(OFFSET($AM$3,0,0,'Données projet'!$E$10+1,1))-AVERAGE(OFFSET($H$3,0,0,'Données projet'!$E$10+1,1))</f>
        <v>151.58413719376074</v>
      </c>
      <c r="AO198" s="62">
        <f t="shared" si="205"/>
        <v>310.105543138185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3.7637943479280183</v>
      </c>
      <c r="AV198" s="23">
        <f>EXP(-LN(2)/25)*AV197+(1-EXP(-LN(2)/25))/(LN(2)/25)*Calculateur!AQ198*Calculateur!AS198*VLOOKUP('Données projet'!$B$10,Paramètres!$A$1:$I$89,3,0)*0.475*44/12</f>
        <v>0</v>
      </c>
      <c r="AW198" s="23">
        <f>EXP(-LN(2)/2)*AW197+(1-EXP(-LN(2)/2))/(LN(2)/2)*AQ198*AT198*VLOOKUP('Données projet'!$B$10,Paramètres!$A$1:$I$89,3,0)*0.475*44/12</f>
        <v>3.8893982272947261E-23</v>
      </c>
      <c r="AX198" s="23">
        <f t="shared" si="166"/>
        <v>3.7637943479280183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117.20799999999984</v>
      </c>
      <c r="D199" s="12">
        <f t="shared" si="202"/>
        <v>31.022921626920507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10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1144.2386932604379</v>
      </c>
      <c r="H199" s="70">
        <f t="shared" si="192"/>
        <v>551.50218850021952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1.1368683772161603E-13</v>
      </c>
      <c r="O199" s="14">
        <f>N199*VLOOKUP('Données projet'!$B$9,Paramètres!$A$1:$I$89,3,0)*VLOOKUP('Données projet'!$B$9,Paramètres!$A$1:$I$89,5,0)</f>
        <v>6.7984728957526396E-14</v>
      </c>
      <c r="P199" s="14">
        <f t="shared" si="203"/>
        <v>1.0682447123141398E-12</v>
      </c>
      <c r="Q199" s="22">
        <f t="shared" si="162"/>
        <v>1.978932943548152E-12</v>
      </c>
      <c r="R199" s="62">
        <f t="shared" si="191"/>
        <v>293.3333333333353</v>
      </c>
      <c r="S199" s="62">
        <f ca="1">AVERAGE(OFFSET($R$3,0,0,'Données projet'!$E$9+1,1))-AVERAGE(OFFSET($H$3,0,0,'Données projet'!$E$9+1,1))</f>
        <v>147.72913422715322</v>
      </c>
      <c r="T199" s="62">
        <f t="shared" si="204"/>
        <v>361.07991692964799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1.9913665573099915</v>
      </c>
      <c r="AA199" s="23">
        <f>EXP(-LN(2)/25)*AA198+(1-EXP(-LN(2)/25))/(LN(2)/25)*Calculateur!V199*Calculateur!X199*VLOOKUP('Données projet'!$B$9,Paramètres!$A$1:$I$89,3,0)*0.475*44/12</f>
        <v>0.44066442949348195</v>
      </c>
      <c r="AB199" s="23">
        <f>EXP(-LN(2)/2)*AB198+(1-EXP(-LN(2)/2))/(LN(2)/2)*V199*Y199*VLOOKUP('Données projet'!$B$9,Paramètres!$A$1:$I$89,3,0)*0.475*44/12</f>
        <v>4.5047620054550495E-24</v>
      </c>
      <c r="AC199" s="24">
        <f t="shared" si="163"/>
        <v>2.4320309868034733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>
        <f>AI199*VLOOKUP('Données projet'!$B$10,Paramètres!$A$1:$I$89,3,0)*VLOOKUP('Données projet'!$B$10,Paramètres!$A$1:$I$89,5,0)</f>
        <v>0</v>
      </c>
      <c r="AK199" s="14" t="e">
        <f t="shared" si="164"/>
        <v>#NUM!</v>
      </c>
      <c r="AL199" s="22" t="e">
        <f t="shared" si="165"/>
        <v>#NUM!</v>
      </c>
      <c r="AM199" s="62" t="e">
        <f t="shared" si="193"/>
        <v>#NUM!</v>
      </c>
      <c r="AN199" s="62">
        <f ca="1">AVERAGE(OFFSET($AM$3,0,0,'Données projet'!$E$10+1,1))-AVERAGE(OFFSET($H$3,0,0,'Données projet'!$E$10+1,1))</f>
        <v>151.58413719376074</v>
      </c>
      <c r="AO199" s="62">
        <f t="shared" si="205"/>
        <v>310.105543138185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3.6899886364530219</v>
      </c>
      <c r="AV199" s="23">
        <f>EXP(-LN(2)/25)*AV198+(1-EXP(-LN(2)/25))/(LN(2)/25)*Calculateur!AQ199*Calculateur!AS199*VLOOKUP('Données projet'!$B$10,Paramètres!$A$1:$I$89,3,0)*0.475*44/12</f>
        <v>0</v>
      </c>
      <c r="AW199" s="23">
        <f>EXP(-LN(2)/2)*AW198+(1-EXP(-LN(2)/2))/(LN(2)/2)*AQ199*AT199*VLOOKUP('Données projet'!$B$10,Paramètres!$A$1:$I$89,3,0)*0.475*44/12</f>
        <v>2.7502198612550377E-23</v>
      </c>
      <c r="AX199" s="23">
        <f t="shared" si="166"/>
        <v>3.6899886364530219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117.80599999999984</v>
      </c>
      <c r="D200" s="12">
        <f t="shared" si="202"/>
        <v>31.162736572430603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10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1149.9341068749018</v>
      </c>
      <c r="H200" s="70">
        <f t="shared" si="192"/>
        <v>552.78721619698297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1.1368683772161603E-13</v>
      </c>
      <c r="O200" s="14">
        <f>N200*VLOOKUP('Données projet'!$B$9,Paramètres!$A$1:$I$89,3,0)*VLOOKUP('Données projet'!$B$9,Paramètres!$A$1:$I$89,5,0)</f>
        <v>6.7984728957526396E-14</v>
      </c>
      <c r="P200" s="14">
        <f t="shared" si="203"/>
        <v>1.0682447123141398E-12</v>
      </c>
      <c r="Q200" s="22">
        <f t="shared" si="162"/>
        <v>1.978932943548152E-12</v>
      </c>
      <c r="R200" s="62">
        <f t="shared" si="191"/>
        <v>293.3333333333353</v>
      </c>
      <c r="S200" s="62">
        <f ca="1">AVERAGE(OFFSET($R$3,0,0,'Données projet'!$E$9+1,1))-AVERAGE(OFFSET($H$3,0,0,'Données projet'!$E$9+1,1))</f>
        <v>147.72913422715322</v>
      </c>
      <c r="T200" s="62">
        <f t="shared" si="204"/>
        <v>361.07991692964799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1.9523170737348094</v>
      </c>
      <c r="AA200" s="23">
        <f>EXP(-LN(2)/25)*AA199+(1-EXP(-LN(2)/25))/(LN(2)/25)*Calculateur!V200*Calculateur!X200*VLOOKUP('Données projet'!$B$9,Paramètres!$A$1:$I$89,3,0)*0.475*44/12</f>
        <v>0.42861443749544748</v>
      </c>
      <c r="AB200" s="23">
        <f>EXP(-LN(2)/2)*AB199+(1-EXP(-LN(2)/2))/(LN(2)/2)*V200*Y200*VLOOKUP('Données projet'!$B$9,Paramètres!$A$1:$I$89,3,0)*0.475*44/12</f>
        <v>3.1853477616887767E-24</v>
      </c>
      <c r="AC200" s="24">
        <f t="shared" si="163"/>
        <v>2.3809315112302567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>
        <f>AI200*VLOOKUP('Données projet'!$B$10,Paramètres!$A$1:$I$89,3,0)*VLOOKUP('Données projet'!$B$10,Paramètres!$A$1:$I$89,5,0)</f>
        <v>0</v>
      </c>
      <c r="AK200" s="14" t="e">
        <f t="shared" si="164"/>
        <v>#NUM!</v>
      </c>
      <c r="AL200" s="22" t="e">
        <f t="shared" si="165"/>
        <v>#NUM!</v>
      </c>
      <c r="AM200" s="62" t="e">
        <f t="shared" si="193"/>
        <v>#NUM!</v>
      </c>
      <c r="AN200" s="62">
        <f ca="1">AVERAGE(OFFSET($AM$3,0,0,'Données projet'!$E$10+1,1))-AVERAGE(OFFSET($H$3,0,0,'Données projet'!$E$10+1,1))</f>
        <v>151.58413719376074</v>
      </c>
      <c r="AO200" s="62">
        <f t="shared" si="205"/>
        <v>310.105543138185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3.6176302099630111</v>
      </c>
      <c r="AV200" s="23">
        <f>EXP(-LN(2)/25)*AV199+(1-EXP(-LN(2)/25))/(LN(2)/25)*Calculateur!AQ200*Calculateur!AS200*VLOOKUP('Données projet'!$B$10,Paramètres!$A$1:$I$89,3,0)*0.475*44/12</f>
        <v>0</v>
      </c>
      <c r="AW200" s="23">
        <f>EXP(-LN(2)/2)*AW199+(1-EXP(-LN(2)/2))/(LN(2)/2)*AQ200*AT200*VLOOKUP('Données projet'!$B$10,Paramètres!$A$1:$I$89,3,0)*0.475*44/12</f>
        <v>1.944699113647363E-23</v>
      </c>
      <c r="AX200" s="23">
        <f t="shared" si="166"/>
        <v>3.6176302099630111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118.40399999999984</v>
      </c>
      <c r="D201" s="12">
        <f t="shared" si="202"/>
        <v>31.302468930496392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10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1155.6288829722516</v>
      </c>
      <c r="H201" s="70">
        <f t="shared" si="192"/>
        <v>554.07210005394757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1.1368683772161603E-13</v>
      </c>
      <c r="O201" s="14">
        <f>N201*VLOOKUP('Données projet'!$B$9,Paramètres!$A$1:$I$89,3,0)*VLOOKUP('Données projet'!$B$9,Paramètres!$A$1:$I$89,5,0)</f>
        <v>6.7984728957526396E-14</v>
      </c>
      <c r="P201" s="14">
        <f t="shared" si="203"/>
        <v>1.0682447123141398E-12</v>
      </c>
      <c r="Q201" s="22">
        <f t="shared" si="162"/>
        <v>1.978932943548152E-12</v>
      </c>
      <c r="R201" s="62">
        <f t="shared" si="191"/>
        <v>293.3333333333353</v>
      </c>
      <c r="S201" s="62">
        <f ca="1">AVERAGE(OFFSET($R$3,0,0,'Données projet'!$E$9+1,1))-AVERAGE(OFFSET($H$3,0,0,'Données projet'!$E$9+1,1))</f>
        <v>147.72913422715322</v>
      </c>
      <c r="T201" s="62">
        <f t="shared" si="204"/>
        <v>361.07991692964799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1.9140333267147034</v>
      </c>
      <c r="AA201" s="23">
        <f>EXP(-LN(2)/25)*AA200+(1-EXP(-LN(2)/25))/(LN(2)/25)*Calculateur!V201*Calculateur!X201*VLOOKUP('Données projet'!$B$9,Paramètres!$A$1:$I$89,3,0)*0.475*44/12</f>
        <v>0.41689395316228078</v>
      </c>
      <c r="AB201" s="23">
        <f>EXP(-LN(2)/2)*AB200+(1-EXP(-LN(2)/2))/(LN(2)/2)*V201*Y201*VLOOKUP('Données projet'!$B$9,Paramètres!$A$1:$I$89,3,0)*0.475*44/12</f>
        <v>2.2523810027275247E-24</v>
      </c>
      <c r="AC201" s="24">
        <f t="shared" si="163"/>
        <v>2.3309272798769842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>
        <f>AI201*VLOOKUP('Données projet'!$B$10,Paramètres!$A$1:$I$89,3,0)*VLOOKUP('Données projet'!$B$10,Paramètres!$A$1:$I$89,5,0)</f>
        <v>0</v>
      </c>
      <c r="AK201" s="14" t="e">
        <f t="shared" si="164"/>
        <v>#NUM!</v>
      </c>
      <c r="AL201" s="22" t="e">
        <f t="shared" si="165"/>
        <v>#NUM!</v>
      </c>
      <c r="AM201" s="62" t="e">
        <f t="shared" si="193"/>
        <v>#NUM!</v>
      </c>
      <c r="AN201" s="62">
        <f ca="1">AVERAGE(OFFSET($AM$3,0,0,'Données projet'!$E$10+1,1))-AVERAGE(OFFSET($H$3,0,0,'Données projet'!$E$10+1,1))</f>
        <v>151.58413719376074</v>
      </c>
      <c r="AO201" s="62">
        <f t="shared" si="205"/>
        <v>310.105543138185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3.5466906880821871</v>
      </c>
      <c r="AV201" s="23">
        <f>EXP(-LN(2)/25)*AV200+(1-EXP(-LN(2)/25))/(LN(2)/25)*Calculateur!AQ201*Calculateur!AS201*VLOOKUP('Données projet'!$B$10,Paramètres!$A$1:$I$89,3,0)*0.475*44/12</f>
        <v>0</v>
      </c>
      <c r="AW201" s="23">
        <f>EXP(-LN(2)/2)*AW200+(1-EXP(-LN(2)/2))/(LN(2)/2)*AQ201*AT201*VLOOKUP('Données projet'!$B$10,Paramètres!$A$1:$I$89,3,0)*0.475*44/12</f>
        <v>1.3751099306275188E-23</v>
      </c>
      <c r="AX201" s="23">
        <f t="shared" si="166"/>
        <v>3.5466906880821871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119.00199999999984</v>
      </c>
      <c r="D202" s="12">
        <f t="shared" si="202"/>
        <v>31.442119166644662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10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1161.3230251460277</v>
      </c>
      <c r="H202" s="70">
        <f t="shared" si="192"/>
        <v>555.35684088190578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1.1368683772161603E-13</v>
      </c>
      <c r="O202" s="14">
        <f>N202*VLOOKUP('Données projet'!$B$9,Paramètres!$A$1:$I$89,3,0)*VLOOKUP('Données projet'!$B$9,Paramètres!$A$1:$I$89,5,0)</f>
        <v>6.7984728957526396E-14</v>
      </c>
      <c r="P202" s="14">
        <f t="shared" si="203"/>
        <v>1.0682447123141398E-12</v>
      </c>
      <c r="Q202" s="22">
        <f t="shared" si="162"/>
        <v>1.978932943548152E-12</v>
      </c>
      <c r="R202" s="62">
        <f t="shared" si="191"/>
        <v>293.3333333333353</v>
      </c>
      <c r="S202" s="62">
        <f ca="1">AVERAGE(OFFSET($R$3,0,0,'Données projet'!$E$9+1,1))-AVERAGE(OFFSET($H$3,0,0,'Données projet'!$E$9+1,1))</f>
        <v>147.72913422715322</v>
      </c>
      <c r="T202" s="62">
        <f t="shared" si="204"/>
        <v>361.07991692964799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1.8765003006228818</v>
      </c>
      <c r="AA202" s="23">
        <f>EXP(-LN(2)/25)*AA201+(1-EXP(-LN(2)/25))/(LN(2)/25)*Calculateur!V202*Calculateur!X202*VLOOKUP('Données projet'!$B$9,Paramètres!$A$1:$I$89,3,0)*0.475*44/12</f>
        <v>0.40549396608955807</v>
      </c>
      <c r="AB202" s="23">
        <f>EXP(-LN(2)/2)*AB201+(1-EXP(-LN(2)/2))/(LN(2)/2)*V202*Y202*VLOOKUP('Données projet'!$B$9,Paramètres!$A$1:$I$89,3,0)*0.475*44/12</f>
        <v>1.5926738808443884E-24</v>
      </c>
      <c r="AC202" s="24">
        <f t="shared" si="163"/>
        <v>2.2819942667124398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>
        <f>AI202*VLOOKUP('Données projet'!$B$10,Paramètres!$A$1:$I$89,3,0)*VLOOKUP('Données projet'!$B$10,Paramètres!$A$1:$I$89,5,0)</f>
        <v>0</v>
      </c>
      <c r="AK202" s="14" t="e">
        <f t="shared" si="164"/>
        <v>#NUM!</v>
      </c>
      <c r="AL202" s="22" t="e">
        <f t="shared" si="165"/>
        <v>#NUM!</v>
      </c>
      <c r="AM202" s="62" t="e">
        <f t="shared" si="193"/>
        <v>#NUM!</v>
      </c>
      <c r="AN202" s="62">
        <f ca="1">AVERAGE(OFFSET($AM$3,0,0,'Données projet'!$E$10+1,1))-AVERAGE(OFFSET($H$3,0,0,'Données projet'!$E$10+1,1))</f>
        <v>151.58413719376074</v>
      </c>
      <c r="AO202" s="62">
        <f t="shared" si="205"/>
        <v>310.105543138185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3.47714224695661</v>
      </c>
      <c r="AV202" s="23">
        <f>EXP(-LN(2)/25)*AV201+(1-EXP(-LN(2)/25))/(LN(2)/25)*Calculateur!AQ202*Calculateur!AS202*VLOOKUP('Données projet'!$B$10,Paramètres!$A$1:$I$89,3,0)*0.475*44/12</f>
        <v>0</v>
      </c>
      <c r="AW202" s="23">
        <f>EXP(-LN(2)/2)*AW201+(1-EXP(-LN(2)/2))/(LN(2)/2)*AQ202*AT202*VLOOKUP('Données projet'!$B$10,Paramètres!$A$1:$I$89,3,0)*0.475*44/12</f>
        <v>9.7234955682368152E-24</v>
      </c>
      <c r="AX202" s="23">
        <f t="shared" si="166"/>
        <v>3.47714224695661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119.59999999999984</v>
      </c>
      <c r="D203" s="12">
        <f t="shared" si="202"/>
        <v>31.581687741452679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10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1167.0165369515635</v>
      </c>
      <c r="H203" s="70">
        <f t="shared" si="192"/>
        <v>556.64143948302979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1.1368683772161603E-13</v>
      </c>
      <c r="O203" s="14">
        <f>N203*VLOOKUP('Données projet'!$B$9,Paramètres!$A$1:$I$89,3,0)*VLOOKUP('Données projet'!$B$9,Paramètres!$A$1:$I$89,5,0)</f>
        <v>6.7984728957526396E-14</v>
      </c>
      <c r="P203" s="14">
        <f t="shared" si="203"/>
        <v>1.0682447123141398E-12</v>
      </c>
      <c r="Q203" s="22">
        <f t="shared" si="162"/>
        <v>1.978932943548152E-12</v>
      </c>
      <c r="R203" s="62">
        <f t="shared" si="191"/>
        <v>293.3333333333353</v>
      </c>
      <c r="S203" s="62">
        <f ca="1">AVERAGE(OFFSET($R$3,0,0,'Données projet'!$E$9+1,1))-AVERAGE(OFFSET($H$3,0,0,'Données projet'!$E$9+1,1))</f>
        <v>147.72913422715322</v>
      </c>
      <c r="T203" s="62">
        <f t="shared" si="204"/>
        <v>361.07991692964799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1.8397032742798354</v>
      </c>
      <c r="AA203" s="23">
        <f>EXP(-LN(2)/25)*AA202+(1-EXP(-LN(2)/25))/(LN(2)/25)*Calculateur!V203*Calculateur!X203*VLOOKUP('Données projet'!$B$9,Paramètres!$A$1:$I$89,3,0)*0.475*44/12</f>
        <v>0.39440571226283822</v>
      </c>
      <c r="AB203" s="23">
        <f>EXP(-LN(2)/2)*AB202+(1-EXP(-LN(2)/2))/(LN(2)/2)*V203*Y203*VLOOKUP('Données projet'!$B$9,Paramètres!$A$1:$I$89,3,0)*0.475*44/12</f>
        <v>1.1261905013637624E-24</v>
      </c>
      <c r="AC203" s="24">
        <f t="shared" si="163"/>
        <v>2.2341089865426738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>
        <f>AI203*VLOOKUP('Données projet'!$B$10,Paramètres!$A$1:$I$89,3,0)*VLOOKUP('Données projet'!$B$10,Paramètres!$A$1:$I$89,5,0)</f>
        <v>0</v>
      </c>
      <c r="AK203" s="14" t="e">
        <f t="shared" si="164"/>
        <v>#NUM!</v>
      </c>
      <c r="AL203" s="22" t="e">
        <f t="shared" si="165"/>
        <v>#NUM!</v>
      </c>
      <c r="AM203" s="62" t="e">
        <f t="shared" si="193"/>
        <v>#NUM!</v>
      </c>
      <c r="AN203" s="62">
        <f ca="1">AVERAGE(OFFSET($AM$3,0,0,'Données projet'!$E$10+1,1))-AVERAGE(OFFSET($H$3,0,0,'Données projet'!$E$10+1,1))</f>
        <v>151.58413719376074</v>
      </c>
      <c r="AO203" s="62">
        <f t="shared" si="205"/>
        <v>310.105543138185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3.408957608341145</v>
      </c>
      <c r="AV203" s="23">
        <f>EXP(-LN(2)/25)*AV202+(1-EXP(-LN(2)/25))/(LN(2)/25)*Calculateur!AQ203*Calculateur!AS203*VLOOKUP('Données projet'!$B$10,Paramètres!$A$1:$I$89,3,0)*0.475*44/12</f>
        <v>0</v>
      </c>
      <c r="AW203" s="23">
        <f>EXP(-LN(2)/2)*AW202+(1-EXP(-LN(2)/2))/(LN(2)/2)*AQ203*AT203*VLOOKUP('Données projet'!$B$10,Paramètres!$A$1:$I$89,3,0)*0.475*44/12</f>
        <v>6.8755496531375942E-24</v>
      </c>
      <c r="AX203" s="23">
        <f t="shared" si="166"/>
        <v>3.408957608341145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1.4749438547769935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1.4261938757879591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opLeftCell="A4" workbookViewId="0">
      <selection activeCell="L31" sqref="L31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Pin maritime</v>
      </c>
      <c r="B6" s="155">
        <f>'Données projet'!D9</f>
        <v>7.1057999999999995</v>
      </c>
      <c r="C6" s="156">
        <f ca="1">IF(OR('Données projet'!B9="",'Données projet'!C9="",'Données projet'!C9=0%),0,Calculateur!S3)</f>
        <v>147.72913422715322</v>
      </c>
      <c r="D6" s="156">
        <f>IF(OR('Données projet'!B9="",'Données projet'!C9="",'Données projet'!C9=0%),0,Calculateur!T3)</f>
        <v>361.07991692964799</v>
      </c>
      <c r="E6" s="156">
        <f ca="1">MIN(C6,D6)</f>
        <v>147.72913422715322</v>
      </c>
      <c r="F6" s="156">
        <f ca="1">E6*B6</f>
        <v>1049.7336819913053</v>
      </c>
      <c r="G6" s="156">
        <f ca="1">F6*(100%-'Données projet'!$C$24)*(100%-'Données projet'!$C$25)*(100%-'Données projet'!$C$26)*(100%-'Données projet'!$C$27)</f>
        <v>642.4370133786789</v>
      </c>
      <c r="H6" s="157">
        <f>IF(OR('Données projet'!B9="",'Données projet'!C9="",'Données projet'!C9=0%),0,AVERAGE(Calculateur!$AC$3:$AC$33)*B6)</f>
        <v>106.82204536049245</v>
      </c>
      <c r="I6" s="158">
        <f>H6*(100%-'Données projet'!$C$24)*(100%-'Données projet'!$C$25)*(100%-'Données projet'!$C$26)*(100%-'Données projet'!$C$27)</f>
        <v>65.375091760621387</v>
      </c>
      <c r="J6" s="159">
        <f>IF(OR('Données projet'!B9="",'Données projet'!C9="",'Données projet'!C9=0%),0,SUM(Calculateur!$V$3:$V$33)*VLOOKUP('Données projet'!$B$9,Paramètres!$A$1:$I$89,9,0)*B6)</f>
        <v>1853.0505239999998</v>
      </c>
      <c r="K6" s="160">
        <f>J6*(100%-'Données projet'!$C$24)*(100%-'Données projet'!$C$25)*(100%-'Données projet'!$C$26)*(100%-'Données projet'!$C$27)</f>
        <v>1134.066920688</v>
      </c>
      <c r="L6" s="161">
        <f ca="1">G6+I6+K6</f>
        <v>1841.8790258273002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>Pin maritime</v>
      </c>
      <c r="B7" s="163">
        <f>'Données projet'!D10</f>
        <v>29.152000000000001</v>
      </c>
      <c r="C7" s="156">
        <f ca="1">IF(OR('Données projet'!B10="",'Données projet'!C10="",'Données projet'!C10=0%),0,Calculateur!AN3)</f>
        <v>151.58413719376074</v>
      </c>
      <c r="D7" s="156">
        <f>IF(OR('Données projet'!B10="",'Données projet'!C10="",'Données projet'!C10=0%),0,Calculateur!AO3)</f>
        <v>310.105543138185</v>
      </c>
      <c r="E7" s="156">
        <f t="shared" ref="E7:E15" ca="1" si="0">MIN(C7,D7)</f>
        <v>151.58413719376074</v>
      </c>
      <c r="F7" s="156">
        <f t="shared" ref="F7:F15" ca="1" si="1">E7*B7</f>
        <v>4418.9807674725134</v>
      </c>
      <c r="G7" s="156">
        <f ca="1">F7*(100%-'Données projet'!$C$24)*(100%-'Données projet'!$C$25)*(100%-'Données projet'!$C$26)*(100%-'Données projet'!$C$27)</f>
        <v>2704.4162296931786</v>
      </c>
      <c r="H7" s="164">
        <f>IF(OR('Données projet'!B10="",'Données projet'!C10="",'Données projet'!C10=0%),0,AVERAGE(Calculateur!$AX$3:$AX$33)*B7)</f>
        <v>282.30744281984141</v>
      </c>
      <c r="I7" s="158">
        <f>H7*(100%-'Données projet'!$C$24)*(100%-'Données projet'!$C$25)*(100%-'Données projet'!$C$26)*(100%-'Données projet'!$C$27)</f>
        <v>172.77215500574297</v>
      </c>
      <c r="J7" s="159">
        <f>IF(OR('Données projet'!B10="",'Données projet'!C10="",'Données projet'!C10=0%),0,SUM(Calculateur!$AQ$3:$AQ$33)*VLOOKUP('Données projet'!$B$10,Paramètres!$A$1:$I$89,9,0)*B7)</f>
        <v>2063.9616000000001</v>
      </c>
      <c r="K7" s="160">
        <f>J7*(100%-'Données projet'!$C$24)*(100%-'Données projet'!$C$25)*(100%-'Données projet'!$C$26)*(100%-'Données projet'!$C$27)</f>
        <v>1263.1444992000002</v>
      </c>
      <c r="L7" s="161">
        <f t="shared" ref="L7:L15" ca="1" si="2">G7+I7+K7</f>
        <v>4140.3328838989219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5468.7144494638187</v>
      </c>
      <c r="G16" s="175">
        <f t="shared" ca="1" si="3"/>
        <v>3346.8532430718574</v>
      </c>
      <c r="H16" s="176">
        <f t="shared" si="3"/>
        <v>389.12948818033385</v>
      </c>
      <c r="I16" s="176">
        <f t="shared" si="3"/>
        <v>238.14724676636436</v>
      </c>
      <c r="J16" s="177">
        <f t="shared" si="3"/>
        <v>3917.0121239999999</v>
      </c>
      <c r="K16" s="177">
        <f t="shared" si="3"/>
        <v>2397.2114198879999</v>
      </c>
      <c r="L16" s="178">
        <f t="shared" ca="1" si="3"/>
        <v>5982.2119097262221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Pin maritime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>Pin maritime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A16" zoomScale="90" zoomScaleNormal="90" workbookViewId="0">
      <selection activeCell="I20" sqref="I20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40" t="s">
        <v>315</v>
      </c>
      <c r="I4" s="340"/>
      <c r="K4" s="337" t="s">
        <v>253</v>
      </c>
      <c r="L4" s="338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29" t="s">
        <v>310</v>
      </c>
      <c r="S7" s="330"/>
      <c r="T7" s="330"/>
      <c r="U7" s="330"/>
      <c r="V7" s="331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Pin maritime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90">
        <f>'Données projet'!D9</f>
        <v>7.1057999999999995</v>
      </c>
      <c r="V10" s="189">
        <f>U10*T10</f>
        <v>0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Pin maritime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90">
        <f>'Données projet'!D10</f>
        <v>29.152000000000001</v>
      </c>
      <c r="V11" s="189">
        <f t="shared" ref="V11" si="0">U11*T11</f>
        <v>0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Pin maritime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41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41"/>
      <c r="H16" s="203"/>
      <c r="I16" s="204"/>
      <c r="J16" s="216"/>
      <c r="K16" s="225"/>
      <c r="L16" s="337" t="s">
        <v>254</v>
      </c>
      <c r="M16" s="338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41"/>
      <c r="J17" s="216"/>
      <c r="K17" s="225"/>
      <c r="L17" s="295" t="s">
        <v>289</v>
      </c>
      <c r="M17" s="297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41"/>
      <c r="J18" s="216"/>
      <c r="K18" s="225"/>
      <c r="L18" s="295" t="s">
        <v>255</v>
      </c>
      <c r="M18" s="297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41"/>
      <c r="H19" s="232" t="s">
        <v>178</v>
      </c>
      <c r="I19" s="232" t="s">
        <v>287</v>
      </c>
      <c r="J19" s="260"/>
      <c r="K19" s="183"/>
      <c r="L19" s="337" t="s">
        <v>288</v>
      </c>
      <c r="M19" s="338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41"/>
      <c r="H20" s="203"/>
      <c r="I20" s="204"/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/>
      <c r="I21" s="204"/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/>
      <c r="I22" s="204"/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12</v>
      </c>
      <c r="B23" s="193">
        <f>'Données projet'!D36</f>
        <v>34</v>
      </c>
      <c r="C23" s="206"/>
      <c r="D23" s="194">
        <f>B23*C23</f>
        <v>0</v>
      </c>
      <c r="E23" s="206"/>
      <c r="F23" s="261"/>
      <c r="H23" s="203"/>
      <c r="I23" s="204"/>
      <c r="K23" s="225"/>
      <c r="L23" s="339" t="s">
        <v>260</v>
      </c>
      <c r="M23" s="339"/>
      <c r="N23" s="339"/>
      <c r="O23" s="25"/>
      <c r="P23" s="25"/>
      <c r="Q23" s="265"/>
      <c r="R23" s="25"/>
      <c r="S23" s="185" t="s">
        <v>264</v>
      </c>
      <c r="T23" s="334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334"/>
      <c r="V23" s="334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17</v>
      </c>
      <c r="B24" s="193">
        <f>'Données projet'!D37</f>
        <v>43</v>
      </c>
      <c r="C24" s="206"/>
      <c r="D24" s="194">
        <f t="shared" ref="D24:D42" si="2">B24*C24</f>
        <v>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35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35"/>
      <c r="V24" s="33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22</v>
      </c>
      <c r="B25" s="193">
        <f>'Données projet'!D38</f>
        <v>56</v>
      </c>
      <c r="C25" s="206"/>
      <c r="D25" s="194">
        <f t="shared" si="2"/>
        <v>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/>
      <c r="Q25" s="265"/>
      <c r="R25" s="25"/>
      <c r="S25" s="198" t="s">
        <v>266</v>
      </c>
      <c r="T25" s="336">
        <f ca="1">T23-T24</f>
        <v>0</v>
      </c>
      <c r="U25" s="336"/>
      <c r="V25" s="336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30</v>
      </c>
      <c r="B26" s="193">
        <f>'Données projet'!D39</f>
        <v>309</v>
      </c>
      <c r="C26" s="206"/>
      <c r="D26" s="194">
        <f t="shared" si="2"/>
        <v>0</v>
      </c>
      <c r="E26" s="206"/>
      <c r="F26" s="264"/>
      <c r="G26" s="259"/>
      <c r="H26" s="203"/>
      <c r="I26" s="204"/>
      <c r="K26" s="225"/>
      <c r="L26" s="323" t="s">
        <v>258</v>
      </c>
      <c r="M26" s="324"/>
      <c r="N26" s="324"/>
      <c r="O26" s="324"/>
      <c r="P26" s="325"/>
      <c r="Q26" s="265"/>
      <c r="R26" s="25"/>
      <c r="S26" s="198" t="s">
        <v>265</v>
      </c>
      <c r="T26" s="333" t="str">
        <f ca="1">IF(T25&lt;0,"Votre projet est additionnel","Votre projet n'est pas additionnel")</f>
        <v>Votre projet n'est pas additionnel</v>
      </c>
      <c r="U26" s="333"/>
      <c r="V26" s="333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0</v>
      </c>
      <c r="B27" s="193">
        <f>'Données projet'!D40</f>
        <v>0</v>
      </c>
      <c r="C27" s="206"/>
      <c r="D27" s="194">
        <f t="shared" si="2"/>
        <v>0</v>
      </c>
      <c r="E27" s="206"/>
      <c r="F27" s="264"/>
      <c r="G27" s="259"/>
      <c r="H27" s="203"/>
      <c r="I27" s="204"/>
      <c r="K27" s="225"/>
      <c r="L27" s="326"/>
      <c r="M27" s="327"/>
      <c r="N27" s="327"/>
      <c r="O27" s="327"/>
      <c r="P27" s="328"/>
      <c r="Q27" s="265"/>
      <c r="R27" s="25"/>
      <c r="S27" s="332" t="s">
        <v>267</v>
      </c>
      <c r="T27" s="332"/>
      <c r="U27" s="332"/>
      <c r="V27" s="332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0</v>
      </c>
      <c r="B28" s="193">
        <f>'Données projet'!D41</f>
        <v>0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0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0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>Pin maritime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13</v>
      </c>
      <c r="B54" s="193">
        <f>'Données projet'!D62</f>
        <v>28</v>
      </c>
      <c r="C54" s="204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18</v>
      </c>
      <c r="B55" s="193">
        <f>'Données projet'!D63</f>
        <v>40</v>
      </c>
      <c r="C55" s="204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23</v>
      </c>
      <c r="B56" s="193">
        <f>'Données projet'!D64</f>
        <v>52</v>
      </c>
      <c r="C56" s="204"/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30</v>
      </c>
      <c r="B57" s="193">
        <f>'Données projet'!D65</f>
        <v>0</v>
      </c>
      <c r="C57" s="204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34</v>
      </c>
      <c r="B58" s="193">
        <f>'Données projet'!D66</f>
        <v>325</v>
      </c>
      <c r="C58" s="204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0</v>
      </c>
      <c r="B59" s="193">
        <f>'Données projet'!D67</f>
        <v>0</v>
      </c>
      <c r="C59" s="204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0</v>
      </c>
      <c r="B60" s="193">
        <f>'Données projet'!D68</f>
        <v>0</v>
      </c>
      <c r="C60" s="204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0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 t="str">
        <f>IF(O63+1&lt;=MIN('Données projet'!$E$9:$E$18),O63+1,"STOP")</f>
        <v>STOP</v>
      </c>
      <c r="P64" s="197" t="e">
        <f t="shared" si="3"/>
        <v>#VALUE!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 t="e">
        <f>IF(O64+1&lt;=MIN('Données projet'!$E$9:$E$18),O64+1,"STOP")</f>
        <v>#VALUE!</v>
      </c>
      <c r="P65" s="197" t="e">
        <f t="shared" ref="P65:P96" si="5">$P$25/(1+$M$4)^O65</f>
        <v>#VALUE!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 t="e">
        <f>IF(O65+1&lt;=MIN('Données projet'!$E$9:$E$18),O65+1,"STOP")</f>
        <v>#VALUE!</v>
      </c>
      <c r="P66" s="197" t="e">
        <f t="shared" si="5"/>
        <v>#VALUE!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 t="e">
        <f>IF(O66+1&lt;=MIN('Données projet'!$E$9:$E$18),O66+1,"STOP")</f>
        <v>#VALUE!</v>
      </c>
      <c r="P67" s="197" t="e">
        <f t="shared" si="5"/>
        <v>#VALUE!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 t="e">
        <f>IF(O67+1&lt;=MIN('Données projet'!$E$9:$E$18),O67+1,"STOP")</f>
        <v>#VALUE!</v>
      </c>
      <c r="P68" s="197" t="e">
        <f t="shared" si="5"/>
        <v>#VALUE!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 t="e">
        <f>IF(O68+1&lt;=MIN('Données projet'!$E$9:$E$18),O68+1,"STOP")</f>
        <v>#VALUE!</v>
      </c>
      <c r="P69" s="197" t="e">
        <f t="shared" si="5"/>
        <v>#VALUE!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 t="e">
        <f>IF(O69+1&lt;=MIN('Données projet'!$E$9:$E$18),O69+1,"STOP")</f>
        <v>#VALUE!</v>
      </c>
      <c r="P70" s="197" t="e">
        <f t="shared" si="5"/>
        <v>#VALUE!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 t="e">
        <f>IF(O70+1&lt;=MIN('Données projet'!$E$9:$E$18),O70+1,"STOP")</f>
        <v>#VALUE!</v>
      </c>
      <c r="P71" s="197" t="e">
        <f t="shared" si="5"/>
        <v>#VALUE!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e">
        <f>IF(O71+1&lt;=MIN('Données projet'!$E$9:$E$18),O71+1,"STOP")</f>
        <v>#VALUE!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PERNEY Cécilia</cp:lastModifiedBy>
  <dcterms:created xsi:type="dcterms:W3CDTF">2021-02-01T08:22:39Z</dcterms:created>
  <dcterms:modified xsi:type="dcterms:W3CDTF">2023-11-20T16:27:46Z</dcterms:modified>
</cp:coreProperties>
</file>