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eoffrey.Rombaut\Desktop\La Poste\C+for n° 102 - Pargny-Sous-Mureau (La Poste n° 24)\5 - Montage technique et administratif du dossier\"/>
    </mc:Choice>
  </mc:AlternateContent>
  <bookViews>
    <workbookView xWindow="0" yWindow="0" windowWidth="11748" windowHeight="5316" tabRatio="866" activeTab="6"/>
  </bookViews>
  <sheets>
    <sheet name="Accueil" sheetId="5" r:id="rId1"/>
    <sheet name="Données projet" sheetId="1" r:id="rId2"/>
    <sheet name="Calculateur" sheetId="2" state="hidden" r:id="rId3"/>
    <sheet name="Paramètres" sheetId="3" state="hidden" r:id="rId4"/>
    <sheet name="Scénario référence" sheetId="7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9" i="1" l="1"/>
  <c r="B48" i="1"/>
  <c r="D47" i="1"/>
  <c r="B47" i="1"/>
  <c r="B46" i="1"/>
  <c r="B45" i="1"/>
  <c r="D44" i="1"/>
  <c r="B44" i="1"/>
  <c r="B43" i="1"/>
  <c r="B42" i="1"/>
  <c r="D41" i="1"/>
  <c r="B41" i="1"/>
  <c r="B40" i="1"/>
  <c r="B39" i="1"/>
  <c r="B38" i="1"/>
  <c r="B37" i="1"/>
  <c r="B36" i="1"/>
  <c r="D185" i="1" l="1"/>
  <c r="B185" i="1"/>
  <c r="B184" i="1"/>
  <c r="D183" i="1"/>
  <c r="B183" i="1"/>
  <c r="B182" i="1"/>
  <c r="D181" i="1"/>
  <c r="B181" i="1"/>
  <c r="B180" i="1"/>
  <c r="D179" i="1"/>
  <c r="B179" i="1"/>
  <c r="B178" i="1"/>
  <c r="D177" i="1"/>
  <c r="B177" i="1"/>
  <c r="B176" i="1"/>
  <c r="D175" i="1"/>
  <c r="B175" i="1"/>
  <c r="B174" i="1"/>
  <c r="D173" i="1"/>
  <c r="B173" i="1"/>
  <c r="D171" i="1"/>
  <c r="B172" i="1"/>
  <c r="D169" i="1"/>
  <c r="D167" i="1"/>
  <c r="B171" i="1"/>
  <c r="B170" i="1"/>
  <c r="B169" i="1"/>
  <c r="B168" i="1"/>
  <c r="B167" i="1"/>
  <c r="B166" i="1"/>
  <c r="B147" i="1" l="1"/>
  <c r="D146" i="1"/>
  <c r="B146" i="1"/>
  <c r="B145" i="1"/>
  <c r="D144" i="1"/>
  <c r="B144" i="1"/>
  <c r="B143" i="1"/>
  <c r="D142" i="1"/>
  <c r="B142" i="1"/>
  <c r="B141" i="1"/>
  <c r="B121" i="1"/>
  <c r="D120" i="1"/>
  <c r="B120" i="1"/>
  <c r="B119" i="1"/>
  <c r="D118" i="1"/>
  <c r="B118" i="1"/>
  <c r="B117" i="1"/>
  <c r="D116" i="1"/>
  <c r="B116" i="1"/>
  <c r="B115" i="1"/>
  <c r="B95" i="1"/>
  <c r="D94" i="1"/>
  <c r="B94" i="1"/>
  <c r="B93" i="1"/>
  <c r="D92" i="1"/>
  <c r="B92" i="1"/>
  <c r="B91" i="1"/>
  <c r="D90" i="1"/>
  <c r="B90" i="1"/>
  <c r="B89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C4" i="2" l="1"/>
  <c r="BR4" i="2"/>
  <c r="GL4" i="2"/>
  <c r="BQ4" i="2"/>
  <c r="EA4" i="2"/>
  <c r="FR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A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HH10" i="2"/>
  <c r="HG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C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X18" i="2"/>
  <c r="EV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HH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HH22" i="2"/>
  <c r="EW22" i="2"/>
  <c r="EA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FS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HG28" i="2"/>
  <c r="EC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HI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EC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EV33" i="2" s="1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B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CM35" i="2"/>
  <c r="EA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H38" i="2" l="1"/>
  <c r="EW38" i="2"/>
  <c r="EX38" i="2"/>
  <c r="HG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EA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W44" i="2"/>
  <c r="HH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X45" i="2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HI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FS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A59" i="2"/>
  <c r="EB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HI62" i="2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V64" i="2"/>
  <c r="EC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FS75" i="2"/>
  <c r="HG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W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W78" i="2"/>
  <c r="EB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W85" i="2"/>
  <c r="EV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C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HG87" i="2"/>
  <c r="EA87" i="2"/>
  <c r="EB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FQ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EW100" i="2" s="1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FS105" i="2"/>
  <c r="HH105" i="2"/>
  <c r="EB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HG107" i="2"/>
  <c r="EB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A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Q112" i="2" l="1"/>
  <c r="HI112" i="2"/>
  <c r="EC112" i="2"/>
  <c r="EB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FS113" i="2" l="1"/>
  <c r="EW113" i="2"/>
  <c r="EX113" i="2"/>
  <c r="HG113" i="2"/>
  <c r="HI113" i="2"/>
  <c r="EC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HG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FS118" i="2"/>
  <c r="FQ118" i="2"/>
  <c r="EX118" i="2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HH120" i="2"/>
  <c r="FR120" i="2"/>
  <c r="FQ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FR121" i="2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HH122" i="2"/>
  <c r="FS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EW124" i="2"/>
  <c r="HH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EA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X128" i="2"/>
  <c r="HG128" i="2"/>
  <c r="EV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G130" i="2" l="1"/>
  <c r="HI130" i="2"/>
  <c r="EW130" i="2"/>
  <c r="HH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HG132" i="2"/>
  <c r="EC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W133" i="2" s="1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W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R140" i="2"/>
  <c r="HH140" i="2"/>
  <c r="EC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B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HG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X144" i="2"/>
  <c r="HH144" i="2"/>
  <c r="HG144" i="2"/>
  <c r="EA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H145" i="2" l="1"/>
  <c r="EX145" i="2"/>
  <c r="FR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GJ146" i="2"/>
  <c r="GI146" i="2"/>
  <c r="ET146" i="2"/>
  <c r="FN146" i="2"/>
  <c r="DD146" i="2"/>
  <c r="BN146" i="2"/>
  <c r="FO146" i="2"/>
  <c r="FR146" i="2" s="1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S146" i="2" l="1"/>
  <c r="HI146" i="2"/>
  <c r="HH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EX149" i="2" s="1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S150" i="2" s="1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HH154" i="2"/>
  <c r="HG154" i="2"/>
  <c r="E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HH155" i="2"/>
  <c r="HG155" i="2"/>
  <c r="EX155" i="2"/>
  <c r="EW155" i="2"/>
  <c r="ED154" i="2"/>
  <c r="AC154" i="2"/>
  <c r="EA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HG156" i="2" l="1"/>
  <c r="ED155" i="2"/>
  <c r="AB156" i="2"/>
  <c r="FS156" i="2"/>
  <c r="HH156" i="2"/>
  <c r="E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C157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V158" i="2" l="1"/>
  <c r="HH158" i="2"/>
  <c r="HG158" i="2"/>
  <c r="ED157" i="2"/>
  <c r="EC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D158" i="2"/>
  <c r="EC159" i="2"/>
  <c r="EA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FS160" i="2"/>
  <c r="ED159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FS161" i="2"/>
  <c r="AB161" i="2"/>
  <c r="ED160" i="2"/>
  <c r="EB161" i="2"/>
  <c r="EA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H162" i="2" l="1"/>
  <c r="HG162" i="2"/>
  <c r="DI161" i="2"/>
  <c r="ED161" i="2"/>
  <c r="EW162" i="2"/>
  <c r="EC162" i="2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V163" i="2" s="1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HG163" i="2"/>
  <c r="HI163" i="2"/>
  <c r="ED162" i="2"/>
  <c r="EB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/>
  <c r="EX164" i="2" l="1"/>
  <c r="DI163" i="2"/>
  <c r="EV164" i="2"/>
  <c r="FR164" i="2"/>
  <c r="ED163" i="2"/>
  <c r="HH164" i="2"/>
  <c r="HG164" i="2"/>
  <c r="EA164" i="2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A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HG166" i="2"/>
  <c r="ED165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H167" i="2" l="1"/>
  <c r="EX167" i="2"/>
  <c r="EA167" i="2"/>
  <c r="EB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DI167" i="2"/>
  <c r="HI168" i="2"/>
  <c r="HH168" i="2"/>
  <c r="EC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FS169" i="2" l="1"/>
  <c r="HH169" i="2"/>
  <c r="EB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HI172" i="2"/>
  <c r="ED171" i="2"/>
  <c r="EA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X173" i="2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HI175" i="2" l="1"/>
  <c r="AA175" i="2"/>
  <c r="EW175" i="2"/>
  <c r="ED174" i="2"/>
  <c r="FS175" i="2"/>
  <c r="EB175" i="2"/>
  <c r="EA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B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EW177" i="2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W178" i="2"/>
  <c r="HG178" i="2"/>
  <c r="FS178" i="2"/>
  <c r="EA178" i="2"/>
  <c r="ED177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V179" i="2" l="1"/>
  <c r="HH179" i="2"/>
  <c r="DF179" i="2"/>
  <c r="HG179" i="2"/>
  <c r="ED178" i="2"/>
  <c r="EB179" i="2"/>
  <c r="EA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X180" i="2" l="1"/>
  <c r="ED179" i="2"/>
  <c r="HG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X182" i="2"/>
  <c r="EC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FS183" i="2" l="1"/>
  <c r="ED182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 l="1"/>
  <c r="EW185" i="2"/>
  <c r="HI185" i="2"/>
  <c r="HG185" i="2"/>
  <c r="EV185" i="2"/>
  <c r="EA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EB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HH189" i="2" l="1"/>
  <c r="AA189" i="2"/>
  <c r="EV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Y189" i="2"/>
  <c r="AX187" i="2"/>
  <c r="ED189" i="2" l="1"/>
  <c r="EV190" i="2"/>
  <c r="EW190" i="2"/>
  <c r="HG190" i="2"/>
  <c r="HH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H191" i="2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V192" i="2"/>
  <c r="HH192" i="2"/>
  <c r="EB192" i="2"/>
  <c r="EC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Y192" i="2"/>
  <c r="AX190" i="2"/>
  <c r="ED192" i="2" l="1"/>
  <c r="EX193" i="2"/>
  <c r="FQ193" i="2"/>
  <c r="EA193" i="2"/>
  <c r="EB193" i="2"/>
  <c r="DI192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CN193" i="2" l="1"/>
  <c r="FQ194" i="2"/>
  <c r="ED193" i="2"/>
  <c r="HG194" i="2"/>
  <c r="EB194" i="2"/>
  <c r="EA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AA195" i="2"/>
  <c r="HG195" i="2"/>
  <c r="HI195" i="2"/>
  <c r="ED194" i="2"/>
  <c r="EX195" i="2"/>
  <c r="E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G197" i="2" l="1"/>
  <c r="HH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V198" i="2" l="1"/>
  <c r="ED197" i="2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BX4" i="2" s="1" a="1"/>
  <c r="BX4" i="2" s="1"/>
  <c r="BY4" i="2" s="1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HH201" i="2" l="1"/>
  <c r="FS201" i="2"/>
  <c r="ED200" i="2"/>
  <c r="DI200" i="2"/>
  <c r="EB201" i="2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D201" i="2" l="1"/>
  <c r="EW202" i="2"/>
  <c r="HG202" i="2"/>
  <c r="FR202" i="2"/>
  <c r="HH202" i="2"/>
  <c r="FZ6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2" i="2" a="1"/>
  <c r="DN152" i="2" s="1"/>
  <c r="EI195" i="2" a="1"/>
  <c r="EI195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6" i="2" a="1"/>
  <c r="DN6" i="2" s="1"/>
  <c r="DO6" i="2" s="1"/>
  <c r="FD82" i="2" a="1"/>
  <c r="FD82" i="2" s="1"/>
  <c r="HJ202" i="2"/>
  <c r="EY202" i="2"/>
  <c r="AX200" i="2"/>
  <c r="DN46" i="2" l="1" a="1"/>
  <c r="DN46" i="2" s="1"/>
  <c r="DN38" i="2" a="1"/>
  <c r="DN38" i="2" s="1"/>
  <c r="DN115" i="2" a="1"/>
  <c r="DN115" i="2" s="1"/>
  <c r="DN110" i="2" a="1"/>
  <c r="DN110" i="2" s="1"/>
  <c r="DN123" i="2" a="1"/>
  <c r="DN123" i="2" s="1"/>
  <c r="DN31" i="2" a="1"/>
  <c r="DN31" i="2" s="1"/>
  <c r="DN30" i="2" a="1"/>
  <c r="DN30" i="2" s="1"/>
  <c r="DN55" i="2" a="1"/>
  <c r="DN55" i="2" s="1"/>
  <c r="DN135" i="2" a="1"/>
  <c r="DN135" i="2" s="1"/>
  <c r="DN103" i="2" a="1"/>
  <c r="DN103" i="2" s="1"/>
  <c r="DN177" i="2" a="1"/>
  <c r="DN177" i="2" s="1"/>
  <c r="DN184" i="2" a="1"/>
  <c r="DN184" i="2" s="1"/>
  <c r="DN155" i="2" a="1"/>
  <c r="DN155" i="2" s="1"/>
  <c r="DN56" i="2" a="1"/>
  <c r="DN56" i="2" s="1"/>
  <c r="DN153" i="2" a="1"/>
  <c r="DN153" i="2" s="1"/>
  <c r="DN176" i="2" a="1"/>
  <c r="DN176" i="2" s="1"/>
  <c r="DN167" i="2" a="1"/>
  <c r="DN167" i="2" s="1"/>
  <c r="DN168" i="2" a="1"/>
  <c r="DN168" i="2" s="1"/>
  <c r="DN63" i="2" a="1"/>
  <c r="DN63" i="2" s="1"/>
  <c r="DN150" i="2" a="1"/>
  <c r="DN150" i="2" s="1"/>
  <c r="DN170" i="2" a="1"/>
  <c r="DN170" i="2" s="1"/>
  <c r="DN41" i="2" a="1"/>
  <c r="DN41" i="2" s="1"/>
  <c r="DN29" i="2" a="1"/>
  <c r="DN29" i="2" s="1"/>
  <c r="DN190" i="2" a="1"/>
  <c r="DN190" i="2" s="1"/>
  <c r="DN16" i="2" a="1"/>
  <c r="DN16" i="2" s="1"/>
  <c r="DN192" i="2" a="1"/>
  <c r="DN192" i="2" s="1"/>
  <c r="DN129" i="2" a="1"/>
  <c r="DN129" i="2" s="1"/>
  <c r="DN43" i="2" a="1"/>
  <c r="DN43" i="2" s="1"/>
  <c r="DN80" i="2" a="1"/>
  <c r="DN80" i="2" s="1"/>
  <c r="DN187" i="2" a="1"/>
  <c r="DN187" i="2" s="1"/>
  <c r="DN133" i="2" a="1"/>
  <c r="DN133" i="2" s="1"/>
  <c r="DN162" i="2" a="1"/>
  <c r="DN162" i="2" s="1"/>
  <c r="DN66" i="2" a="1"/>
  <c r="DN66" i="2" s="1"/>
  <c r="DN50" i="2" a="1"/>
  <c r="DN50" i="2" s="1"/>
  <c r="DN186" i="2" a="1"/>
  <c r="DN186" i="2" s="1"/>
  <c r="DN45" i="2" a="1"/>
  <c r="DN45" i="2" s="1"/>
  <c r="DN65" i="2" a="1"/>
  <c r="DN65" i="2" s="1"/>
  <c r="DN49" i="2" a="1"/>
  <c r="DN49" i="2" s="1"/>
  <c r="DN188" i="2" a="1"/>
  <c r="DN188" i="2" s="1"/>
  <c r="DN113" i="2" a="1"/>
  <c r="DN113" i="2" s="1"/>
  <c r="DN137" i="2" a="1"/>
  <c r="DN137" i="2" s="1"/>
  <c r="DN132" i="2" a="1"/>
  <c r="DN132" i="2" s="1"/>
  <c r="DN70" i="2" a="1"/>
  <c r="DN70" i="2" s="1"/>
  <c r="DN164" i="2" a="1"/>
  <c r="DN164" i="2" s="1"/>
  <c r="DN114" i="2" a="1"/>
  <c r="DN114" i="2" s="1"/>
  <c r="DN86" i="2" a="1"/>
  <c r="DN86" i="2" s="1"/>
  <c r="DN25" i="2" a="1"/>
  <c r="DN25" i="2" s="1"/>
  <c r="DN124" i="2" a="1"/>
  <c r="DN124" i="2" s="1"/>
  <c r="AH151" i="2" a="1"/>
  <c r="AH151" i="2" s="1"/>
  <c r="AH62" i="2" a="1"/>
  <c r="AH62" i="2" s="1"/>
  <c r="BX107" i="2" a="1"/>
  <c r="BX107" i="2" s="1"/>
  <c r="CS114" i="2" a="1"/>
  <c r="CS114" i="2" s="1"/>
  <c r="CS77" i="2" a="1"/>
  <c r="CS77" i="2" s="1"/>
  <c r="CS134" i="2" a="1"/>
  <c r="CS134" i="2" s="1"/>
  <c r="CS185" i="2" a="1"/>
  <c r="CS185" i="2" s="1"/>
  <c r="CS161" i="2" a="1"/>
  <c r="CS161" i="2" s="1"/>
  <c r="AH92" i="2" a="1"/>
  <c r="AH92" i="2" s="1"/>
  <c r="CS56" i="2" a="1"/>
  <c r="CS56" i="2" s="1"/>
  <c r="CS105" i="2" a="1"/>
  <c r="CS105" i="2" s="1"/>
  <c r="CS24" i="2" a="1"/>
  <c r="CS24" i="2" s="1"/>
  <c r="CS120" i="2" a="1"/>
  <c r="CS120" i="2" s="1"/>
  <c r="AH163" i="2" a="1"/>
  <c r="AH163" i="2" s="1"/>
  <c r="AH199" i="2" a="1"/>
  <c r="AH199" i="2" s="1"/>
  <c r="CS137" i="2" a="1"/>
  <c r="CS137" i="2" s="1"/>
  <c r="CS129" i="2" a="1"/>
  <c r="CS129" i="2" s="1"/>
  <c r="AH166" i="2" a="1"/>
  <c r="AH166" i="2" s="1"/>
  <c r="CS52" i="2" a="1"/>
  <c r="CS52" i="2" s="1"/>
  <c r="AH19" i="2" a="1"/>
  <c r="AH19" i="2" s="1"/>
  <c r="CS72" i="2" a="1"/>
  <c r="CS72" i="2" s="1"/>
  <c r="CS38" i="2" a="1"/>
  <c r="CS38" i="2" s="1"/>
  <c r="AH90" i="2" a="1"/>
  <c r="AH90" i="2" s="1"/>
  <c r="CS116" i="2" a="1"/>
  <c r="CS116" i="2" s="1"/>
  <c r="CS66" i="2" a="1"/>
  <c r="CS66" i="2" s="1"/>
  <c r="BP203" i="2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DI203" i="2" l="1"/>
  <c r="CN203" i="2"/>
  <c r="ED203" i="2"/>
  <c r="FZ9" i="2"/>
  <c r="FZ10" i="2" s="1"/>
  <c r="FZ11" i="2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CY24" i="2" l="1"/>
  <c r="CY167" i="2"/>
  <c r="CY49" i="2"/>
  <c r="CY175" i="2"/>
  <c r="CY19" i="2"/>
  <c r="CY117" i="2"/>
  <c r="CY124" i="2"/>
  <c r="CY76" i="2"/>
  <c r="CY178" i="2"/>
  <c r="CY142" i="2"/>
  <c r="CY73" i="2"/>
  <c r="CY111" i="2"/>
  <c r="CY182" i="2"/>
  <c r="CY20" i="2"/>
  <c r="CY150" i="2"/>
  <c r="CY56" i="2"/>
  <c r="CY187" i="2"/>
  <c r="CY64" i="2"/>
  <c r="CY183" i="2"/>
  <c r="CY157" i="2"/>
  <c r="CY138" i="2"/>
  <c r="CY171" i="2"/>
  <c r="CY193" i="2"/>
  <c r="CY180" i="2"/>
  <c r="CY130" i="2"/>
  <c r="CY52" i="2"/>
  <c r="CY85" i="2"/>
  <c r="CY164" i="2"/>
  <c r="CY113" i="2"/>
  <c r="CY145" i="2"/>
  <c r="CY63" i="2"/>
  <c r="CY55" i="2"/>
  <c r="CY129" i="2"/>
  <c r="CY59" i="2"/>
  <c r="CY38" i="2"/>
  <c r="CY10" i="2"/>
  <c r="CY156" i="2"/>
  <c r="CY108" i="2"/>
  <c r="CY23" i="2"/>
  <c r="CY15" i="2"/>
  <c r="CY134" i="2"/>
  <c r="CY82" i="2"/>
  <c r="CY149" i="2"/>
  <c r="CY66" i="2"/>
  <c r="CY98" i="2"/>
  <c r="CY45" i="2"/>
  <c r="CY135" i="2"/>
  <c r="CY92" i="2"/>
  <c r="CY139" i="2"/>
  <c r="CY41" i="2"/>
  <c r="CY143" i="2"/>
  <c r="CY203" i="2"/>
  <c r="CY202" i="2"/>
  <c r="CY36" i="2"/>
  <c r="CY81" i="2"/>
  <c r="CY13" i="2"/>
  <c r="CY114" i="2"/>
  <c r="CY140" i="2"/>
  <c r="CY122" i="2"/>
  <c r="CY34" i="2"/>
  <c r="CY191" i="2"/>
  <c r="CY190" i="2"/>
  <c r="CY51" i="2"/>
  <c r="CY199" i="2"/>
  <c r="CY9" i="2"/>
  <c r="CY75" i="2"/>
  <c r="CY158" i="2"/>
  <c r="CY7" i="2"/>
  <c r="CY30" i="2"/>
  <c r="CY176" i="2"/>
  <c r="CY14" i="2"/>
  <c r="CY86" i="2"/>
  <c r="CY54" i="2"/>
  <c r="CY169" i="2"/>
  <c r="CY155" i="2"/>
  <c r="CY95" i="2"/>
  <c r="CY89" i="2"/>
  <c r="CY25" i="2"/>
  <c r="CY26" i="2"/>
  <c r="CY118" i="2"/>
  <c r="CY125" i="2"/>
  <c r="CY97" i="2"/>
  <c r="CY62" i="2"/>
  <c r="CY29" i="2"/>
  <c r="CY17" i="2"/>
  <c r="CY165" i="2"/>
  <c r="CY18" i="2"/>
  <c r="CY177" i="2"/>
  <c r="CY39" i="2"/>
  <c r="CY53" i="2"/>
  <c r="CY61" i="2"/>
  <c r="CY40" i="2"/>
  <c r="CY22" i="2"/>
  <c r="CY184" i="2"/>
  <c r="CY196" i="2"/>
  <c r="CY96" i="2"/>
  <c r="CY6" i="2"/>
  <c r="CY5" i="2"/>
  <c r="CY87" i="2"/>
  <c r="CY141" i="2"/>
  <c r="CY28" i="2"/>
  <c r="CY161" i="2"/>
  <c r="CY43" i="2"/>
  <c r="CY144" i="2"/>
  <c r="CY173" i="2"/>
  <c r="CY137" i="2"/>
  <c r="CY31" i="2"/>
  <c r="CY65" i="2"/>
  <c r="CY120" i="2"/>
  <c r="CY119" i="2"/>
  <c r="CY88" i="2"/>
  <c r="CY8" i="2"/>
  <c r="CY179" i="2"/>
  <c r="CY181" i="2"/>
  <c r="CY197" i="2"/>
  <c r="CY110" i="2"/>
  <c r="CY170" i="2"/>
  <c r="CY189" i="2"/>
  <c r="CY148" i="2"/>
  <c r="CY131" i="2"/>
  <c r="CY166" i="2"/>
  <c r="CY106" i="2"/>
  <c r="CY105" i="2"/>
  <c r="CY16" i="2"/>
  <c r="CY112" i="2"/>
  <c r="CY101" i="2"/>
  <c r="CY12" i="2"/>
  <c r="CY21" i="2"/>
  <c r="CY70" i="2"/>
  <c r="CY83" i="2"/>
  <c r="CY44" i="2"/>
  <c r="CY79" i="2"/>
  <c r="CY72" i="2"/>
  <c r="CY84" i="2"/>
  <c r="CY103" i="2"/>
  <c r="CY160" i="2"/>
  <c r="CY185" i="2"/>
  <c r="CY80" i="2"/>
  <c r="CY107" i="2"/>
  <c r="CY4" i="2"/>
  <c r="CY74" i="2"/>
  <c r="CY152" i="2"/>
  <c r="CY93" i="2"/>
  <c r="CY162" i="2"/>
  <c r="CY33" i="2"/>
  <c r="CY146" i="2"/>
  <c r="CY3" i="2"/>
  <c r="C10" i="4" s="1"/>
  <c r="E10" i="4" s="1"/>
  <c r="F10" i="4" s="1"/>
  <c r="G10" i="4" s="1"/>
  <c r="L10" i="4" s="1"/>
  <c r="CY163" i="2"/>
  <c r="CY94" i="2"/>
  <c r="CY77" i="2"/>
  <c r="CY47" i="2"/>
  <c r="CY71" i="2"/>
  <c r="CY151" i="2"/>
  <c r="CY58" i="2"/>
  <c r="CY195" i="2"/>
  <c r="CY48" i="2"/>
  <c r="CY32" i="2"/>
  <c r="CY188" i="2"/>
  <c r="CY90" i="2"/>
  <c r="CY67" i="2"/>
  <c r="CY42" i="2"/>
  <c r="CY68" i="2"/>
  <c r="CY168" i="2"/>
  <c r="CY136" i="2"/>
  <c r="CY200" i="2"/>
  <c r="CY186" i="2"/>
  <c r="CY133" i="2"/>
  <c r="CY198" i="2"/>
  <c r="CY50" i="2"/>
  <c r="CY194" i="2"/>
  <c r="CY201" i="2"/>
  <c r="CY46" i="2"/>
  <c r="CY153" i="2"/>
  <c r="CY35" i="2"/>
  <c r="CY78" i="2"/>
  <c r="CY57" i="2"/>
  <c r="CY172" i="2"/>
  <c r="CY123" i="2"/>
  <c r="CY37" i="2"/>
  <c r="CY121" i="2"/>
  <c r="CY126" i="2"/>
  <c r="CY99" i="2"/>
  <c r="CY128" i="2"/>
  <c r="CY91" i="2"/>
  <c r="CY69" i="2"/>
  <c r="CY27" i="2"/>
  <c r="CY104" i="2"/>
  <c r="CY109" i="2"/>
  <c r="CY60" i="2"/>
  <c r="CY100" i="2"/>
  <c r="CY154" i="2"/>
  <c r="CY116" i="2"/>
  <c r="CY132" i="2"/>
  <c r="CY192" i="2"/>
  <c r="CY115" i="2"/>
  <c r="CY127" i="2"/>
  <c r="CY102" i="2"/>
  <c r="CY11" i="2"/>
  <c r="CY159" i="2"/>
  <c r="CY174" i="2"/>
  <c r="CY147" i="2"/>
  <c r="CD60" i="2"/>
  <c r="CD59" i="2"/>
  <c r="CD10" i="2"/>
  <c r="CD156" i="2"/>
  <c r="CD194" i="2"/>
  <c r="CD56" i="2"/>
  <c r="CD57" i="2"/>
  <c r="CD146" i="2"/>
  <c r="CD12" i="2"/>
  <c r="CD63" i="2"/>
  <c r="CD199" i="2"/>
  <c r="CD143" i="2"/>
  <c r="CD19" i="2"/>
  <c r="CD27" i="2"/>
  <c r="CD3" i="2"/>
  <c r="C9" i="4" s="1"/>
  <c r="E9" i="4" s="1"/>
  <c r="F9" i="4" s="1"/>
  <c r="G9" i="4" s="1"/>
  <c r="L9" i="4" s="1"/>
  <c r="CD73" i="2"/>
  <c r="CD111" i="2"/>
  <c r="CD70" i="2"/>
  <c r="CD72" i="2"/>
  <c r="CD85" i="2"/>
  <c r="CD169" i="2"/>
  <c r="CD130" i="2"/>
  <c r="CD158" i="2"/>
  <c r="CD149" i="2"/>
  <c r="CD153" i="2"/>
  <c r="CD77" i="2"/>
  <c r="CD98" i="2"/>
  <c r="CD201" i="2"/>
  <c r="CD107" i="2"/>
  <c r="CD144" i="2"/>
  <c r="CD105" i="2"/>
  <c r="CD22" i="2"/>
  <c r="CD90" i="2"/>
  <c r="CD151" i="2"/>
  <c r="CD93" i="2"/>
  <c r="CD131" i="2"/>
  <c r="CD82" i="2"/>
  <c r="CD161" i="2"/>
  <c r="CD148" i="2"/>
  <c r="CD118" i="2"/>
  <c r="CD119" i="2"/>
  <c r="CD71" i="2"/>
  <c r="CD136" i="2"/>
  <c r="CD99" i="2"/>
  <c r="CD91" i="2"/>
  <c r="CD44" i="2"/>
  <c r="CD155" i="2"/>
  <c r="CD83" i="2"/>
  <c r="CD97" i="2"/>
  <c r="CD96" i="2"/>
  <c r="CD39" i="2"/>
  <c r="CD35" i="2"/>
  <c r="CD121" i="2"/>
  <c r="CD8" i="2"/>
  <c r="CD58" i="2"/>
  <c r="CD171" i="2"/>
  <c r="CD122" i="2"/>
  <c r="CD101" i="2"/>
  <c r="CD29" i="2"/>
  <c r="CD198" i="2"/>
  <c r="CD34" i="2"/>
  <c r="CD64" i="2"/>
  <c r="CD4" i="2"/>
  <c r="CD36" i="2"/>
  <c r="CD25" i="2"/>
  <c r="CD43" i="2"/>
  <c r="CD193" i="2"/>
  <c r="CD109" i="2"/>
  <c r="CD113" i="2"/>
  <c r="CD135" i="2"/>
  <c r="CD80" i="2"/>
  <c r="CD74" i="2"/>
  <c r="CD108" i="2"/>
  <c r="CD92" i="2"/>
  <c r="CD30" i="2"/>
  <c r="CD66" i="2"/>
  <c r="CD20" i="2"/>
  <c r="CD129" i="2"/>
  <c r="CD200" i="2"/>
  <c r="CD203" i="2"/>
  <c r="CD163" i="2"/>
  <c r="CD32" i="2"/>
  <c r="CD67" i="2"/>
  <c r="CD53" i="2"/>
  <c r="CD192" i="2"/>
  <c r="CD196" i="2"/>
  <c r="CD94" i="2"/>
  <c r="CD13" i="2"/>
  <c r="CD49" i="2"/>
  <c r="CD61" i="2"/>
  <c r="CD50" i="2"/>
  <c r="CD157" i="2"/>
  <c r="CD88" i="2"/>
  <c r="CD117" i="2"/>
  <c r="CD104" i="2"/>
  <c r="CD9" i="2"/>
  <c r="CD176" i="2"/>
  <c r="CD116" i="2"/>
  <c r="CD87" i="2"/>
  <c r="CD48" i="2"/>
  <c r="CD37" i="2"/>
  <c r="CD42" i="2"/>
  <c r="CD184" i="2"/>
  <c r="CD110" i="2"/>
  <c r="CD189" i="2"/>
  <c r="CD168" i="2"/>
  <c r="CD38" i="2"/>
  <c r="CD106" i="2"/>
  <c r="CD181" i="2"/>
  <c r="CD81" i="2"/>
  <c r="CD23" i="2"/>
  <c r="CD132" i="2"/>
  <c r="CD78" i="2"/>
  <c r="CD40" i="2"/>
  <c r="CD114" i="2"/>
  <c r="CD54" i="2"/>
  <c r="CD177" i="2"/>
  <c r="CD183" i="2"/>
  <c r="CD125" i="2"/>
  <c r="CD175" i="2"/>
  <c r="CD147" i="2"/>
  <c r="CD195" i="2"/>
  <c r="CD124" i="2"/>
  <c r="CD139" i="2"/>
  <c r="CD126" i="2"/>
  <c r="CD179" i="2"/>
  <c r="CD112" i="2"/>
  <c r="CD164" i="2"/>
  <c r="CD55" i="2"/>
  <c r="CD120" i="2"/>
  <c r="CD65" i="2"/>
  <c r="CD75" i="2"/>
  <c r="CD26" i="2"/>
  <c r="CD11" i="2"/>
  <c r="CD16" i="2"/>
  <c r="CD182" i="2"/>
  <c r="CD137" i="2"/>
  <c r="CD140" i="2"/>
  <c r="CD86" i="2"/>
  <c r="CD178" i="2"/>
  <c r="CD123" i="2"/>
  <c r="CD167" i="2"/>
  <c r="CD133" i="2"/>
  <c r="CD154" i="2"/>
  <c r="CD100" i="2"/>
  <c r="CD187" i="2"/>
  <c r="CD5" i="2"/>
  <c r="CD186" i="2"/>
  <c r="CD33" i="2"/>
  <c r="CD17" i="2"/>
  <c r="CD24" i="2"/>
  <c r="CD134" i="2"/>
  <c r="CD14" i="2"/>
  <c r="CD166" i="2"/>
  <c r="CD202" i="2"/>
  <c r="CD188" i="2"/>
  <c r="CD21" i="2"/>
  <c r="CD152" i="2"/>
  <c r="CD174" i="2"/>
  <c r="CD103" i="2"/>
  <c r="CD31" i="2"/>
  <c r="CD173" i="2"/>
  <c r="CD162" i="2"/>
  <c r="CD138" i="2"/>
  <c r="CD170" i="2"/>
  <c r="CD15" i="2"/>
  <c r="CD185" i="2"/>
  <c r="CD127" i="2"/>
  <c r="CD45" i="2"/>
  <c r="CD159" i="2"/>
  <c r="CD150" i="2"/>
  <c r="CD76" i="2"/>
  <c r="CD160" i="2"/>
  <c r="CD180" i="2"/>
  <c r="CD190" i="2"/>
  <c r="CD165" i="2"/>
  <c r="CD84" i="2"/>
  <c r="CD102" i="2"/>
  <c r="CD142" i="2"/>
  <c r="CD79" i="2"/>
  <c r="CD115" i="2"/>
  <c r="CD145" i="2"/>
  <c r="CD95" i="2"/>
  <c r="CD141" i="2"/>
  <c r="CD46" i="2"/>
  <c r="CD128" i="2"/>
  <c r="CD52" i="2"/>
  <c r="CD68" i="2"/>
  <c r="CD89" i="2"/>
  <c r="CD47" i="2"/>
  <c r="CD18" i="2"/>
  <c r="CD7" i="2"/>
  <c r="CD6" i="2"/>
  <c r="CD51" i="2"/>
  <c r="CD69" i="2"/>
  <c r="CD28" i="2"/>
  <c r="CD62" i="2"/>
  <c r="CD197" i="2"/>
  <c r="CD191" i="2"/>
  <c r="CD172" i="2"/>
  <c r="CD41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47" i="2" l="1"/>
  <c r="BI34" i="2"/>
  <c r="BI4" i="2"/>
  <c r="BI198" i="2"/>
  <c r="BI104" i="2"/>
  <c r="BI103" i="2"/>
  <c r="BI186" i="2"/>
  <c r="BI202" i="2"/>
  <c r="BI171" i="2"/>
  <c r="BI123" i="2"/>
  <c r="BI166" i="2"/>
  <c r="BI58" i="2"/>
  <c r="BI112" i="2"/>
  <c r="BI87" i="2"/>
  <c r="BI158" i="2"/>
  <c r="BI50" i="2"/>
  <c r="BI79" i="2"/>
  <c r="BI125" i="2"/>
  <c r="BI84" i="2"/>
  <c r="BI191" i="2"/>
  <c r="BI62" i="2"/>
  <c r="BI15" i="2"/>
  <c r="BI142" i="2"/>
  <c r="BI60" i="2"/>
  <c r="BI86" i="2"/>
  <c r="BI157" i="2"/>
  <c r="BI111" i="2"/>
  <c r="BI40" i="2"/>
  <c r="BI174" i="2"/>
  <c r="BI39" i="2"/>
  <c r="BI169" i="2"/>
  <c r="BI72" i="2"/>
  <c r="BI188" i="2"/>
  <c r="BI100" i="2"/>
  <c r="BI22" i="2"/>
  <c r="BI12" i="2"/>
  <c r="BI92" i="2"/>
  <c r="BI160" i="2"/>
  <c r="BI182" i="2"/>
  <c r="BI24" i="2"/>
  <c r="BI38" i="2"/>
  <c r="BI77" i="2"/>
  <c r="BI167" i="2"/>
  <c r="BI20" i="2"/>
  <c r="BI155" i="2"/>
  <c r="BI18" i="2"/>
  <c r="BI98" i="2"/>
  <c r="BI88" i="2"/>
  <c r="BI71" i="2"/>
  <c r="BI85" i="2"/>
  <c r="BI83" i="2"/>
  <c r="BI55" i="2"/>
  <c r="BI91" i="2"/>
  <c r="BI23" i="2"/>
  <c r="BI31" i="2"/>
  <c r="BI106" i="2"/>
  <c r="BI7" i="2"/>
  <c r="BI90" i="2"/>
  <c r="BI192" i="2"/>
  <c r="BI16" i="2"/>
  <c r="BI51" i="2"/>
  <c r="BI66" i="2"/>
  <c r="BI185" i="2"/>
  <c r="BI180" i="2"/>
  <c r="BI149" i="2"/>
  <c r="BI95" i="2"/>
  <c r="BI183" i="2"/>
  <c r="BI114" i="2"/>
  <c r="BI131" i="2"/>
  <c r="BI150" i="2"/>
  <c r="BI105" i="2"/>
  <c r="BI9" i="2"/>
  <c r="BI193" i="2"/>
  <c r="BI61" i="2"/>
  <c r="BI25" i="2"/>
  <c r="BI28" i="2"/>
  <c r="BI10" i="2"/>
  <c r="BI73" i="2"/>
  <c r="BI45" i="2"/>
  <c r="BI153" i="2"/>
  <c r="BI36" i="2"/>
  <c r="BI179" i="2"/>
  <c r="BI120" i="2"/>
  <c r="BI70" i="2"/>
  <c r="BI156" i="2"/>
  <c r="BI53" i="2"/>
  <c r="BI94" i="2"/>
  <c r="BI5" i="2"/>
  <c r="BI122" i="2"/>
  <c r="BI101" i="2"/>
  <c r="BI176" i="2"/>
  <c r="BI161" i="2"/>
  <c r="BI144" i="2"/>
  <c r="BI107" i="2"/>
  <c r="BI37" i="2"/>
  <c r="BI126" i="2"/>
  <c r="BI89" i="2"/>
  <c r="BI76" i="2"/>
  <c r="BI14" i="2"/>
  <c r="BI6" i="2"/>
  <c r="BI196" i="2"/>
  <c r="BI29" i="2"/>
  <c r="BI173" i="2"/>
  <c r="BI128" i="2"/>
  <c r="BI116" i="2"/>
  <c r="BI130" i="2"/>
  <c r="BI181" i="2"/>
  <c r="BI119" i="2"/>
  <c r="BI8" i="2"/>
  <c r="BI140" i="2"/>
  <c r="BI141" i="2"/>
  <c r="BI19" i="2"/>
  <c r="BI27" i="2"/>
  <c r="BI65" i="2"/>
  <c r="BI46" i="2"/>
  <c r="BI109" i="2"/>
  <c r="BI170" i="2"/>
  <c r="BI148" i="2"/>
  <c r="BI113" i="2"/>
  <c r="BI134" i="2"/>
  <c r="BI165" i="2"/>
  <c r="BI35" i="2"/>
  <c r="BI57" i="2"/>
  <c r="BI110" i="2"/>
  <c r="BI129" i="2"/>
  <c r="BI127" i="2"/>
  <c r="BI26" i="2"/>
  <c r="BI32" i="2"/>
  <c r="BI138" i="2"/>
  <c r="BI147" i="2"/>
  <c r="BI42" i="2"/>
  <c r="BI159" i="2"/>
  <c r="BI124" i="2"/>
  <c r="BI21" i="2"/>
  <c r="BI151" i="2"/>
  <c r="BI195" i="2"/>
  <c r="BI197" i="2"/>
  <c r="BI59" i="2"/>
  <c r="BI137" i="2"/>
  <c r="BI54" i="2"/>
  <c r="BI3" i="2"/>
  <c r="C8" i="4" s="1"/>
  <c r="E8" i="4" s="1"/>
  <c r="F8" i="4" s="1"/>
  <c r="G8" i="4" s="1"/>
  <c r="L8" i="4" s="1"/>
  <c r="BI82" i="2"/>
  <c r="BI41" i="2"/>
  <c r="BI13" i="2"/>
  <c r="BI67" i="2"/>
  <c r="BI199" i="2"/>
  <c r="BI48" i="2"/>
  <c r="BI139" i="2"/>
  <c r="BI118" i="2"/>
  <c r="BI184" i="2"/>
  <c r="BI43" i="2"/>
  <c r="BI99" i="2"/>
  <c r="BI44" i="2"/>
  <c r="BI108" i="2"/>
  <c r="BI190" i="2"/>
  <c r="BI146" i="2"/>
  <c r="BI81" i="2"/>
  <c r="BI96" i="2"/>
  <c r="BI194" i="2"/>
  <c r="BI201" i="2"/>
  <c r="BI117" i="2"/>
  <c r="BI162" i="2"/>
  <c r="BI163" i="2"/>
  <c r="BI172" i="2"/>
  <c r="BI152" i="2"/>
  <c r="BI63" i="2"/>
  <c r="BI11" i="2"/>
  <c r="BI132" i="2"/>
  <c r="BI102" i="2"/>
  <c r="BI30" i="2"/>
  <c r="BI17" i="2"/>
  <c r="BI143" i="2"/>
  <c r="BI52" i="2"/>
  <c r="BI145" i="2"/>
  <c r="BI78" i="2"/>
  <c r="BI64" i="2"/>
  <c r="BI200" i="2"/>
  <c r="BI203" i="2"/>
  <c r="BI69" i="2"/>
  <c r="BI154" i="2"/>
  <c r="BI133" i="2"/>
  <c r="BI187" i="2"/>
  <c r="BI175" i="2"/>
  <c r="BI178" i="2"/>
  <c r="BI93" i="2"/>
  <c r="BI97" i="2"/>
  <c r="BI33" i="2"/>
  <c r="BI136" i="2"/>
  <c r="BI68" i="2"/>
  <c r="BI177" i="2"/>
  <c r="BI80" i="2"/>
  <c r="BI135" i="2"/>
  <c r="BI115" i="2"/>
  <c r="BI49" i="2"/>
  <c r="BI164" i="2"/>
  <c r="BI189" i="2"/>
  <c r="BI75" i="2"/>
  <c r="BI121" i="2"/>
  <c r="BI56" i="2"/>
  <c r="BI168" i="2"/>
  <c r="BI74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<sst xmlns="http://schemas.openxmlformats.org/spreadsheetml/2006/main" count="1180" uniqueCount="327">
  <si>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</si>
  <si>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</si>
  <si>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</si>
  <si>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</si>
  <si>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</si>
  <si>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</si>
  <si>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</si>
  <si>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</si>
  <si>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</si>
  <si>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</si>
  <si>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</si>
  <si>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</si>
  <si>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</si>
  <si>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</si>
  <si>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</si>
  <si>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</si>
  <si>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</si>
  <si>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</si>
  <si>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</si>
  <si>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</si>
  <si>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</si>
  <si>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</si>
  <si>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</si>
  <si>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</si>
  <si>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</si>
  <si>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</si>
  <si>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</si>
  <si>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</si>
  <si>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</si>
  <si>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</si>
  <si>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</si>
  <si>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</si>
  <si>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</si>
  <si>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</si>
  <si>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</si>
  <si>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</si>
  <si>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</si>
  <si>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</si>
  <si>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</si>
  <si>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</si>
  <si>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</si>
  <si>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</si>
  <si>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</si>
  <si>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</si>
  <si>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</si>
  <si>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</si>
  <si>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</si>
  <si>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</si>
  <si>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</si>
  <si>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</si>
  <si>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</si>
  <si>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</si>
  <si>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</si>
  <si>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</si>
  <si>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</si>
  <si>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</si>
  <si>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</si>
  <si>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</si>
  <si>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</si>
  <si>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</si>
  <si>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</si>
  <si>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</si>
  <si>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</si>
  <si>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</si>
  <si>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</si>
  <si>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</si>
  <si>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</si>
  <si>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</si>
  <si>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</si>
  <si>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</si>
  <si>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</si>
  <si>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</si>
  <si>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</si>
  <si>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</si>
  <si>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</si>
  <si>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</si>
  <si>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</si>
  <si>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</si>
  <si>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</si>
  <si>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</si>
  <si>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</si>
  <si>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</si>
  <si>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</si>
  <si>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</si>
  <si>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</si>
  <si>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</si>
  <si>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</si>
  <si>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</si>
  <si>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</si>
  <si>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</si>
  <si>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</si>
  <si>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</si>
  <si>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</si>
  <si>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</si>
  <si>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</si>
  <si>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</si>
  <si>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</si>
  <si>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</si>
  <si>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</si>
  <si>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</si>
  <si>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</si>
  <si>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</si>
  <si>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</si>
  <si>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</si>
  <si>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</si>
  <si>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</si>
  <si>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</si>
  <si>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</si>
  <si>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</si>
  <si>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</si>
  <si>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</si>
  <si>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</si>
  <si>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</si>
  <si>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</si>
  <si>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</si>
  <si>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</si>
  <si>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</si>
  <si>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</si>
  <si>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</si>
  <si>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</si>
  <si>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</si>
  <si>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</si>
  <si>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</si>
  <si>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</si>
  <si>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</si>
  <si>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</si>
  <si>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</si>
  <si>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</si>
  <si>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</si>
  <si>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</si>
  <si>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</si>
  <si>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</si>
  <si>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</si>
  <si>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</si>
  <si>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</si>
  <si>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</si>
  <si>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</si>
  <si>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</si>
  <si>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</si>
  <si>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</si>
  <si>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</si>
  <si>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</si>
  <si>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</si>
  <si>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</si>
  <si>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</si>
  <si>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</si>
  <si>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</si>
  <si>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</si>
  <si>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</si>
  <si>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</si>
  <si>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</si>
  <si>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</si>
  <si>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</si>
  <si>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</si>
  <si>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</si>
  <si>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</si>
  <si>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</si>
  <si>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</si>
  <si>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</si>
  <si>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</si>
  <si>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</si>
  <si>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</si>
  <si>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</si>
  <si>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</si>
  <si>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</si>
  <si>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</si>
  <si>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</si>
  <si>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</si>
  <si>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</si>
  <si>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</si>
  <si>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</si>
  <si>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</si>
  <si>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</si>
  <si>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</si>
  <si>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</si>
  <si>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</si>
  <si>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</si>
  <si>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</si>
  <si>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</si>
  <si>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</si>
  <si>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</si>
  <si>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</si>
  <si>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</si>
  <si>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</si>
  <si>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</si>
  <si>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</si>
  <si>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</si>
  <si>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</si>
  <si>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</si>
  <si>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</si>
  <si>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</si>
  <si>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</si>
  <si>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</si>
  <si>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</si>
  <si>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</si>
  <si>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</si>
  <si>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</si>
  <si>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</si>
  <si>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</si>
  <si>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</si>
  <si>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</si>
  <si>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</si>
  <si>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</si>
  <si>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</si>
  <si>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</si>
  <si>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</si>
  <si>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</si>
  <si>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</si>
  <si>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</si>
  <si>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</si>
  <si>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</si>
  <si>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</si>
  <si>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</si>
  <si>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</si>
  <si>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</si>
  <si>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</si>
  <si>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</si>
  <si>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</si>
  <si>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</si>
  <si>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</si>
  <si>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</si>
  <si>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</si>
  <si>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</si>
  <si>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</si>
  <si>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</si>
  <si>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</si>
  <si>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</si>
  <si>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</si>
  <si>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</si>
  <si>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</si>
  <si>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</si>
  <si>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</si>
  <si>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</si>
  <si>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</si>
  <si>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</si>
  <si>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</si>
  <si>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</si>
  <si>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</si>
  <si>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</si>
  <si>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</si>
  <si>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</si>
  <si>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</si>
  <si>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</si>
  <si>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</si>
  <si>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</si>
  <si>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</si>
  <si>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</si>
  <si>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</si>
  <si>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</si>
  <si>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</si>
  <si>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</si>
  <si>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</si>
  <si>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</si>
  <si>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</si>
  <si>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</si>
  <si>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</si>
  <si>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</si>
  <si>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</si>
  <si>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</si>
  <si>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</si>
  <si>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</si>
  <si>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</si>
  <si>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</si>
  <si>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</si>
  <si>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</si>
  <si>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</si>
  <si>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</si>
  <si>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</si>
  <si>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</si>
  <si>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</si>
  <si>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</si>
  <si>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</si>
  <si>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</si>
  <si>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</si>
  <si>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</si>
  <si>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</si>
  <si>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</si>
  <si>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</si>
  <si>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</si>
  <si>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</si>
  <si>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</si>
  <si>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</si>
  <si>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</si>
  <si>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</si>
  <si>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</si>
  <si>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</si>
  <si>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</si>
  <si>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</si>
  <si>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</si>
  <si>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</si>
  <si>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</si>
  <si>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</si>
  <si>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</si>
  <si>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</si>
  <si>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</si>
  <si>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</si>
  <si>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</si>
  <si>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</si>
  <si>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</si>
  <si>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</si>
  <si>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</si>
  <si>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</si>
  <si>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</si>
  <si>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</si>
  <si>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</si>
  <si>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</si>
  <si>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</si>
  <si>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</si>
  <si>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</si>
  <si>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</si>
  <si>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</si>
  <si>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</si>
  <si>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</si>
  <si>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</si>
  <si>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</si>
  <si>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</si>
  <si>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</si>
  <si>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</si>
  <si>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</si>
  <si>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</si>
  <si>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</si>
  <si>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</si>
  <si>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</si>
  <si>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</si>
  <si>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</t>
  </si>
  <si>
    <t>Classe 2</t>
  </si>
  <si>
    <t>classe 10 =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</si>
</sst>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000000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32" fillId="21" borderId="1" xfId="0" applyFont="1" applyFill="1" applyBorder="1" applyAlignment="1" applyProtection="1">
      <alignment horizontal="center"/>
      <protection locked="0" hidden="1"/>
    </xf>
    <xf numFmtId="0" fontId="32" fillId="21" borderId="1" xfId="0" applyFont="1" applyFill="1" applyBorder="1" applyAlignment="1" applyProtection="1">
      <alignment horizontal="center"/>
      <protection locked="0"/>
    </xf>
    <xf numFmtId="0" fontId="32" fillId="21" borderId="1" xfId="0" applyNumberFormat="1" applyFont="1" applyFill="1" applyBorder="1" applyAlignment="1" applyProtection="1">
      <alignment horizontal="center"/>
      <protection locked="0"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1.4217567752663396</c:v>
                </c:pt>
                <c:pt idx="2">
                  <c:v>1.6496387760333995</c:v>
                </c:pt>
                <c:pt idx="3">
                  <c:v>1.9141825094116696</c:v>
                </c:pt>
                <c:pt idx="4">
                  <c:v>2.2213069404908978</c:v>
                </c:pt>
                <c:pt idx="5">
                  <c:v>2.5778898048880068</c:v>
                </c:pt>
                <c:pt idx="6">
                  <c:v>2.9919233927322302</c:v>
                </c:pt>
                <c:pt idx="7">
                  <c:v>3.472695717358198</c:v>
                </c:pt>
                <c:pt idx="8">
                  <c:v>4.0310012160061346</c:v>
                </c:pt>
                <c:pt idx="9">
                  <c:v>4.6793858090430804</c:v>
                </c:pt>
                <c:pt idx="10">
                  <c:v>5.432431934915944</c:v>
                </c:pt>
                <c:pt idx="11">
                  <c:v>6.3070900985608995</c:v>
                </c:pt>
                <c:pt idx="12">
                  <c:v>7.3230645426796004</c:v>
                </c:pt>
                <c:pt idx="13">
                  <c:v>8.5032618990257713</c:v>
                </c:pt>
                <c:pt idx="14">
                  <c:v>9.8743131296009761</c:v>
                </c:pt>
                <c:pt idx="15">
                  <c:v>11.467180759188034</c:v>
                </c:pt>
                <c:pt idx="16">
                  <c:v>13.31786537027314</c:v>
                </c:pt>
                <c:pt idx="17">
                  <c:v>15.468227624926827</c:v>
                </c:pt>
                <c:pt idx="18">
                  <c:v>17.96694474899018</c:v>
                </c:pt>
                <c:pt idx="19">
                  <c:v>20.870623524111782</c:v>
                </c:pt>
                <c:pt idx="20">
                  <c:v>24.245095455229389</c:v>
                </c:pt>
                <c:pt idx="21">
                  <c:v>28.166923999370677</c:v>
                </c:pt>
                <c:pt idx="22">
                  <c:v>32.725158654475884</c:v>
                </c:pt>
                <c:pt idx="23">
                  <c:v>38.023376428874322</c:v>
                </c:pt>
                <c:pt idx="24">
                  <c:v>44.182057876552157</c:v>
                </c:pt>
                <c:pt idx="25">
                  <c:v>51.341352645956526</c:v>
                </c:pt>
                <c:pt idx="26">
                  <c:v>59.664298532021071</c:v>
                </c:pt>
                <c:pt idx="27">
                  <c:v>69.340568553547996</c:v>
                </c:pt>
                <c:pt idx="28">
                  <c:v>80.590832847134777</c:v>
                </c:pt>
                <c:pt idx="29">
                  <c:v>93.671836461268967</c:v>
                </c:pt>
                <c:pt idx="30">
                  <c:v>108.88231078423301</c:v>
                </c:pt>
                <c:pt idx="31">
                  <c:v>118.03208120289025</c:v>
                </c:pt>
                <c:pt idx="32">
                  <c:v>127.16454093707324</c:v>
                </c:pt>
                <c:pt idx="33">
                  <c:v>136.28111027557466</c:v>
                </c:pt>
                <c:pt idx="34">
                  <c:v>145.38300356865543</c:v>
                </c:pt>
                <c:pt idx="35">
                  <c:v>154.47127040505103</c:v>
                </c:pt>
                <c:pt idx="36">
                  <c:v>164.62257075242445</c:v>
                </c:pt>
                <c:pt idx="37">
                  <c:v>174.75908346315285</c:v>
                </c:pt>
                <c:pt idx="38">
                  <c:v>184.88178804027584</c:v>
                </c:pt>
                <c:pt idx="39">
                  <c:v>194.99154782254652</c:v>
                </c:pt>
                <c:pt idx="40">
                  <c:v>205.08912920241869</c:v>
                </c:pt>
                <c:pt idx="41">
                  <c:v>216.07167176294379</c:v>
                </c:pt>
                <c:pt idx="42">
                  <c:v>227.04137501930674</c:v>
                </c:pt>
                <c:pt idx="43">
                  <c:v>237.99894718169116</c:v>
                </c:pt>
                <c:pt idx="44">
                  <c:v>248.9450258663492</c:v>
                </c:pt>
                <c:pt idx="45">
                  <c:v>259.88018799430489</c:v>
                </c:pt>
                <c:pt idx="46">
                  <c:v>271.49118936448139</c:v>
                </c:pt>
                <c:pt idx="47">
                  <c:v>283.09102384512045</c:v>
                </c:pt>
                <c:pt idx="48">
                  <c:v>294.6802137025349</c:v>
                </c:pt>
                <c:pt idx="49">
                  <c:v>306.25923674841783</c:v>
                </c:pt>
                <c:pt idx="50">
                  <c:v>317.82853169749472</c:v>
                </c:pt>
                <c:pt idx="51">
                  <c:v>329.76706192494242</c:v>
                </c:pt>
                <c:pt idx="52">
                  <c:v>239.62065334927328</c:v>
                </c:pt>
                <c:pt idx="53">
                  <c:v>250.17992771178422</c:v>
                </c:pt>
                <c:pt idx="54">
                  <c:v>260.7290983972735</c:v>
                </c:pt>
                <c:pt idx="55">
                  <c:v>271.26863210148059</c:v>
                </c:pt>
                <c:pt idx="56">
                  <c:v>282.09814713694817</c:v>
                </c:pt>
                <c:pt idx="57">
                  <c:v>292.91834832034198</c:v>
                </c:pt>
                <c:pt idx="58">
                  <c:v>303.72962838128052</c:v>
                </c:pt>
                <c:pt idx="59">
                  <c:v>314.53234979242978</c:v>
                </c:pt>
                <c:pt idx="60">
                  <c:v>325.32684808209291</c:v>
                </c:pt>
                <c:pt idx="61">
                  <c:v>336.42619727682859</c:v>
                </c:pt>
                <c:pt idx="62">
                  <c:v>347.51748449303227</c:v>
                </c:pt>
                <c:pt idx="63">
                  <c:v>358.60100339709629</c:v>
                </c:pt>
                <c:pt idx="64">
                  <c:v>259.98848073094109</c:v>
                </c:pt>
                <c:pt idx="65">
                  <c:v>269.69206696282356</c:v>
                </c:pt>
                <c:pt idx="66">
                  <c:v>279.47428950232273</c:v>
                </c:pt>
                <c:pt idx="67">
                  <c:v>289.2488338563175</c:v>
                </c:pt>
                <c:pt idx="68">
                  <c:v>299.0159962581734</c:v>
                </c:pt>
                <c:pt idx="69">
                  <c:v>308.77605199491023</c:v>
                </c:pt>
                <c:pt idx="70">
                  <c:v>318.52925751795101</c:v>
                </c:pt>
                <c:pt idx="71">
                  <c:v>328.50977739215841</c:v>
                </c:pt>
                <c:pt idx="72">
                  <c:v>338.48360561351461</c:v>
                </c:pt>
                <c:pt idx="73">
                  <c:v>348.45096726512315</c:v>
                </c:pt>
                <c:pt idx="74">
                  <c:v>358.41207349541224</c:v>
                </c:pt>
                <c:pt idx="75">
                  <c:v>368.3671227524876</c:v>
                </c:pt>
                <c:pt idx="76">
                  <c:v>291.90308558346857</c:v>
                </c:pt>
                <c:pt idx="77">
                  <c:v>300.84490171136019</c:v>
                </c:pt>
                <c:pt idx="78">
                  <c:v>309.78080110442289</c:v>
                </c:pt>
                <c:pt idx="79">
                  <c:v>318.71097863597828</c:v>
                </c:pt>
                <c:pt idx="80">
                  <c:v>327.63561735902289</c:v>
                </c:pt>
                <c:pt idx="81">
                  <c:v>336.68255528127548</c:v>
                </c:pt>
                <c:pt idx="82">
                  <c:v>345.72414124031229</c:v>
                </c:pt>
                <c:pt idx="83">
                  <c:v>354.76053503205168</c:v>
                </c:pt>
                <c:pt idx="84">
                  <c:v>363.79188764232754</c:v>
                </c:pt>
                <c:pt idx="85">
                  <c:v>372.818341944037</c:v>
                </c:pt>
                <c:pt idx="86">
                  <c:v>381.89371986785494</c:v>
                </c:pt>
                <c:pt idx="87">
                  <c:v>390.96440874320461</c:v>
                </c:pt>
                <c:pt idx="88">
                  <c:v>316.25754932457295</c:v>
                </c:pt>
                <c:pt idx="89">
                  <c:v>324.40323912652161</c:v>
                </c:pt>
                <c:pt idx="90">
                  <c:v>332.5444091790477</c:v>
                </c:pt>
                <c:pt idx="91">
                  <c:v>340.57661946734987</c:v>
                </c:pt>
                <c:pt idx="92">
                  <c:v>348.60466388116532</c:v>
                </c:pt>
                <c:pt idx="93">
                  <c:v>356.62865196344347</c:v>
                </c:pt>
                <c:pt idx="94">
                  <c:v>364.64868792174479</c:v>
                </c:pt>
                <c:pt idx="95">
                  <c:v>372.66487100231348</c:v>
                </c:pt>
                <c:pt idx="96">
                  <c:v>380.913914562152</c:v>
                </c:pt>
                <c:pt idx="97">
                  <c:v>389.15907303237492</c:v>
                </c:pt>
                <c:pt idx="98">
                  <c:v>397.40044038751142</c:v>
                </c:pt>
                <c:pt idx="99">
                  <c:v>405.63810638397234</c:v>
                </c:pt>
                <c:pt idx="100">
                  <c:v>214.6733510235083</c:v>
                </c:pt>
                <c:pt idx="101">
                  <c:v>220.1489233728546</c:v>
                </c:pt>
                <c:pt idx="102">
                  <c:v>225.62136845497756</c:v>
                </c:pt>
                <c:pt idx="103">
                  <c:v>231.09077296125758</c:v>
                </c:pt>
                <c:pt idx="104">
                  <c:v>236.55721913724756</c:v>
                </c:pt>
                <c:pt idx="105">
                  <c:v>242.02078511048478</c:v>
                </c:pt>
                <c:pt idx="106">
                  <c:v>247.48154518711115</c:v>
                </c:pt>
                <c:pt idx="107">
                  <c:v>252.93957012090684</c:v>
                </c:pt>
                <c:pt idx="108">
                  <c:v>258.39492735785757</c:v>
                </c:pt>
                <c:pt idx="109">
                  <c:v>263.84768125895937</c:v>
                </c:pt>
                <c:pt idx="110">
                  <c:v>4.2330868906469593E-12</c:v>
                </c:pt>
                <c:pt idx="111">
                  <c:v>4.2330868906469593E-12</c:v>
                </c:pt>
                <c:pt idx="112">
                  <c:v>4.2330868906469593E-12</c:v>
                </c:pt>
                <c:pt idx="113">
                  <c:v>4.2330868906469593E-12</c:v>
                </c:pt>
                <c:pt idx="114">
                  <c:v>4.2330868906469593E-12</c:v>
                </c:pt>
                <c:pt idx="115">
                  <c:v>4.2330868906469593E-12</c:v>
                </c:pt>
                <c:pt idx="116">
                  <c:v>4.2330868906469593E-12</c:v>
                </c:pt>
                <c:pt idx="117">
                  <c:v>4.2330868906469593E-12</c:v>
                </c:pt>
                <c:pt idx="118">
                  <c:v>4.2330868906469593E-12</c:v>
                </c:pt>
                <c:pt idx="119">
                  <c:v>4.2330868906469593E-12</c:v>
                </c:pt>
                <c:pt idx="120">
                  <c:v>4.2330868906469593E-12</c:v>
                </c:pt>
                <c:pt idx="121">
                  <c:v>4.2330868906469593E-12</c:v>
                </c:pt>
                <c:pt idx="122">
                  <c:v>4.2330868906469593E-12</c:v>
                </c:pt>
                <c:pt idx="123">
                  <c:v>4.2330868906469593E-12</c:v>
                </c:pt>
                <c:pt idx="124">
                  <c:v>4.2330868906469593E-12</c:v>
                </c:pt>
                <c:pt idx="125">
                  <c:v>4.2330868906469593E-12</c:v>
                </c:pt>
                <c:pt idx="126">
                  <c:v>4.2330868906469593E-12</c:v>
                </c:pt>
                <c:pt idx="127">
                  <c:v>4.2330868906469593E-12</c:v>
                </c:pt>
                <c:pt idx="128">
                  <c:v>4.2330868906469593E-12</c:v>
                </c:pt>
                <c:pt idx="129">
                  <c:v>4.2330868906469593E-12</c:v>
                </c:pt>
                <c:pt idx="130">
                  <c:v>4.2330868906469593E-12</c:v>
                </c:pt>
                <c:pt idx="131">
                  <c:v>4.2330868906469593E-12</c:v>
                </c:pt>
                <c:pt idx="132">
                  <c:v>4.2330868906469593E-12</c:v>
                </c:pt>
                <c:pt idx="133">
                  <c:v>4.2330868906469593E-12</c:v>
                </c:pt>
                <c:pt idx="134">
                  <c:v>4.2330868906469593E-12</c:v>
                </c:pt>
                <c:pt idx="135">
                  <c:v>4.2330868906469593E-12</c:v>
                </c:pt>
                <c:pt idx="136">
                  <c:v>4.2330868906469593E-12</c:v>
                </c:pt>
                <c:pt idx="137">
                  <c:v>4.2330868906469593E-12</c:v>
                </c:pt>
                <c:pt idx="138">
                  <c:v>4.2330868906469593E-12</c:v>
                </c:pt>
                <c:pt idx="139">
                  <c:v>4.2330868906469593E-12</c:v>
                </c:pt>
                <c:pt idx="140">
                  <c:v>4.2330868906469593E-12</c:v>
                </c:pt>
                <c:pt idx="141">
                  <c:v>4.2330868906469593E-12</c:v>
                </c:pt>
                <c:pt idx="142">
                  <c:v>4.2330868906469593E-12</c:v>
                </c:pt>
                <c:pt idx="143">
                  <c:v>4.2330868906469593E-12</c:v>
                </c:pt>
                <c:pt idx="144">
                  <c:v>4.2330868906469593E-12</c:v>
                </c:pt>
                <c:pt idx="145">
                  <c:v>4.2330868906469593E-12</c:v>
                </c:pt>
                <c:pt idx="146">
                  <c:v>4.2330868906469593E-12</c:v>
                </c:pt>
                <c:pt idx="147">
                  <c:v>4.2330868906469593E-12</c:v>
                </c:pt>
                <c:pt idx="148">
                  <c:v>4.2330868906469593E-12</c:v>
                </c:pt>
                <c:pt idx="149">
                  <c:v>4.2330868906469593E-12</c:v>
                </c:pt>
                <c:pt idx="150">
                  <c:v>4.2330868906469593E-12</c:v>
                </c:pt>
                <c:pt idx="151">
                  <c:v>4.2330868906469593E-12</c:v>
                </c:pt>
                <c:pt idx="152">
                  <c:v>4.2330868906469593E-12</c:v>
                </c:pt>
                <c:pt idx="153">
                  <c:v>4.2330868906469593E-12</c:v>
                </c:pt>
                <c:pt idx="154">
                  <c:v>4.2330868906469593E-12</c:v>
                </c:pt>
                <c:pt idx="155">
                  <c:v>4.2330868906469593E-12</c:v>
                </c:pt>
                <c:pt idx="156">
                  <c:v>4.2330868906469593E-12</c:v>
                </c:pt>
                <c:pt idx="157">
                  <c:v>4.2330868906469593E-12</c:v>
                </c:pt>
                <c:pt idx="158">
                  <c:v>4.2330868906469593E-12</c:v>
                </c:pt>
                <c:pt idx="159">
                  <c:v>4.2330868906469593E-12</c:v>
                </c:pt>
                <c:pt idx="160">
                  <c:v>4.2330868906469593E-12</c:v>
                </c:pt>
                <c:pt idx="161">
                  <c:v>4.2330868906469593E-12</c:v>
                </c:pt>
                <c:pt idx="162">
                  <c:v>4.2330868906469593E-12</c:v>
                </c:pt>
                <c:pt idx="163">
                  <c:v>4.2330868906469593E-12</c:v>
                </c:pt>
                <c:pt idx="164">
                  <c:v>4.2330868906469593E-12</c:v>
                </c:pt>
                <c:pt idx="165">
                  <c:v>4.2330868906469593E-12</c:v>
                </c:pt>
                <c:pt idx="166">
                  <c:v>4.2330868906469593E-12</c:v>
                </c:pt>
                <c:pt idx="167">
                  <c:v>4.2330868906469593E-12</c:v>
                </c:pt>
                <c:pt idx="168">
                  <c:v>4.2330868906469593E-12</c:v>
                </c:pt>
                <c:pt idx="169">
                  <c:v>4.2330868906469593E-12</c:v>
                </c:pt>
                <c:pt idx="170">
                  <c:v>4.2330868906469593E-12</c:v>
                </c:pt>
                <c:pt idx="171">
                  <c:v>4.2330868906469593E-12</c:v>
                </c:pt>
                <c:pt idx="172">
                  <c:v>4.2330868906469593E-12</c:v>
                </c:pt>
                <c:pt idx="173">
                  <c:v>4.2330868906469593E-12</c:v>
                </c:pt>
                <c:pt idx="174">
                  <c:v>4.2330868906469593E-12</c:v>
                </c:pt>
                <c:pt idx="175">
                  <c:v>4.2330868906469593E-12</c:v>
                </c:pt>
                <c:pt idx="176">
                  <c:v>4.2330868906469593E-12</c:v>
                </c:pt>
                <c:pt idx="177">
                  <c:v>4.2330868906469593E-12</c:v>
                </c:pt>
                <c:pt idx="178">
                  <c:v>4.2330868906469593E-12</c:v>
                </c:pt>
                <c:pt idx="179">
                  <c:v>4.2330868906469593E-12</c:v>
                </c:pt>
                <c:pt idx="180">
                  <c:v>4.2330868906469593E-12</c:v>
                </c:pt>
                <c:pt idx="181">
                  <c:v>4.2330868906469593E-12</c:v>
                </c:pt>
                <c:pt idx="182">
                  <c:v>4.2330868906469593E-12</c:v>
                </c:pt>
                <c:pt idx="183">
                  <c:v>4.2330868906469593E-12</c:v>
                </c:pt>
                <c:pt idx="184">
                  <c:v>4.2330868906469593E-12</c:v>
                </c:pt>
                <c:pt idx="185">
                  <c:v>4.2330868906469593E-12</c:v>
                </c:pt>
                <c:pt idx="186">
                  <c:v>4.2330868906469593E-12</c:v>
                </c:pt>
                <c:pt idx="187">
                  <c:v>4.2330868906469593E-12</c:v>
                </c:pt>
                <c:pt idx="188">
                  <c:v>4.2330868906469593E-12</c:v>
                </c:pt>
                <c:pt idx="189">
                  <c:v>4.2330868906469593E-12</c:v>
                </c:pt>
                <c:pt idx="190">
                  <c:v>4.2330868906469593E-12</c:v>
                </c:pt>
                <c:pt idx="191">
                  <c:v>4.2330868906469593E-12</c:v>
                </c:pt>
                <c:pt idx="192">
                  <c:v>4.2330868906469593E-12</c:v>
                </c:pt>
                <c:pt idx="193">
                  <c:v>4.2330868906469593E-12</c:v>
                </c:pt>
                <c:pt idx="194">
                  <c:v>4.2330868906469593E-12</c:v>
                </c:pt>
                <c:pt idx="195">
                  <c:v>4.2330868906469593E-12</c:v>
                </c:pt>
                <c:pt idx="196">
                  <c:v>4.2330868906469593E-12</c:v>
                </c:pt>
                <c:pt idx="197">
                  <c:v>4.2330868906469593E-12</c:v>
                </c:pt>
                <c:pt idx="198">
                  <c:v>4.2330868906469593E-12</c:v>
                </c:pt>
                <c:pt idx="199">
                  <c:v>4.2330868906469593E-12</c:v>
                </c:pt>
                <c:pt idx="200">
                  <c:v>4.2330868906469593E-12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4838560"/>
        <c:axId val="-662043120"/>
      </c:scatterChart>
      <c:valAx>
        <c:axId val="-9748385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3120"/>
        <c:crosses val="autoZero"/>
        <c:crossBetween val="midCat"/>
      </c:valAx>
      <c:valAx>
        <c:axId val="-66204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74838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2042032"/>
        <c:axId val="-662039856"/>
      </c:scatterChart>
      <c:valAx>
        <c:axId val="-6620420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39856"/>
        <c:crosses val="autoZero"/>
        <c:crossBetween val="midCat"/>
      </c:valAx>
      <c:valAx>
        <c:axId val="-66203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2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161.75563241829539</c:v>
                </c:pt>
                <c:pt idx="22">
                  <c:v>175.89351283227515</c:v>
                </c:pt>
                <c:pt idx="23">
                  <c:v>190.00471981377623</c:v>
                </c:pt>
                <c:pt idx="24">
                  <c:v>204.09151430529414</c:v>
                </c:pt>
                <c:pt idx="25">
                  <c:v>218.15581931274576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262.56193918616879</c:v>
                </c:pt>
                <c:pt idx="32">
                  <c:v>283.53519379457339</c:v>
                </c:pt>
                <c:pt idx="33">
                  <c:v>304.47370954373434</c:v>
                </c:pt>
                <c:pt idx="34">
                  <c:v>325.38021038250321</c:v>
                </c:pt>
                <c:pt idx="35">
                  <c:v>346.25704166537042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302.92383728372175</c:v>
                </c:pt>
                <c:pt idx="39">
                  <c:v>324.60643807826506</c:v>
                </c:pt>
                <c:pt idx="40">
                  <c:v>346.25704166537042</c:v>
                </c:pt>
                <c:pt idx="41">
                  <c:v>368.2637587173711</c:v>
                </c:pt>
                <c:pt idx="42">
                  <c:v>390.24178515868516</c:v>
                </c:pt>
                <c:pt idx="43">
                  <c:v>412.19296293548695</c:v>
                </c:pt>
                <c:pt idx="44">
                  <c:v>434.11892190865478</c:v>
                </c:pt>
                <c:pt idx="45">
                  <c:v>456.02111397099458</c:v>
                </c:pt>
                <c:pt idx="46">
                  <c:v>369.42119511414563</c:v>
                </c:pt>
                <c:pt idx="47">
                  <c:v>390.62711987432004</c:v>
                </c:pt>
                <c:pt idx="48">
                  <c:v>411.8080763786877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473.68012971962668</c:v>
                </c:pt>
                <c:pt idx="52">
                  <c:v>493.24225474849794</c:v>
                </c:pt>
                <c:pt idx="53">
                  <c:v>512.78793950323291</c:v>
                </c:pt>
                <c:pt idx="54">
                  <c:v>532.31789836558266</c:v>
                </c:pt>
                <c:pt idx="55">
                  <c:v>551.83278906179726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551.45028504666311</c:v>
                </c:pt>
                <c:pt idx="62">
                  <c:v>568.27526097606199</c:v>
                </c:pt>
                <c:pt idx="63">
                  <c:v>585.08982917045773</c:v>
                </c:pt>
                <c:pt idx="64">
                  <c:v>601.89433065861692</c:v>
                </c:pt>
                <c:pt idx="65">
                  <c:v>618.68908588691215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604.56686745724687</c:v>
                </c:pt>
                <c:pt idx="72">
                  <c:v>619.07067399707296</c:v>
                </c:pt>
                <c:pt idx="73">
                  <c:v>633.56744133236327</c:v>
                </c:pt>
                <c:pt idx="74">
                  <c:v>648.05735312955619</c:v>
                </c:pt>
                <c:pt idx="75">
                  <c:v>662.54058417706926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636.99987545603415</c:v>
                </c:pt>
                <c:pt idx="82">
                  <c:v>649.58221541705063</c:v>
                </c:pt>
                <c:pt idx="83">
                  <c:v>662.15953068851047</c:v>
                </c:pt>
                <c:pt idx="84">
                  <c:v>674.73193011676551</c:v>
                </c:pt>
                <c:pt idx="85">
                  <c:v>687.29951816311348</c:v>
                </c:pt>
                <c:pt idx="86">
                  <c:v>699.86239515908403</c:v>
                </c:pt>
                <c:pt idx="87">
                  <c:v>712.42065754245129</c:v>
                </c:pt>
                <c:pt idx="88">
                  <c:v>724.97439807575211</c:v>
                </c:pt>
                <c:pt idx="89">
                  <c:v>737.52370604888972</c:v>
                </c:pt>
                <c:pt idx="90">
                  <c:v>750.06866746724211</c:v>
                </c:pt>
                <c:pt idx="91">
                  <c:v>601.32161215624615</c:v>
                </c:pt>
                <c:pt idx="92">
                  <c:v>612.58301041135394</c:v>
                </c:pt>
                <c:pt idx="93">
                  <c:v>623.84011521480943</c:v>
                </c:pt>
                <c:pt idx="94">
                  <c:v>635.09301493951614</c:v>
                </c:pt>
                <c:pt idx="95">
                  <c:v>646.34179457229266</c:v>
                </c:pt>
                <c:pt idx="96">
                  <c:v>657.58653590152971</c:v>
                </c:pt>
                <c:pt idx="97">
                  <c:v>668.82731769134739</c:v>
                </c:pt>
                <c:pt idx="98">
                  <c:v>680.06421584344105</c:v>
                </c:pt>
                <c:pt idx="99">
                  <c:v>691.29730354768026</c:v>
                </c:pt>
                <c:pt idx="100">
                  <c:v>702.52665142241483</c:v>
                </c:pt>
                <c:pt idx="101">
                  <c:v>712.42065754245107</c:v>
                </c:pt>
                <c:pt idx="102">
                  <c:v>722.31185677865858</c:v>
                </c:pt>
                <c:pt idx="103">
                  <c:v>732.20029297203462</c:v>
                </c:pt>
                <c:pt idx="104">
                  <c:v>742.08600868333099</c:v>
                </c:pt>
                <c:pt idx="105">
                  <c:v>751.96904524735601</c:v>
                </c:pt>
                <c:pt idx="106">
                  <c:v>761.84944282427648</c:v>
                </c:pt>
                <c:pt idx="107">
                  <c:v>771.72724044812094</c:v>
                </c:pt>
                <c:pt idx="108">
                  <c:v>781.60247607267092</c:v>
                </c:pt>
                <c:pt idx="109">
                  <c:v>791.47518661491574</c:v>
                </c:pt>
                <c:pt idx="110">
                  <c:v>801.34540799622619</c:v>
                </c:pt>
                <c:pt idx="111">
                  <c:v>608.19348941446765</c:v>
                </c:pt>
                <c:pt idx="112">
                  <c:v>616.78107210210862</c:v>
                </c:pt>
                <c:pt idx="113">
                  <c:v>625.36617664098856</c:v>
                </c:pt>
                <c:pt idx="114">
                  <c:v>633.94884184663999</c:v>
                </c:pt>
                <c:pt idx="115">
                  <c:v>642.52910539795459</c:v>
                </c:pt>
                <c:pt idx="116">
                  <c:v>651.10700388552493</c:v>
                </c:pt>
                <c:pt idx="117">
                  <c:v>659.68257285730954</c:v>
                </c:pt>
                <c:pt idx="118">
                  <c:v>668.25584686179957</c:v>
                </c:pt>
                <c:pt idx="119">
                  <c:v>676.82685948885762</c:v>
                </c:pt>
                <c:pt idx="120">
                  <c:v>685.39564340837808</c:v>
                </c:pt>
                <c:pt idx="121">
                  <c:v>693.39119233094789</c:v>
                </c:pt>
                <c:pt idx="122">
                  <c:v>701.38485267499789</c:v>
                </c:pt>
                <c:pt idx="123">
                  <c:v>709.37664899579306</c:v>
                </c:pt>
                <c:pt idx="124">
                  <c:v>717.36660525030732</c:v>
                </c:pt>
                <c:pt idx="125">
                  <c:v>725.35474481844449</c:v>
                </c:pt>
                <c:pt idx="126">
                  <c:v>733.34109052327722</c:v>
                </c:pt>
                <c:pt idx="127">
                  <c:v>741.32566465035904</c:v>
                </c:pt>
                <c:pt idx="128">
                  <c:v>749.30848896615805</c:v>
                </c:pt>
                <c:pt idx="129">
                  <c:v>757.28958473566934</c:v>
                </c:pt>
                <c:pt idx="130">
                  <c:v>765.2689727392434</c:v>
                </c:pt>
                <c:pt idx="131">
                  <c:v>599.22154722155733</c:v>
                </c:pt>
                <c:pt idx="132">
                  <c:v>606.47567200029607</c:v>
                </c:pt>
                <c:pt idx="133">
                  <c:v>613.72799533010129</c:v>
                </c:pt>
                <c:pt idx="134">
                  <c:v>620.97854150271451</c:v>
                </c:pt>
                <c:pt idx="135">
                  <c:v>628.22733419629969</c:v>
                </c:pt>
                <c:pt idx="136">
                  <c:v>635.47439649799799</c:v>
                </c:pt>
                <c:pt idx="137">
                  <c:v>642.71975092539503</c:v>
                </c:pt>
                <c:pt idx="138">
                  <c:v>649.96341944697554</c:v>
                </c:pt>
                <c:pt idx="139">
                  <c:v>657.20542350161361</c:v>
                </c:pt>
                <c:pt idx="140">
                  <c:v>664.44578401716376</c:v>
                </c:pt>
                <c:pt idx="141">
                  <c:v>671.1131007030807</c:v>
                </c:pt>
                <c:pt idx="142">
                  <c:v>677.77905606178604</c:v>
                </c:pt>
                <c:pt idx="143">
                  <c:v>684.44366537005408</c:v>
                </c:pt>
                <c:pt idx="144">
                  <c:v>691.10694358289311</c:v>
                </c:pt>
                <c:pt idx="145">
                  <c:v>697.76890534342408</c:v>
                </c:pt>
                <c:pt idx="146">
                  <c:v>704.42956499236743</c:v>
                </c:pt>
                <c:pt idx="147">
                  <c:v>711.08893657714862</c:v>
                </c:pt>
                <c:pt idx="148">
                  <c:v>717.74703386064687</c:v>
                </c:pt>
                <c:pt idx="149">
                  <c:v>724.40387032960223</c:v>
                </c:pt>
                <c:pt idx="150">
                  <c:v>731.05945920269721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2046928"/>
        <c:axId val="-662044752"/>
      </c:scatterChart>
      <c:valAx>
        <c:axId val="-6620469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4752"/>
        <c:crosses val="autoZero"/>
        <c:crossBetween val="midCat"/>
      </c:valAx>
      <c:valAx>
        <c:axId val="-66204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6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173.72181380960993</c:v>
                </c:pt>
                <c:pt idx="27">
                  <c:v>189.09987078266829</c:v>
                </c:pt>
                <c:pt idx="28">
                  <c:v>204.4487812295192</c:v>
                </c:pt>
                <c:pt idx="29">
                  <c:v>219.7710421086791</c:v>
                </c:pt>
                <c:pt idx="30">
                  <c:v>235.06877345752704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277.35142797945286</c:v>
                </c:pt>
                <c:pt idx="37">
                  <c:v>295.61299167711019</c:v>
                </c:pt>
                <c:pt idx="38">
                  <c:v>313.84940040812506</c:v>
                </c:pt>
                <c:pt idx="39">
                  <c:v>332.06232108561716</c:v>
                </c:pt>
                <c:pt idx="40">
                  <c:v>350.25322285655176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367.991017900744</c:v>
                </c:pt>
                <c:pt idx="47">
                  <c:v>385.71015840744536</c:v>
                </c:pt>
                <c:pt idx="48">
                  <c:v>403.4116216390002</c:v>
                </c:pt>
                <c:pt idx="49">
                  <c:v>421.09629212416644</c:v>
                </c:pt>
                <c:pt idx="50">
                  <c:v>438.76497406308476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450.82258294436616</c:v>
                </c:pt>
                <c:pt idx="57">
                  <c:v>467.17548976530185</c:v>
                </c:pt>
                <c:pt idx="58">
                  <c:v>483.51620053314986</c:v>
                </c:pt>
                <c:pt idx="59">
                  <c:v>499.8451852797545</c:v>
                </c:pt>
                <c:pt idx="60">
                  <c:v>516.16288083607753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517.87989315697871</c:v>
                </c:pt>
                <c:pt idx="67">
                  <c:v>532.46969417446041</c:v>
                </c:pt>
                <c:pt idx="68">
                  <c:v>547.05108794372802</c:v>
                </c:pt>
                <c:pt idx="69">
                  <c:v>561.62433003260401</c:v>
                </c:pt>
                <c:pt idx="70">
                  <c:v>576.189661669972</c:v>
                </c:pt>
                <c:pt idx="71">
                  <c:v>499.41562163511867</c:v>
                </c:pt>
                <c:pt idx="72">
                  <c:v>512.72849407235992</c:v>
                </c:pt>
                <c:pt idx="73">
                  <c:v>526.034069299154</c:v>
                </c:pt>
                <c:pt idx="74">
                  <c:v>539.3325578512198</c:v>
                </c:pt>
                <c:pt idx="75">
                  <c:v>552.62415903802309</c:v>
                </c:pt>
                <c:pt idx="76">
                  <c:v>565.48061924570618</c:v>
                </c:pt>
                <c:pt idx="77">
                  <c:v>578.33096894357777</c:v>
                </c:pt>
                <c:pt idx="78">
                  <c:v>591.17536299398307</c:v>
                </c:pt>
                <c:pt idx="79">
                  <c:v>604.01394898353044</c:v>
                </c:pt>
                <c:pt idx="80">
                  <c:v>616.84686771553959</c:v>
                </c:pt>
                <c:pt idx="81">
                  <c:v>538.90368289481694</c:v>
                </c:pt>
                <c:pt idx="82">
                  <c:v>550.9094940154298</c:v>
                </c:pt>
                <c:pt idx="83">
                  <c:v>562.90982113451889</c:v>
                </c:pt>
                <c:pt idx="84">
                  <c:v>574.90479761309098</c:v>
                </c:pt>
                <c:pt idx="85">
                  <c:v>586.89455079472907</c:v>
                </c:pt>
                <c:pt idx="86">
                  <c:v>598.87920239707967</c:v>
                </c:pt>
                <c:pt idx="87">
                  <c:v>610.85886887038032</c:v>
                </c:pt>
                <c:pt idx="88">
                  <c:v>622.83366172641229</c:v>
                </c:pt>
                <c:pt idx="89">
                  <c:v>634.8036878408484</c:v>
                </c:pt>
                <c:pt idx="90">
                  <c:v>646.76904973162061</c:v>
                </c:pt>
                <c:pt idx="91">
                  <c:v>567.40855737534105</c:v>
                </c:pt>
                <c:pt idx="92">
                  <c:v>577.90272074471397</c:v>
                </c:pt>
                <c:pt idx="93">
                  <c:v>588.39290880026408</c:v>
                </c:pt>
                <c:pt idx="94">
                  <c:v>598.87920239707967</c:v>
                </c:pt>
                <c:pt idx="95">
                  <c:v>609.36167932827175</c:v>
                </c:pt>
                <c:pt idx="96">
                  <c:v>619.84041449272581</c:v>
                </c:pt>
                <c:pt idx="97">
                  <c:v>630.31548005092702</c:v>
                </c:pt>
                <c:pt idx="98">
                  <c:v>640.78694556988739</c:v>
                </c:pt>
                <c:pt idx="99">
                  <c:v>651.25487815811346</c:v>
                </c:pt>
                <c:pt idx="100">
                  <c:v>661.71934259144484</c:v>
                </c:pt>
                <c:pt idx="101">
                  <c:v>581.3285213801496</c:v>
                </c:pt>
                <c:pt idx="102">
                  <c:v>590.74731089993509</c:v>
                </c:pt>
                <c:pt idx="103">
                  <c:v>600.16297452894128</c:v>
                </c:pt>
                <c:pt idx="104">
                  <c:v>609.57556821855712</c:v>
                </c:pt>
                <c:pt idx="105">
                  <c:v>618.98514605149137</c:v>
                </c:pt>
                <c:pt idx="106">
                  <c:v>628.39176033224737</c:v>
                </c:pt>
                <c:pt idx="107">
                  <c:v>637.79546167190244</c:v>
                </c:pt>
                <c:pt idx="108">
                  <c:v>647.19629906762464</c:v>
                </c:pt>
                <c:pt idx="109">
                  <c:v>656.59431997733509</c:v>
                </c:pt>
                <c:pt idx="110">
                  <c:v>665.98957038987078</c:v>
                </c:pt>
                <c:pt idx="111">
                  <c:v>590.53328243145177</c:v>
                </c:pt>
                <c:pt idx="112">
                  <c:v>598.45126564391705</c:v>
                </c:pt>
                <c:pt idx="113">
                  <c:v>606.36707095513827</c:v>
                </c:pt>
                <c:pt idx="114">
                  <c:v>614.28073080742126</c:v>
                </c:pt>
                <c:pt idx="115">
                  <c:v>622.19227673896842</c:v>
                </c:pt>
                <c:pt idx="116">
                  <c:v>630.10173942049676</c:v>
                </c:pt>
                <c:pt idx="117">
                  <c:v>638.00914868992402</c:v>
                </c:pt>
                <c:pt idx="118">
                  <c:v>645.91453358524438</c:v>
                </c:pt>
                <c:pt idx="119">
                  <c:v>653.81792237571324</c:v>
                </c:pt>
                <c:pt idx="120">
                  <c:v>661.71934259144427</c:v>
                </c:pt>
                <c:pt idx="121">
                  <c:v>593.74354023634271</c:v>
                </c:pt>
                <c:pt idx="122">
                  <c:v>600.59088588094244</c:v>
                </c:pt>
                <c:pt idx="123">
                  <c:v>607.43660911597419</c:v>
                </c:pt>
                <c:pt idx="124">
                  <c:v>614.28073080742081</c:v>
                </c:pt>
                <c:pt idx="125">
                  <c:v>621.12327131831046</c:v>
                </c:pt>
                <c:pt idx="126">
                  <c:v>627.96425052636573</c:v>
                </c:pt>
                <c:pt idx="127">
                  <c:v>634.80368784084692</c:v>
                </c:pt>
                <c:pt idx="128">
                  <c:v>641.64160221862994</c:v>
                </c:pt>
                <c:pt idx="129">
                  <c:v>648.47801217956373</c:v>
                </c:pt>
                <c:pt idx="130">
                  <c:v>655.31293582114483</c:v>
                </c:pt>
                <c:pt idx="131">
                  <c:v>594.81354579947072</c:v>
                </c:pt>
                <c:pt idx="132">
                  <c:v>600.59088588094198</c:v>
                </c:pt>
                <c:pt idx="133">
                  <c:v>606.36707095513759</c:v>
                </c:pt>
                <c:pt idx="134">
                  <c:v>612.14211357944589</c:v>
                </c:pt>
                <c:pt idx="135">
                  <c:v>617.91602605493142</c:v>
                </c:pt>
                <c:pt idx="136">
                  <c:v>623.68882043396547</c:v>
                </c:pt>
                <c:pt idx="137">
                  <c:v>629.4605085275598</c:v>
                </c:pt>
                <c:pt idx="138">
                  <c:v>635.23110191241733</c:v>
                </c:pt>
                <c:pt idx="139">
                  <c:v>641.0006119377133</c:v>
                </c:pt>
                <c:pt idx="140">
                  <c:v>646.76904973161891</c:v>
                </c:pt>
                <c:pt idx="141">
                  <c:v>594.17154727265245</c:v>
                </c:pt>
                <c:pt idx="142">
                  <c:v>599.30713279218094</c:v>
                </c:pt>
                <c:pt idx="143">
                  <c:v>604.44180348405064</c:v>
                </c:pt>
                <c:pt idx="144">
                  <c:v>609.57556821855599</c:v>
                </c:pt>
                <c:pt idx="145">
                  <c:v>614.7084357043459</c:v>
                </c:pt>
                <c:pt idx="146">
                  <c:v>619.84041449272411</c:v>
                </c:pt>
                <c:pt idx="147">
                  <c:v>624.97151298179995</c:v>
                </c:pt>
                <c:pt idx="148">
                  <c:v>630.10173942049585</c:v>
                </c:pt>
                <c:pt idx="149">
                  <c:v>635.23110191241688</c:v>
                </c:pt>
                <c:pt idx="150">
                  <c:v>640.3596084195899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2044208"/>
        <c:axId val="-662050192"/>
      </c:scatterChart>
      <c:valAx>
        <c:axId val="-66204420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50192"/>
        <c:crosses val="autoZero"/>
        <c:crossBetween val="midCat"/>
      </c:valAx>
      <c:valAx>
        <c:axId val="-66205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4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103.84617756844348</c:v>
                </c:pt>
                <c:pt idx="22">
                  <c:v>115.72319627792427</c:v>
                </c:pt>
                <c:pt idx="23">
                  <c:v>127.57039913328697</c:v>
                </c:pt>
                <c:pt idx="24">
                  <c:v>139.39094880292336</c:v>
                </c:pt>
                <c:pt idx="25">
                  <c:v>151.18742647916039</c:v>
                </c:pt>
                <c:pt idx="26">
                  <c:v>165.90240656060988</c:v>
                </c:pt>
                <c:pt idx="27">
                  <c:v>180.58657218998462</c:v>
                </c:pt>
                <c:pt idx="28">
                  <c:v>195.24278318241954</c:v>
                </c:pt>
                <c:pt idx="29">
                  <c:v>209.87343438827483</c:v>
                </c:pt>
                <c:pt idx="30">
                  <c:v>224.48055915021379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264.85390518195555</c:v>
                </c:pt>
                <c:pt idx="37">
                  <c:v>282.29065500591173</c:v>
                </c:pt>
                <c:pt idx="38">
                  <c:v>299.70327852559689</c:v>
                </c:pt>
                <c:pt idx="39">
                  <c:v>317.09337448903148</c:v>
                </c:pt>
                <c:pt idx="40">
                  <c:v>334.46235196533502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351.39860979301596</c:v>
                </c:pt>
                <c:pt idx="47">
                  <c:v>368.3169759234454</c:v>
                </c:pt>
                <c:pt idx="48">
                  <c:v>385.21838765576626</c:v>
                </c:pt>
                <c:pt idx="49">
                  <c:v>402.10369334769052</c:v>
                </c:pt>
                <c:pt idx="50">
                  <c:v>418.97366431319239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430.48617222970438</c:v>
                </c:pt>
                <c:pt idx="57">
                  <c:v>446.0997486227979</c:v>
                </c:pt>
                <c:pt idx="58">
                  <c:v>461.70162769615786</c:v>
                </c:pt>
                <c:pt idx="59">
                  <c:v>477.29226026061059</c:v>
                </c:pt>
                <c:pt idx="60">
                  <c:v>492.87206528378402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494.51143108208981</c:v>
                </c:pt>
                <c:pt idx="67">
                  <c:v>508.44143309569387</c:v>
                </c:pt>
                <c:pt idx="68">
                  <c:v>522.36337165879229</c:v>
                </c:pt>
                <c:pt idx="69">
                  <c:v>536.27749188826908</c:v>
                </c:pt>
                <c:pt idx="70">
                  <c:v>550.1840251484324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502.29685299496032</c:v>
                </c:pt>
                <c:pt idx="74">
                  <c:v>514.99392273715932</c:v>
                </c:pt>
                <c:pt idx="75">
                  <c:v>527.68438675921141</c:v>
                </c:pt>
                <c:pt idx="76">
                  <c:v>539.95936220671649</c:v>
                </c:pt>
                <c:pt idx="77">
                  <c:v>552.22847702156594</c:v>
                </c:pt>
                <c:pt idx="78">
                  <c:v>564.49187973331675</c:v>
                </c:pt>
                <c:pt idx="79">
                  <c:v>576.74971189331643</c:v>
                </c:pt>
                <c:pt idx="80">
                  <c:v>589.00210854701243</c:v>
                </c:pt>
                <c:pt idx="81">
                  <c:v>514.58444394878302</c:v>
                </c:pt>
                <c:pt idx="82">
                  <c:v>526.04727227111368</c:v>
                </c:pt>
                <c:pt idx="83">
                  <c:v>537.50484084926495</c:v>
                </c:pt>
                <c:pt idx="84">
                  <c:v>548.95727759070985</c:v>
                </c:pt>
                <c:pt idx="85">
                  <c:v>560.40470463156907</c:v>
                </c:pt>
                <c:pt idx="86">
                  <c:v>571.84723871208746</c:v>
                </c:pt>
                <c:pt idx="87">
                  <c:v>583.28499152050188</c:v>
                </c:pt>
                <c:pt idx="88">
                  <c:v>594.71807000854017</c:v>
                </c:pt>
                <c:pt idx="89">
                  <c:v>606.14657668140785</c:v>
                </c:pt>
                <c:pt idx="90">
                  <c:v>617.57060986476938</c:v>
                </c:pt>
                <c:pt idx="91">
                  <c:v>541.80009933248743</c:v>
                </c:pt>
                <c:pt idx="92">
                  <c:v>551.81959936072451</c:v>
                </c:pt>
                <c:pt idx="93">
                  <c:v>561.835286637698</c:v>
                </c:pt>
                <c:pt idx="94">
                  <c:v>571.84723871208746</c:v>
                </c:pt>
                <c:pt idx="95">
                  <c:v>581.85553019580914</c:v>
                </c:pt>
                <c:pt idx="96">
                  <c:v>591.86023292490802</c:v>
                </c:pt>
                <c:pt idx="97">
                  <c:v>601.86141610900938</c:v>
                </c:pt>
                <c:pt idx="98">
                  <c:v>611.85914647032064</c:v>
                </c:pt>
                <c:pt idx="99">
                  <c:v>621.85348837307845</c:v>
                </c:pt>
                <c:pt idx="100">
                  <c:v>631.84450394424437</c:v>
                </c:pt>
                <c:pt idx="101">
                  <c:v>555.09044325536718</c:v>
                </c:pt>
                <c:pt idx="102">
                  <c:v>564.08319015797451</c:v>
                </c:pt>
                <c:pt idx="103">
                  <c:v>573.07293899689409</c:v>
                </c:pt>
                <c:pt idx="104">
                  <c:v>582.05974343549417</c:v>
                </c:pt>
                <c:pt idx="105">
                  <c:v>591.04365534487806</c:v>
                </c:pt>
                <c:pt idx="106">
                  <c:v>600.0247248906611</c:v>
                </c:pt>
                <c:pt idx="107">
                  <c:v>609.00300061428027</c:v>
                </c:pt>
                <c:pt idx="108">
                  <c:v>617.97852950926267</c:v>
                </c:pt>
                <c:pt idx="109">
                  <c:v>626.95135709283159</c:v>
                </c:pt>
                <c:pt idx="110">
                  <c:v>635.92152747320199</c:v>
                </c:pt>
                <c:pt idx="111">
                  <c:v>563.87884304786473</c:v>
                </c:pt>
                <c:pt idx="112">
                  <c:v>571.43865976099426</c:v>
                </c:pt>
                <c:pt idx="113">
                  <c:v>578.99638763382268</c:v>
                </c:pt>
                <c:pt idx="114">
                  <c:v>586.55205778199286</c:v>
                </c:pt>
                <c:pt idx="115">
                  <c:v>594.10570045401494</c:v>
                </c:pt>
                <c:pt idx="116">
                  <c:v>601.65734506638762</c:v>
                </c:pt>
                <c:pt idx="117">
                  <c:v>609.20702023686624</c:v>
                </c:pt>
                <c:pt idx="118">
                  <c:v>616.75475381599438</c:v>
                </c:pt>
                <c:pt idx="119">
                  <c:v>624.300572917012</c:v>
                </c:pt>
                <c:pt idx="120">
                  <c:v>631.84450394424357</c:v>
                </c:pt>
                <c:pt idx="121">
                  <c:v>566.94388739716328</c:v>
                </c:pt>
                <c:pt idx="122">
                  <c:v>573.48149358555565</c:v>
                </c:pt>
                <c:pt idx="123">
                  <c:v>580.01754370959543</c:v>
                </c:pt>
                <c:pt idx="124">
                  <c:v>586.55205778199274</c:v>
                </c:pt>
                <c:pt idx="125">
                  <c:v>593.08505533306914</c:v>
                </c:pt>
                <c:pt idx="126">
                  <c:v>599.61655542768813</c:v>
                </c:pt>
                <c:pt idx="127">
                  <c:v>606.1465766814066</c:v>
                </c:pt>
                <c:pt idx="128">
                  <c:v>612.67513727589676</c:v>
                </c:pt>
                <c:pt idx="129">
                  <c:v>619.20225497367471</c:v>
                </c:pt>
                <c:pt idx="130">
                  <c:v>625.72794713217661</c:v>
                </c:pt>
                <c:pt idx="131">
                  <c:v>567.96549176174028</c:v>
                </c:pt>
                <c:pt idx="132">
                  <c:v>573.48149358555554</c:v>
                </c:pt>
                <c:pt idx="133">
                  <c:v>578.99638763382234</c:v>
                </c:pt>
                <c:pt idx="134">
                  <c:v>584.51018595041944</c:v>
                </c:pt>
                <c:pt idx="135">
                  <c:v>590.0229003333842</c:v>
                </c:pt>
                <c:pt idx="136">
                  <c:v>595.53454234222977</c:v>
                </c:pt>
                <c:pt idx="137">
                  <c:v>601.04512330498039</c:v>
                </c:pt>
                <c:pt idx="138">
                  <c:v>606.55465432493247</c:v>
                </c:pt>
                <c:pt idx="139">
                  <c:v>612.06314628715938</c:v>
                </c:pt>
                <c:pt idx="140">
                  <c:v>617.57060986476779</c:v>
                </c:pt>
                <c:pt idx="141">
                  <c:v>567.35253375731406</c:v>
                </c:pt>
                <c:pt idx="142">
                  <c:v>572.25581156511964</c:v>
                </c:pt>
                <c:pt idx="143">
                  <c:v>577.15821195532533</c:v>
                </c:pt>
                <c:pt idx="144">
                  <c:v>582.05974343549315</c:v>
                </c:pt>
                <c:pt idx="145">
                  <c:v>586.96041435814834</c:v>
                </c:pt>
                <c:pt idx="146">
                  <c:v>591.86023292490643</c:v>
                </c:pt>
                <c:pt idx="147">
                  <c:v>596.75920719045291</c:v>
                </c:pt>
                <c:pt idx="148">
                  <c:v>601.65734506638671</c:v>
                </c:pt>
                <c:pt idx="149">
                  <c:v>606.55465432493213</c:v>
                </c:pt>
                <c:pt idx="150">
                  <c:v>611.45114260252456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2049104"/>
        <c:axId val="-662035504"/>
      </c:scatterChart>
      <c:valAx>
        <c:axId val="-6620491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35504"/>
        <c:crosses val="autoZero"/>
        <c:crossBetween val="midCat"/>
      </c:valAx>
      <c:valAx>
        <c:axId val="-66203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9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3.2703410613260862</c:v>
                </c:pt>
                <c:pt idx="2">
                  <c:v>3.9161437254808931</c:v>
                </c:pt>
                <c:pt idx="3">
                  <c:v>4.6899445270810372</c:v>
                </c:pt>
                <c:pt idx="4">
                  <c:v>5.617200485549847</c:v>
                </c:pt>
                <c:pt idx="5">
                  <c:v>6.7284480012868242</c:v>
                </c:pt>
                <c:pt idx="6">
                  <c:v>8.0603193640911446</c:v>
                </c:pt>
                <c:pt idx="7">
                  <c:v>9.6567632502780452</c:v>
                </c:pt>
                <c:pt idx="8">
                  <c:v>11.570510247422023</c:v>
                </c:pt>
                <c:pt idx="9">
                  <c:v>13.864832720969302</c:v>
                </c:pt>
                <c:pt idx="10">
                  <c:v>16.61565828443106</c:v>
                </c:pt>
                <c:pt idx="11">
                  <c:v>19.914108093024186</c:v>
                </c:pt>
                <c:pt idx="12">
                  <c:v>23.869545556641487</c:v>
                </c:pt>
                <c:pt idx="13">
                  <c:v>28.613238351676909</c:v>
                </c:pt>
                <c:pt idx="14">
                  <c:v>34.302757391640604</c:v>
                </c:pt>
                <c:pt idx="15">
                  <c:v>41.127261402376554</c:v>
                </c:pt>
                <c:pt idx="16">
                  <c:v>49.313845791603399</c:v>
                </c:pt>
                <c:pt idx="17">
                  <c:v>59.135170630109862</c:v>
                </c:pt>
                <c:pt idx="18">
                  <c:v>70.918626007223153</c:v>
                </c:pt>
                <c:pt idx="19">
                  <c:v>85.057345270772814</c:v>
                </c:pt>
                <c:pt idx="20">
                  <c:v>102.02343949799173</c:v>
                </c:pt>
                <c:pt idx="21">
                  <c:v>115.24488471715169</c:v>
                </c:pt>
                <c:pt idx="22">
                  <c:v>128.42920528646451</c:v>
                </c:pt>
                <c:pt idx="23">
                  <c:v>141.58075430337479</c:v>
                </c:pt>
                <c:pt idx="24">
                  <c:v>154.70300795717847</c:v>
                </c:pt>
                <c:pt idx="25">
                  <c:v>167.79880331835713</c:v>
                </c:pt>
                <c:pt idx="26">
                  <c:v>184.1348953873202</c:v>
                </c:pt>
                <c:pt idx="27">
                  <c:v>200.43711831314488</c:v>
                </c:pt>
                <c:pt idx="28">
                  <c:v>216.70861540949173</c:v>
                </c:pt>
                <c:pt idx="29">
                  <c:v>232.95201893246733</c:v>
                </c:pt>
                <c:pt idx="30">
                  <c:v>249.16956379358496</c:v>
                </c:pt>
                <c:pt idx="31">
                  <c:v>200.43711831314488</c:v>
                </c:pt>
                <c:pt idx="32">
                  <c:v>219.03076565248196</c:v>
                </c:pt>
                <c:pt idx="33">
                  <c:v>237.58815254200749</c:v>
                </c:pt>
                <c:pt idx="34">
                  <c:v>256.1125096163592</c:v>
                </c:pt>
                <c:pt idx="35">
                  <c:v>274.60656174697812</c:v>
                </c:pt>
                <c:pt idx="36">
                  <c:v>293.99524327269938</c:v>
                </c:pt>
                <c:pt idx="37">
                  <c:v>313.35539693038533</c:v>
                </c:pt>
                <c:pt idx="38">
                  <c:v>332.68903260064207</c:v>
                </c:pt>
                <c:pt idx="39">
                  <c:v>351.99790751820501</c:v>
                </c:pt>
                <c:pt idx="40">
                  <c:v>371.28357043570503</c:v>
                </c:pt>
                <c:pt idx="41">
                  <c:v>293.99524327269938</c:v>
                </c:pt>
                <c:pt idx="42">
                  <c:v>313.35539693038538</c:v>
                </c:pt>
                <c:pt idx="43">
                  <c:v>332.68903260064207</c:v>
                </c:pt>
                <c:pt idx="44">
                  <c:v>351.99790751820518</c:v>
                </c:pt>
                <c:pt idx="45">
                  <c:v>371.28357043570503</c:v>
                </c:pt>
                <c:pt idx="46">
                  <c:v>390.08897772661572</c:v>
                </c:pt>
                <c:pt idx="47">
                  <c:v>408.87471968472323</c:v>
                </c:pt>
                <c:pt idx="48">
                  <c:v>427.6418265252899</c:v>
                </c:pt>
                <c:pt idx="49">
                  <c:v>446.39123070522641</c:v>
                </c:pt>
                <c:pt idx="50">
                  <c:v>465.12378000022358</c:v>
                </c:pt>
                <c:pt idx="51">
                  <c:v>387.33822121677048</c:v>
                </c:pt>
                <c:pt idx="52">
                  <c:v>405.66874423568089</c:v>
                </c:pt>
                <c:pt idx="53">
                  <c:v>423.98137001578152</c:v>
                </c:pt>
                <c:pt idx="54">
                  <c:v>442.27697999035109</c:v>
                </c:pt>
                <c:pt idx="55">
                  <c:v>460.55637675309475</c:v>
                </c:pt>
                <c:pt idx="56">
                  <c:v>477.9074551778013</c:v>
                </c:pt>
                <c:pt idx="57">
                  <c:v>495.24514214260324</c:v>
                </c:pt>
                <c:pt idx="58">
                  <c:v>512.56997221170479</c:v>
                </c:pt>
                <c:pt idx="59">
                  <c:v>529.88244088560566</c:v>
                </c:pt>
                <c:pt idx="60">
                  <c:v>547.18300866493462</c:v>
                </c:pt>
                <c:pt idx="61">
                  <c:v>467.86376222658549</c:v>
                </c:pt>
                <c:pt idx="62">
                  <c:v>484.29655280391279</c:v>
                </c:pt>
                <c:pt idx="63">
                  <c:v>500.71750586625211</c:v>
                </c:pt>
                <c:pt idx="64">
                  <c:v>517.12706410485578</c:v>
                </c:pt>
                <c:pt idx="65">
                  <c:v>533.52563983842992</c:v>
                </c:pt>
                <c:pt idx="66">
                  <c:v>549.00344654997514</c:v>
                </c:pt>
                <c:pt idx="67">
                  <c:v>564.47210457381163</c:v>
                </c:pt>
                <c:pt idx="68">
                  <c:v>579.93189980305101</c:v>
                </c:pt>
                <c:pt idx="69">
                  <c:v>595.38310165344672</c:v>
                </c:pt>
                <c:pt idx="70">
                  <c:v>610.82596442485954</c:v>
                </c:pt>
                <c:pt idx="71">
                  <c:v>529.42700402201569</c:v>
                </c:pt>
                <c:pt idx="72">
                  <c:v>543.54175115137775</c:v>
                </c:pt>
                <c:pt idx="73">
                  <c:v>557.64880567125817</c:v>
                </c:pt>
                <c:pt idx="74">
                  <c:v>571.74838952524453</c:v>
                </c:pt>
                <c:pt idx="75">
                  <c:v>585.84071282237744</c:v>
                </c:pt>
                <c:pt idx="76">
                  <c:v>599.47171971380669</c:v>
                </c:pt>
                <c:pt idx="77">
                  <c:v>613.09628499771316</c:v>
                </c:pt>
                <c:pt idx="78">
                  <c:v>626.71457192765104</c:v>
                </c:pt>
                <c:pt idx="79">
                  <c:v>640.3267360872029</c:v>
                </c:pt>
                <c:pt idx="80">
                  <c:v>653.93292590911028</c:v>
                </c:pt>
                <c:pt idx="81">
                  <c:v>571.29367866642974</c:v>
                </c:pt>
                <c:pt idx="82">
                  <c:v>584.02274942390272</c:v>
                </c:pt>
                <c:pt idx="83">
                  <c:v>596.74603902946512</c:v>
                </c:pt>
                <c:pt idx="84">
                  <c:v>609.46368807028375</c:v>
                </c:pt>
                <c:pt idx="85">
                  <c:v>622.17583079004874</c:v>
                </c:pt>
                <c:pt idx="86">
                  <c:v>634.88259550167152</c:v>
                </c:pt>
                <c:pt idx="87">
                  <c:v>647.58410496524095</c:v>
                </c:pt>
                <c:pt idx="88">
                  <c:v>660.28047673479932</c:v>
                </c:pt>
                <c:pt idx="89">
                  <c:v>672.97182347707314</c:v>
                </c:pt>
                <c:pt idx="90">
                  <c:v>685.6582532649245</c:v>
                </c:pt>
                <c:pt idx="91">
                  <c:v>601.51581107912773</c:v>
                </c:pt>
                <c:pt idx="92">
                  <c:v>612.64223485726768</c:v>
                </c:pt>
                <c:pt idx="93">
                  <c:v>623.76446791937644</c:v>
                </c:pt>
                <c:pt idx="94">
                  <c:v>634.88259550167152</c:v>
                </c:pt>
                <c:pt idx="95">
                  <c:v>645.9966996124798</c:v>
                </c:pt>
                <c:pt idx="96">
                  <c:v>657.10685920908043</c:v>
                </c:pt>
                <c:pt idx="97">
                  <c:v>668.21315036197109</c:v>
                </c:pt>
                <c:pt idx="98">
                  <c:v>679.31564640764952</c:v>
                </c:pt>
                <c:pt idx="99">
                  <c:v>690.41441809089304</c:v>
                </c:pt>
                <c:pt idx="100">
                  <c:v>701.50953369741819</c:v>
                </c:pt>
                <c:pt idx="101">
                  <c:v>616.27444100355058</c:v>
                </c:pt>
                <c:pt idx="102">
                  <c:v>626.26072851795254</c:v>
                </c:pt>
                <c:pt idx="103">
                  <c:v>636.24372076531768</c:v>
                </c:pt>
                <c:pt idx="104">
                  <c:v>646.22347672875867</c:v>
                </c:pt>
                <c:pt idx="105">
                  <c:v>656.20005342145294</c:v>
                </c:pt>
                <c:pt idx="106">
                  <c:v>666.17350598202211</c:v>
                </c:pt>
                <c:pt idx="107">
                  <c:v>676.14388776390103</c:v>
                </c:pt>
                <c:pt idx="108">
                  <c:v>686.11125041916887</c:v>
                </c:pt>
                <c:pt idx="109">
                  <c:v>696.07564397725127</c:v>
                </c:pt>
                <c:pt idx="110">
                  <c:v>706.03711691888873</c:v>
                </c:pt>
                <c:pt idx="111">
                  <c:v>626.03380426043748</c:v>
                </c:pt>
                <c:pt idx="112">
                  <c:v>634.42887368259915</c:v>
                </c:pt>
                <c:pt idx="113">
                  <c:v>642.82164719403158</c:v>
                </c:pt>
                <c:pt idx="114">
                  <c:v>651.21215899492529</c:v>
                </c:pt>
                <c:pt idx="115">
                  <c:v>659.6004423323792</c:v>
                </c:pt>
                <c:pt idx="116">
                  <c:v>667.98652953900148</c:v>
                </c:pt>
                <c:pt idx="117">
                  <c:v>676.37045206947607</c:v>
                </c:pt>
                <c:pt idx="118">
                  <c:v>684.75224053521981</c:v>
                </c:pt>
                <c:pt idx="119">
                  <c:v>693.13192473725633</c:v>
                </c:pt>
                <c:pt idx="120">
                  <c:v>701.50953369741762</c:v>
                </c:pt>
                <c:pt idx="121">
                  <c:v>629.43748973150025</c:v>
                </c:pt>
                <c:pt idx="122">
                  <c:v>636.6974158068673</c:v>
                </c:pt>
                <c:pt idx="123">
                  <c:v>643.95563156247397</c:v>
                </c:pt>
                <c:pt idx="124">
                  <c:v>651.21215899492529</c:v>
                </c:pt>
                <c:pt idx="125">
                  <c:v>658.46701957061839</c:v>
                </c:pt>
                <c:pt idx="126">
                  <c:v>665.72023424435065</c:v>
                </c:pt>
                <c:pt idx="127">
                  <c:v>672.97182347707178</c:v>
                </c:pt>
                <c:pt idx="128">
                  <c:v>680.22180725283522</c:v>
                </c:pt>
                <c:pt idx="129">
                  <c:v>687.47020509498645</c:v>
                </c:pt>
                <c:pt idx="130">
                  <c:v>694.71703608163534</c:v>
                </c:pt>
                <c:pt idx="131">
                  <c:v>630.57196682840777</c:v>
                </c:pt>
                <c:pt idx="132">
                  <c:v>636.69741580686696</c:v>
                </c:pt>
                <c:pt idx="133">
                  <c:v>642.8216471940309</c:v>
                </c:pt>
                <c:pt idx="134">
                  <c:v>648.94467422770936</c:v>
                </c:pt>
                <c:pt idx="135">
                  <c:v>655.06650987549995</c:v>
                </c:pt>
                <c:pt idx="136">
                  <c:v>661.18716684283038</c:v>
                </c:pt>
                <c:pt idx="137">
                  <c:v>667.30665758069279</c:v>
                </c:pt>
                <c:pt idx="138">
                  <c:v>673.42499429307202</c:v>
                </c:pt>
                <c:pt idx="139">
                  <c:v>679.54218894409837</c:v>
                </c:pt>
                <c:pt idx="140">
                  <c:v>685.65825326492302</c:v>
                </c:pt>
                <c:pt idx="141">
                  <c:v>629.89128564200882</c:v>
                </c:pt>
                <c:pt idx="142">
                  <c:v>635.33631061817096</c:v>
                </c:pt>
                <c:pt idx="143">
                  <c:v>640.78037119677663</c:v>
                </c:pt>
                <c:pt idx="144">
                  <c:v>646.2234767287573</c:v>
                </c:pt>
                <c:pt idx="145">
                  <c:v>651.66563639463936</c:v>
                </c:pt>
                <c:pt idx="146">
                  <c:v>657.10685920907861</c:v>
                </c:pt>
                <c:pt idx="147">
                  <c:v>662.54715402523584</c:v>
                </c:pt>
                <c:pt idx="148">
                  <c:v>667.98652953900034</c:v>
                </c:pt>
                <c:pt idx="149">
                  <c:v>673.42499429307145</c:v>
                </c:pt>
                <c:pt idx="150">
                  <c:v>678.86255668089746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2040944"/>
        <c:axId val="-662040400"/>
      </c:scatterChart>
      <c:valAx>
        <c:axId val="-66204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0400"/>
        <c:crosses val="autoZero"/>
        <c:crossBetween val="midCat"/>
      </c:valAx>
      <c:valAx>
        <c:axId val="-66204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2.226622737697221</c:v>
                </c:pt>
                <c:pt idx="2">
                  <c:v>2.8625265097424397</c:v>
                </c:pt>
                <c:pt idx="3">
                  <c:v>3.6807673232046039</c:v>
                </c:pt>
                <c:pt idx="4">
                  <c:v>4.7338249191760466</c:v>
                </c:pt>
                <c:pt idx="5">
                  <c:v>6.0893366647592657</c:v>
                </c:pt>
                <c:pt idx="6">
                  <c:v>7.8344897360718626</c:v>
                </c:pt>
                <c:pt idx="7">
                  <c:v>10.081689817520575</c:v>
                </c:pt>
                <c:pt idx="8">
                  <c:v>12.975878330143091</c:v>
                </c:pt>
                <c:pt idx="9">
                  <c:v>16.70397888629628</c:v>
                </c:pt>
                <c:pt idx="10">
                  <c:v>21.507094176298665</c:v>
                </c:pt>
                <c:pt idx="11">
                  <c:v>27.696256162013025</c:v>
                </c:pt>
                <c:pt idx="12">
                  <c:v>35.672767364515572</c:v>
                </c:pt>
                <c:pt idx="13">
                  <c:v>45.954474822239945</c:v>
                </c:pt>
                <c:pt idx="14">
                  <c:v>59.209711195430032</c:v>
                </c:pt>
                <c:pt idx="15">
                  <c:v>76.301145689172856</c:v>
                </c:pt>
                <c:pt idx="16">
                  <c:v>88.457340034120918</c:v>
                </c:pt>
                <c:pt idx="17">
                  <c:v>100.57156022593183</c:v>
                </c:pt>
                <c:pt idx="18">
                  <c:v>112.64958590196655</c:v>
                </c:pt>
                <c:pt idx="19">
                  <c:v>124.69585112217392</c:v>
                </c:pt>
                <c:pt idx="20">
                  <c:v>136.71386058122562</c:v>
                </c:pt>
                <c:pt idx="21">
                  <c:v>113.40336758500625</c:v>
                </c:pt>
                <c:pt idx="22">
                  <c:v>125.82369159890273</c:v>
                </c:pt>
                <c:pt idx="23">
                  <c:v>138.21427227726235</c:v>
                </c:pt>
                <c:pt idx="24">
                  <c:v>150.57815464878283</c:v>
                </c:pt>
                <c:pt idx="25">
                  <c:v>162.91784180635725</c:v>
                </c:pt>
                <c:pt idx="26">
                  <c:v>174.6759892646526</c:v>
                </c:pt>
                <c:pt idx="27">
                  <c:v>186.41554721296791</c:v>
                </c:pt>
                <c:pt idx="28">
                  <c:v>198.13785215720918</c:v>
                </c:pt>
                <c:pt idx="29">
                  <c:v>209.8440693666619</c:v>
                </c:pt>
                <c:pt idx="30">
                  <c:v>221.53522335108485</c:v>
                </c:pt>
                <c:pt idx="31">
                  <c:v>185.2982570323903</c:v>
                </c:pt>
                <c:pt idx="32">
                  <c:v>196.46424765821197</c:v>
                </c:pt>
                <c:pt idx="33">
                  <c:v>207.61550464114839</c:v>
                </c:pt>
                <c:pt idx="34">
                  <c:v>218.7529314533075</c:v>
                </c:pt>
                <c:pt idx="35">
                  <c:v>229.8773319666974</c:v>
                </c:pt>
                <c:pt idx="36">
                  <c:v>240.24898910471029</c:v>
                </c:pt>
                <c:pt idx="37">
                  <c:v>250.61045481310325</c:v>
                </c:pt>
                <c:pt idx="38">
                  <c:v>260.96221015972299</c:v>
                </c:pt>
                <c:pt idx="39">
                  <c:v>271.30469489980919</c:v>
                </c:pt>
                <c:pt idx="40">
                  <c:v>281.63831249761358</c:v>
                </c:pt>
                <c:pt idx="41">
                  <c:v>241.5447193683236</c:v>
                </c:pt>
                <c:pt idx="42">
                  <c:v>251.35018250509077</c:v>
                </c:pt>
                <c:pt idx="43">
                  <c:v>261.14697743122923</c:v>
                </c:pt>
                <c:pt idx="44">
                  <c:v>270.93547543188362</c:v>
                </c:pt>
                <c:pt idx="45">
                  <c:v>280.71601875158382</c:v>
                </c:pt>
                <c:pt idx="46">
                  <c:v>289.75160586553034</c:v>
                </c:pt>
                <c:pt idx="47">
                  <c:v>298.78089686477716</c:v>
                </c:pt>
                <c:pt idx="48">
                  <c:v>307.80410900253173</c:v>
                </c:pt>
                <c:pt idx="49">
                  <c:v>316.82144574470937</c:v>
                </c:pt>
                <c:pt idx="50">
                  <c:v>325.8330980209808</c:v>
                </c:pt>
                <c:pt idx="51">
                  <c:v>287.17066187581446</c:v>
                </c:pt>
                <c:pt idx="52">
                  <c:v>295.46473202474721</c:v>
                </c:pt>
                <c:pt idx="53">
                  <c:v>303.75360952955964</c:v>
                </c:pt>
                <c:pt idx="54">
                  <c:v>312.03745619949137</c:v>
                </c:pt>
                <c:pt idx="55">
                  <c:v>320.31642454362617</c:v>
                </c:pt>
                <c:pt idx="56">
                  <c:v>328.03918745937807</c:v>
                </c:pt>
                <c:pt idx="57">
                  <c:v>335.75793717547276</c:v>
                </c:pt>
                <c:pt idx="58">
                  <c:v>343.47277904595654</c:v>
                </c:pt>
                <c:pt idx="59">
                  <c:v>351.1838133017921</c:v>
                </c:pt>
                <c:pt idx="60">
                  <c:v>358.89113540947909</c:v>
                </c:pt>
                <c:pt idx="61">
                  <c:v>323.07502170283419</c:v>
                </c:pt>
                <c:pt idx="62">
                  <c:v>330.42874810515195</c:v>
                </c:pt>
                <c:pt idx="63">
                  <c:v>337.77886455023247</c:v>
                </c:pt>
                <c:pt idx="64">
                  <c:v>345.12546074519736</c:v>
                </c:pt>
                <c:pt idx="65">
                  <c:v>352.46862226287652</c:v>
                </c:pt>
                <c:pt idx="66">
                  <c:v>359.62497583302707</c:v>
                </c:pt>
                <c:pt idx="67">
                  <c:v>366.77821443674179</c:v>
                </c:pt>
                <c:pt idx="68">
                  <c:v>373.92840744681308</c:v>
                </c:pt>
                <c:pt idx="69">
                  <c:v>381.0756213642569</c:v>
                </c:pt>
                <c:pt idx="70">
                  <c:v>388.21991999001654</c:v>
                </c:pt>
                <c:pt idx="71">
                  <c:v>355.40494358786822</c:v>
                </c:pt>
                <c:pt idx="72">
                  <c:v>362.00973132142713</c:v>
                </c:pt>
                <c:pt idx="73">
                  <c:v>368.61188489876866</c:v>
                </c:pt>
                <c:pt idx="74">
                  <c:v>375.21145820009173</c:v>
                </c:pt>
                <c:pt idx="75">
                  <c:v>381.80850305381119</c:v>
                </c:pt>
                <c:pt idx="76">
                  <c:v>387.85361564101663</c:v>
                </c:pt>
                <c:pt idx="77">
                  <c:v>393.89668264259575</c:v>
                </c:pt>
                <c:pt idx="78">
                  <c:v>399.93773989825166</c:v>
                </c:pt>
                <c:pt idx="79">
                  <c:v>405.97682207564725</c:v>
                </c:pt>
                <c:pt idx="80">
                  <c:v>412.01396272598703</c:v>
                </c:pt>
                <c:pt idx="81">
                  <c:v>380.34270900980056</c:v>
                </c:pt>
                <c:pt idx="82">
                  <c:v>386.2051529766095</c:v>
                </c:pt>
                <c:pt idx="83">
                  <c:v>392.06566407054515</c:v>
                </c:pt>
                <c:pt idx="84">
                  <c:v>397.9242752879988</c:v>
                </c:pt>
                <c:pt idx="85">
                  <c:v>403.78101857356387</c:v>
                </c:pt>
                <c:pt idx="86">
                  <c:v>409.27004647130326</c:v>
                </c:pt>
                <c:pt idx="87">
                  <c:v>414.75748456475031</c:v>
                </c:pt>
                <c:pt idx="88">
                  <c:v>420.24335687514667</c:v>
                </c:pt>
                <c:pt idx="89">
                  <c:v>425.72768674484382</c:v>
                </c:pt>
                <c:pt idx="90">
                  <c:v>431.21049686518558</c:v>
                </c:pt>
                <c:pt idx="91">
                  <c:v>401.76797181151136</c:v>
                </c:pt>
                <c:pt idx="92">
                  <c:v>407.07462745738621</c:v>
                </c:pt>
                <c:pt idx="93">
                  <c:v>412.37978836079861</c:v>
                </c:pt>
                <c:pt idx="94">
                  <c:v>417.6834764831122</c:v>
                </c:pt>
                <c:pt idx="95">
                  <c:v>422.98571318193194</c:v>
                </c:pt>
                <c:pt idx="96">
                  <c:v>428.10375641326408</c:v>
                </c:pt>
                <c:pt idx="97">
                  <c:v>433.22048417506704</c:v>
                </c:pt>
                <c:pt idx="98">
                  <c:v>438.33591421069946</c:v>
                </c:pt>
                <c:pt idx="99">
                  <c:v>443.45006381522575</c:v>
                </c:pt>
                <c:pt idx="100">
                  <c:v>448.56294985189817</c:v>
                </c:pt>
                <c:pt idx="101">
                  <c:v>421.15751834664781</c:v>
                </c:pt>
                <c:pt idx="102">
                  <c:v>425.72768674484382</c:v>
                </c:pt>
                <c:pt idx="103">
                  <c:v>430.29679977258542</c:v>
                </c:pt>
                <c:pt idx="104">
                  <c:v>434.86487022897177</c:v>
                </c:pt>
                <c:pt idx="105">
                  <c:v>439.43191062199884</c:v>
                </c:pt>
                <c:pt idx="106">
                  <c:v>444.18055307943456</c:v>
                </c:pt>
                <c:pt idx="107">
                  <c:v>448.92810808361338</c:v>
                </c:pt>
                <c:pt idx="108">
                  <c:v>453.67458876784752</c:v>
                </c:pt>
                <c:pt idx="109">
                  <c:v>458.42000796797294</c:v>
                </c:pt>
                <c:pt idx="110">
                  <c:v>463.16437823216773</c:v>
                </c:pt>
                <c:pt idx="111">
                  <c:v>3.1457867471021712E-12</c:v>
                </c:pt>
                <c:pt idx="112">
                  <c:v>3.1457867471021712E-12</c:v>
                </c:pt>
                <c:pt idx="113">
                  <c:v>3.1457867471021712E-12</c:v>
                </c:pt>
                <c:pt idx="114">
                  <c:v>3.1457867471021712E-12</c:v>
                </c:pt>
                <c:pt idx="115">
                  <c:v>3.1457867471021712E-12</c:v>
                </c:pt>
                <c:pt idx="116">
                  <c:v>3.1457867471021712E-12</c:v>
                </c:pt>
                <c:pt idx="117">
                  <c:v>3.1457867471021712E-12</c:v>
                </c:pt>
                <c:pt idx="118">
                  <c:v>3.1457867471021712E-12</c:v>
                </c:pt>
                <c:pt idx="119">
                  <c:v>3.1457867471021712E-12</c:v>
                </c:pt>
                <c:pt idx="120">
                  <c:v>3.1457867471021712E-12</c:v>
                </c:pt>
                <c:pt idx="121">
                  <c:v>3.1457867471021712E-12</c:v>
                </c:pt>
                <c:pt idx="122">
                  <c:v>3.1457867471021712E-12</c:v>
                </c:pt>
                <c:pt idx="123">
                  <c:v>3.1457867471021712E-12</c:v>
                </c:pt>
                <c:pt idx="124">
                  <c:v>3.1457867471021712E-12</c:v>
                </c:pt>
                <c:pt idx="125">
                  <c:v>3.1457867471021712E-12</c:v>
                </c:pt>
                <c:pt idx="126">
                  <c:v>3.1457867471021712E-12</c:v>
                </c:pt>
                <c:pt idx="127">
                  <c:v>3.1457867471021712E-12</c:v>
                </c:pt>
                <c:pt idx="128">
                  <c:v>3.1457867471021712E-12</c:v>
                </c:pt>
                <c:pt idx="129">
                  <c:v>3.1457867471021712E-12</c:v>
                </c:pt>
                <c:pt idx="130">
                  <c:v>3.1457867471021712E-12</c:v>
                </c:pt>
                <c:pt idx="131">
                  <c:v>3.1457867471021712E-12</c:v>
                </c:pt>
                <c:pt idx="132">
                  <c:v>3.1457867471021712E-12</c:v>
                </c:pt>
                <c:pt idx="133">
                  <c:v>3.1457867471021712E-12</c:v>
                </c:pt>
                <c:pt idx="134">
                  <c:v>3.1457867471021712E-12</c:v>
                </c:pt>
                <c:pt idx="135">
                  <c:v>3.1457867471021712E-12</c:v>
                </c:pt>
                <c:pt idx="136">
                  <c:v>3.1457867471021712E-12</c:v>
                </c:pt>
                <c:pt idx="137">
                  <c:v>3.1457867471021712E-12</c:v>
                </c:pt>
                <c:pt idx="138">
                  <c:v>3.1457867471021712E-12</c:v>
                </c:pt>
                <c:pt idx="139">
                  <c:v>3.1457867471021712E-12</c:v>
                </c:pt>
                <c:pt idx="140">
                  <c:v>3.1457867471021712E-12</c:v>
                </c:pt>
                <c:pt idx="141">
                  <c:v>3.1457867471021712E-12</c:v>
                </c:pt>
                <c:pt idx="142">
                  <c:v>3.1457867471021712E-12</c:v>
                </c:pt>
                <c:pt idx="143">
                  <c:v>3.1457867471021712E-12</c:v>
                </c:pt>
                <c:pt idx="144">
                  <c:v>3.1457867471021712E-12</c:v>
                </c:pt>
                <c:pt idx="145">
                  <c:v>3.1457867471021712E-12</c:v>
                </c:pt>
                <c:pt idx="146">
                  <c:v>3.1457867471021712E-12</c:v>
                </c:pt>
                <c:pt idx="147">
                  <c:v>3.1457867471021712E-12</c:v>
                </c:pt>
                <c:pt idx="148">
                  <c:v>3.1457867471021712E-12</c:v>
                </c:pt>
                <c:pt idx="149">
                  <c:v>3.1457867471021712E-12</c:v>
                </c:pt>
                <c:pt idx="150">
                  <c:v>3.1457867471021712E-12</c:v>
                </c:pt>
                <c:pt idx="151">
                  <c:v>3.1457867471021712E-12</c:v>
                </c:pt>
                <c:pt idx="152">
                  <c:v>3.1457867471021712E-12</c:v>
                </c:pt>
                <c:pt idx="153">
                  <c:v>3.1457867471021712E-12</c:v>
                </c:pt>
                <c:pt idx="154">
                  <c:v>3.1457867471021712E-12</c:v>
                </c:pt>
                <c:pt idx="155">
                  <c:v>3.1457867471021712E-12</c:v>
                </c:pt>
                <c:pt idx="156">
                  <c:v>3.1457867471021712E-12</c:v>
                </c:pt>
                <c:pt idx="157">
                  <c:v>3.1457867471021712E-12</c:v>
                </c:pt>
                <c:pt idx="158">
                  <c:v>3.1457867471021712E-12</c:v>
                </c:pt>
                <c:pt idx="159">
                  <c:v>3.1457867471021712E-12</c:v>
                </c:pt>
                <c:pt idx="160">
                  <c:v>3.1457867471021712E-12</c:v>
                </c:pt>
                <c:pt idx="161">
                  <c:v>3.1457867471021712E-12</c:v>
                </c:pt>
                <c:pt idx="162">
                  <c:v>3.1457867471021712E-12</c:v>
                </c:pt>
                <c:pt idx="163">
                  <c:v>3.1457867471021712E-12</c:v>
                </c:pt>
                <c:pt idx="164">
                  <c:v>3.1457867471021712E-12</c:v>
                </c:pt>
                <c:pt idx="165">
                  <c:v>3.1457867471021712E-12</c:v>
                </c:pt>
                <c:pt idx="166">
                  <c:v>3.1457867471021712E-12</c:v>
                </c:pt>
                <c:pt idx="167">
                  <c:v>3.1457867471021712E-12</c:v>
                </c:pt>
                <c:pt idx="168">
                  <c:v>3.1457867471021712E-12</c:v>
                </c:pt>
                <c:pt idx="169">
                  <c:v>3.1457867471021712E-12</c:v>
                </c:pt>
                <c:pt idx="170">
                  <c:v>3.1457867471021712E-12</c:v>
                </c:pt>
                <c:pt idx="171">
                  <c:v>3.1457867471021712E-12</c:v>
                </c:pt>
                <c:pt idx="172">
                  <c:v>3.1457867471021712E-12</c:v>
                </c:pt>
                <c:pt idx="173">
                  <c:v>3.1457867471021712E-12</c:v>
                </c:pt>
                <c:pt idx="174">
                  <c:v>3.1457867471021712E-12</c:v>
                </c:pt>
                <c:pt idx="175">
                  <c:v>3.1457867471021712E-12</c:v>
                </c:pt>
                <c:pt idx="176">
                  <c:v>3.1457867471021712E-12</c:v>
                </c:pt>
                <c:pt idx="177">
                  <c:v>3.1457867471021712E-12</c:v>
                </c:pt>
                <c:pt idx="178">
                  <c:v>3.1457867471021712E-12</c:v>
                </c:pt>
                <c:pt idx="179">
                  <c:v>3.1457867471021712E-12</c:v>
                </c:pt>
                <c:pt idx="180">
                  <c:v>3.1457867471021712E-12</c:v>
                </c:pt>
                <c:pt idx="181">
                  <c:v>3.1457867471021712E-12</c:v>
                </c:pt>
                <c:pt idx="182">
                  <c:v>3.1457867471021712E-12</c:v>
                </c:pt>
                <c:pt idx="183">
                  <c:v>3.1457867471021712E-12</c:v>
                </c:pt>
                <c:pt idx="184">
                  <c:v>3.1457867471021712E-12</c:v>
                </c:pt>
                <c:pt idx="185">
                  <c:v>3.1457867471021712E-12</c:v>
                </c:pt>
                <c:pt idx="186">
                  <c:v>3.1457867471021712E-12</c:v>
                </c:pt>
                <c:pt idx="187">
                  <c:v>3.1457867471021712E-12</c:v>
                </c:pt>
                <c:pt idx="188">
                  <c:v>3.1457867471021712E-12</c:v>
                </c:pt>
                <c:pt idx="189">
                  <c:v>3.1457867471021712E-12</c:v>
                </c:pt>
                <c:pt idx="190">
                  <c:v>3.1457867471021712E-12</c:v>
                </c:pt>
                <c:pt idx="191">
                  <c:v>3.1457867471021712E-12</c:v>
                </c:pt>
                <c:pt idx="192">
                  <c:v>3.1457867471021712E-12</c:v>
                </c:pt>
                <c:pt idx="193">
                  <c:v>3.1457867471021712E-12</c:v>
                </c:pt>
                <c:pt idx="194">
                  <c:v>3.1457867471021712E-12</c:v>
                </c:pt>
                <c:pt idx="195">
                  <c:v>3.1457867471021712E-12</c:v>
                </c:pt>
                <c:pt idx="196">
                  <c:v>3.1457867471021712E-12</c:v>
                </c:pt>
                <c:pt idx="197">
                  <c:v>3.1457867471021712E-12</c:v>
                </c:pt>
                <c:pt idx="198">
                  <c:v>3.1457867471021712E-12</c:v>
                </c:pt>
                <c:pt idx="199">
                  <c:v>3.1457867471021712E-12</c:v>
                </c:pt>
                <c:pt idx="200">
                  <c:v>3.1457867471021712E-12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2048560"/>
        <c:axId val="-662049648"/>
      </c:scatterChart>
      <c:valAx>
        <c:axId val="-6620485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9648"/>
        <c:crosses val="autoZero"/>
        <c:crossBetween val="midCat"/>
      </c:valAx>
      <c:valAx>
        <c:axId val="-66204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8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2048016"/>
        <c:axId val="-662043664"/>
      </c:scatterChart>
      <c:valAx>
        <c:axId val="-66204801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3664"/>
        <c:crosses val="autoZero"/>
        <c:crossBetween val="midCat"/>
      </c:valAx>
      <c:valAx>
        <c:axId val="-66204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8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2042576"/>
        <c:axId val="-662045296"/>
      </c:scatterChart>
      <c:valAx>
        <c:axId val="-66204257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5296"/>
        <c:crosses val="autoZero"/>
        <c:crossBetween val="midCat"/>
      </c:valAx>
      <c:valAx>
        <c:axId val="-66204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2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2047472"/>
        <c:axId val="-662046384"/>
      </c:scatterChart>
      <c:valAx>
        <c:axId val="-6620474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6384"/>
        <c:crosses val="autoZero"/>
        <c:crossBetween val="midCat"/>
      </c:valAx>
      <c:valAx>
        <c:axId val="-662046384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6204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topLeftCell="H1" zoomScale="70" zoomScaleNormal="7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0" t="s">
        <v>291</v>
      </c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</row>
    <row r="13" spans="2:13" ht="15" customHeight="1" x14ac:dyDescent="0.3"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</row>
    <row r="14" spans="2:13" ht="15" customHeight="1" x14ac:dyDescent="0.3"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</row>
    <row r="15" spans="2:13" ht="18.75" customHeight="1" x14ac:dyDescent="0.3"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</row>
    <row r="16" spans="2:13" ht="18.75" customHeight="1" x14ac:dyDescent="0.3"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</row>
    <row r="18" spans="2:13" ht="12" customHeight="1" x14ac:dyDescent="0.3">
      <c r="B18" s="290" t="s">
        <v>292</v>
      </c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</row>
    <row r="19" spans="2:13" ht="12" customHeight="1" x14ac:dyDescent="0.3"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</row>
    <row r="20" spans="2:13" ht="12" customHeight="1" x14ac:dyDescent="0.3"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</row>
    <row r="21" spans="2:13" ht="12" customHeight="1" x14ac:dyDescent="0.3"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</row>
    <row r="22" spans="2:13" ht="12" customHeight="1" x14ac:dyDescent="0.3"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</row>
    <row r="23" spans="2:13" ht="12" customHeight="1" x14ac:dyDescent="0.3"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</row>
    <row r="24" spans="2:13" ht="12" customHeight="1" x14ac:dyDescent="0.3"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</row>
    <row r="25" spans="2:13" ht="12" customHeight="1" x14ac:dyDescent="0.3"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  <row r="26" spans="2:13" ht="12" customHeight="1" x14ac:dyDescent="0.3"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</row>
    <row r="27" spans="2:13" ht="12" customHeight="1" x14ac:dyDescent="0.3"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</row>
    <row r="28" spans="2:13" ht="12" customHeight="1" x14ac:dyDescent="0.3"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</row>
    <row r="29" spans="2:13" ht="12" customHeight="1" x14ac:dyDescent="0.3"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</row>
    <row r="30" spans="2:13" ht="12" customHeight="1" x14ac:dyDescent="0.3"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</row>
    <row r="31" spans="2:13" ht="12" customHeight="1" x14ac:dyDescent="0.3"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opLeftCell="A19" zoomScale="55" zoomScaleNormal="55" workbookViewId="0">
      <selection activeCell="B14" sqref="B14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1" t="s">
        <v>190</v>
      </c>
      <c r="D1" s="291"/>
      <c r="E1" s="29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6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6" t="s">
        <v>192</v>
      </c>
      <c r="C3" s="297"/>
      <c r="D3" s="297"/>
      <c r="E3" s="297"/>
      <c r="F3" s="298"/>
      <c r="G3" s="93"/>
      <c r="I3" s="226" t="s">
        <v>304</v>
      </c>
      <c r="J3" s="9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5"/>
      <c r="B4" s="95"/>
      <c r="C4" s="95"/>
      <c r="D4" s="95"/>
      <c r="E4" s="95"/>
      <c r="F4" s="95"/>
      <c r="G4" s="236"/>
      <c r="I4" s="226" t="s">
        <v>305</v>
      </c>
      <c r="J4" s="94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2" t="s">
        <v>231</v>
      </c>
      <c r="B5" s="302"/>
      <c r="C5" s="26">
        <v>4</v>
      </c>
      <c r="D5" s="303" t="s">
        <v>229</v>
      </c>
      <c r="E5" s="304"/>
      <c r="F5" s="95"/>
      <c r="G5" s="236"/>
      <c r="H5" s="237"/>
      <c r="I5" s="237"/>
      <c r="J5" s="24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6"/>
      <c r="B6" s="96"/>
      <c r="C6" s="97"/>
      <c r="D6" s="90"/>
      <c r="E6" s="90"/>
      <c r="F6" s="29"/>
      <c r="G6" s="238"/>
      <c r="H6" s="239"/>
      <c r="I6" s="239"/>
      <c r="J6" s="246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38" ht="25.8" x14ac:dyDescent="0.3">
      <c r="A7" s="300" t="s">
        <v>226</v>
      </c>
      <c r="B7" s="300"/>
      <c r="C7" s="95"/>
      <c r="D7" s="95"/>
      <c r="E7" s="5"/>
      <c r="F7" s="95"/>
      <c r="G7" s="236"/>
      <c r="H7" s="237"/>
      <c r="I7" s="237"/>
      <c r="J7" s="24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1"/>
      <c r="J8" s="24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164</v>
      </c>
      <c r="C9" s="35">
        <v>0.1</v>
      </c>
      <c r="D9" s="36">
        <f t="shared" ref="D9:D18" si="0">C9*$C$5</f>
        <v>0.4</v>
      </c>
      <c r="E9" s="37">
        <v>109</v>
      </c>
      <c r="F9" s="38" t="str">
        <f t="array" ref="F9">IF(E9="","",IF(INDEX(A:A,MAX(IF(ISNUMBER($A$36:$A$55),ROW($A$36:$A$55),"")))&lt;&gt;E9,"Corrigez : révolution incorrecte","OK"))</f>
        <v>OK</v>
      </c>
      <c r="G9" s="256" t="s">
        <v>306</v>
      </c>
      <c r="I9" s="252"/>
      <c r="J9" s="24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14</v>
      </c>
      <c r="C10" s="35">
        <v>0.3</v>
      </c>
      <c r="D10" s="36">
        <f t="shared" si="0"/>
        <v>1.2</v>
      </c>
      <c r="E10" s="37">
        <v>150</v>
      </c>
      <c r="F10" s="38" t="str">
        <f t="array" ref="F10">IF(E10="","",IF(INDEX(A:A,MAX(IF(ISNUMBER($A$62:$A$81),ROW($A$62:$A$81),"")))&lt;&gt;E10,"Corrigez : révolution incorrecte","OK"))</f>
        <v>OK</v>
      </c>
      <c r="I10" s="252"/>
      <c r="J10" s="24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12</v>
      </c>
      <c r="C11" s="35">
        <v>0.3</v>
      </c>
      <c r="D11" s="36">
        <f t="shared" si="0"/>
        <v>1.2</v>
      </c>
      <c r="E11" s="37">
        <v>150</v>
      </c>
      <c r="F11" s="38" t="str">
        <f t="array" ref="F11">IF(E11="","",IF(INDEX(A:A,MAX(IF(ISNUMBER($A$88:$A$107),ROW($A$88:$A$107),"")))&lt;&gt;E11,"Corrigez : révolution incorrecte","OK"))</f>
        <v>OK</v>
      </c>
      <c r="H11" s="229"/>
      <c r="I11" s="252"/>
      <c r="J11" s="24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1</v>
      </c>
      <c r="C12" s="35">
        <v>0.1</v>
      </c>
      <c r="D12" s="36">
        <f t="shared" si="0"/>
        <v>0.4</v>
      </c>
      <c r="E12" s="37">
        <v>150</v>
      </c>
      <c r="F12" s="38" t="str">
        <f t="array" ref="F12">IF(E12="","",IF(INDEX(A:A,MAX(IF(ISNUMBER($A$114:$A$133),ROW($A$114:$A$133),"")))&lt;&gt;E12,"Corrigez : révolution incorrecte","OK"))</f>
        <v>OK</v>
      </c>
      <c r="H12" s="229"/>
      <c r="I12" s="252"/>
      <c r="J12" s="24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52</v>
      </c>
      <c r="C13" s="35">
        <v>0.1</v>
      </c>
      <c r="D13" s="36">
        <f t="shared" si="0"/>
        <v>0.4</v>
      </c>
      <c r="E13" s="37">
        <v>150</v>
      </c>
      <c r="F13" s="38" t="str">
        <f t="array" ref="F13">IF(E13="","",IF(INDEX(A:A,MAX(IF(ISNUMBER($A$140:$A$159),ROW($A$140:$A$159),"")))&lt;&gt;E13,"Corrigez : révolution incorrecte","OK"))</f>
        <v>OK</v>
      </c>
      <c r="H13" s="229"/>
      <c r="I13" s="252"/>
      <c r="J13" s="24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50</v>
      </c>
      <c r="C14" s="35">
        <v>0.1</v>
      </c>
      <c r="D14" s="36">
        <f t="shared" si="0"/>
        <v>0.4</v>
      </c>
      <c r="E14" s="37">
        <v>110</v>
      </c>
      <c r="F14" s="38" t="str">
        <f t="array" ref="F14">IF(E14="","",IF(INDEX(A:A,MAX(IF(ISNUMBER($A$166:$A$185),ROW($A$166:$A$185),"")))&lt;&gt;E14,"Corrigez : révolution incorrecte","OK"))</f>
        <v>OK</v>
      </c>
      <c r="H14" s="229"/>
      <c r="I14" s="252"/>
      <c r="J14" s="24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29"/>
      <c r="I15" s="252"/>
      <c r="J15" s="24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29"/>
      <c r="I16" s="252"/>
      <c r="J16" s="24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29"/>
      <c r="I17" s="252"/>
      <c r="J17" s="24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29"/>
      <c r="I18" s="252"/>
      <c r="J18" s="24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98"/>
      <c r="B19" s="39" t="s">
        <v>175</v>
      </c>
      <c r="C19" s="40">
        <f>SUM(C9:C18)</f>
        <v>0.99999999999999989</v>
      </c>
      <c r="D19" s="41">
        <f>SUM(D9:D18)</f>
        <v>3.9999999999999996</v>
      </c>
      <c r="E19" s="5"/>
      <c r="F19" s="99"/>
      <c r="G19" s="240"/>
      <c r="H19" s="241"/>
      <c r="I19" s="240"/>
      <c r="J19" s="24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98"/>
      <c r="B20" s="42" t="s">
        <v>230</v>
      </c>
      <c r="C20" s="43" t="str">
        <f>IF(C19&gt;100%,"Erreur : corrigez","OK")</f>
        <v>OK</v>
      </c>
      <c r="D20" s="247"/>
      <c r="F20" s="239"/>
      <c r="G20" s="239"/>
      <c r="H20" s="241"/>
      <c r="I20" s="240"/>
      <c r="J20" s="24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2"/>
      <c r="I21" s="253"/>
      <c r="J21" s="24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299" t="s">
        <v>232</v>
      </c>
      <c r="B22" s="299"/>
      <c r="C22" s="97"/>
      <c r="H22" s="228"/>
      <c r="I22" s="246"/>
      <c r="J22" s="246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</row>
    <row r="23" spans="1:45" x14ac:dyDescent="0.3">
      <c r="A23" s="5"/>
      <c r="B23" s="5"/>
      <c r="C23" s="5"/>
      <c r="H23" s="219"/>
      <c r="I23" s="245"/>
      <c r="J23" s="24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0"/>
      <c r="F24" s="100"/>
      <c r="G24" s="243"/>
      <c r="H24" s="229"/>
      <c r="I24" s="243"/>
      <c r="J24" s="244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1"/>
      <c r="E25" s="5"/>
      <c r="F25" s="101"/>
      <c r="G25" s="244"/>
      <c r="H25" s="229"/>
      <c r="I25" s="244"/>
      <c r="J25" s="244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</v>
      </c>
      <c r="D26" s="47" t="s">
        <v>234</v>
      </c>
      <c r="E26" s="100"/>
      <c r="F26" s="100"/>
      <c r="G26" s="243"/>
      <c r="I26" s="243"/>
      <c r="J26" s="243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0"/>
      <c r="F27" s="100"/>
      <c r="G27" s="243"/>
      <c r="I27" s="243"/>
      <c r="J27" s="243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5"/>
      <c r="I28" s="245"/>
      <c r="J28" s="24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5"/>
      <c r="I29" s="245"/>
      <c r="J29" s="24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1" t="s">
        <v>227</v>
      </c>
      <c r="B30" s="301"/>
      <c r="D30" s="248"/>
      <c r="H30" s="246"/>
      <c r="I30" s="246"/>
      <c r="J30" s="246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</row>
    <row r="31" spans="1:45" x14ac:dyDescent="0.3">
      <c r="A31" s="5"/>
      <c r="B31" s="5"/>
      <c r="H31" s="245"/>
      <c r="I31" s="245"/>
      <c r="J31" s="245"/>
      <c r="K31" s="248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Cèdre de l'Atlas</v>
      </c>
      <c r="D32" s="257" t="s">
        <v>307</v>
      </c>
      <c r="K32" s="24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4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89" t="s">
        <v>185</v>
      </c>
      <c r="C34" s="292" t="s">
        <v>186</v>
      </c>
      <c r="D34" s="292"/>
      <c r="E34" s="293" t="s">
        <v>187</v>
      </c>
      <c r="F34" s="294"/>
      <c r="G34" s="294"/>
      <c r="H34" s="295"/>
      <c r="I34" s="102"/>
      <c r="J34" s="249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0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30</v>
      </c>
      <c r="B36" s="61">
        <f>134.26/1.3</f>
        <v>103.27692307692307</v>
      </c>
      <c r="C36" s="61"/>
      <c r="D36" s="61"/>
      <c r="E36" s="54"/>
      <c r="F36" s="54"/>
      <c r="G36" s="54"/>
      <c r="H36" s="54"/>
      <c r="I36" s="52">
        <f>IFERROR(B36/A36,"")</f>
        <v>3.4425641025641025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35</v>
      </c>
      <c r="B37" s="61">
        <f>192.26/1.3</f>
        <v>147.89230769230767</v>
      </c>
      <c r="C37" s="61"/>
      <c r="D37" s="61"/>
      <c r="E37" s="54"/>
      <c r="F37" s="54"/>
      <c r="G37" s="54"/>
      <c r="H37" s="54"/>
      <c r="I37" s="56">
        <f t="shared" ref="I37:I46" si="1">IF(A37&lt;&gt;0,(B37-(B36-D36))/(A37-A36),"")</f>
        <v>8.9230769230769198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40</v>
      </c>
      <c r="B38" s="61">
        <f>257.14/1.3</f>
        <v>197.79999999999998</v>
      </c>
      <c r="C38" s="61"/>
      <c r="D38" s="61"/>
      <c r="E38" s="54"/>
      <c r="F38" s="54"/>
      <c r="G38" s="54"/>
      <c r="H38" s="54"/>
      <c r="I38" s="56">
        <f t="shared" si="1"/>
        <v>9.981538461538463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45</v>
      </c>
      <c r="B39" s="61">
        <f>327.79/1.3</f>
        <v>252.14615384615385</v>
      </c>
      <c r="C39" s="61"/>
      <c r="D39" s="61"/>
      <c r="E39" s="54"/>
      <c r="F39" s="54"/>
      <c r="G39" s="54"/>
      <c r="H39" s="54"/>
      <c r="I39" s="52">
        <f t="shared" si="1"/>
        <v>10.869230769230773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50</v>
      </c>
      <c r="B40" s="61">
        <f>402.88/1.3</f>
        <v>309.90769230769229</v>
      </c>
      <c r="C40" s="61"/>
      <c r="D40" s="61"/>
      <c r="E40" s="54"/>
      <c r="F40" s="54"/>
      <c r="G40" s="54"/>
      <c r="H40" s="54"/>
      <c r="I40" s="52">
        <f t="shared" si="1"/>
        <v>11.552307692307688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51</v>
      </c>
      <c r="B41" s="61">
        <f>418.39/1.3</f>
        <v>321.8384615384615</v>
      </c>
      <c r="C41" s="61">
        <v>1</v>
      </c>
      <c r="D41" s="61">
        <f>130.4/1.3</f>
        <v>100.30769230769231</v>
      </c>
      <c r="E41" s="54"/>
      <c r="F41" s="54"/>
      <c r="G41" s="54"/>
      <c r="H41" s="54"/>
      <c r="I41" s="56">
        <f t="shared" si="1"/>
        <v>11.930769230769215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55</v>
      </c>
      <c r="B42" s="61">
        <f>342.52/1.3</f>
        <v>263.47692307692307</v>
      </c>
      <c r="C42" s="61"/>
      <c r="D42" s="61"/>
      <c r="E42" s="54"/>
      <c r="F42" s="54"/>
      <c r="G42" s="54"/>
      <c r="H42" s="54"/>
      <c r="I42" s="56">
        <f t="shared" si="1"/>
        <v>10.486538461538473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1">
        <v>60</v>
      </c>
      <c r="B43" s="61">
        <f>412.62/1.3</f>
        <v>317.39999999999998</v>
      </c>
      <c r="C43" s="61"/>
      <c r="D43" s="61"/>
      <c r="E43" s="54"/>
      <c r="F43" s="54"/>
      <c r="G43" s="54"/>
      <c r="H43" s="54"/>
      <c r="I43" s="52">
        <f t="shared" si="1"/>
        <v>10.784615384615382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1">
        <v>63</v>
      </c>
      <c r="B44" s="61">
        <f>455.9/1.3</f>
        <v>350.69230769230768</v>
      </c>
      <c r="C44" s="61">
        <v>2</v>
      </c>
      <c r="D44" s="61">
        <f>140.52/1.3</f>
        <v>108.0923076923077</v>
      </c>
      <c r="E44" s="54"/>
      <c r="F44" s="54"/>
      <c r="G44" s="54"/>
      <c r="H44" s="54"/>
      <c r="I44" s="52">
        <f t="shared" si="1"/>
        <v>11.097435897435901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1">
        <v>65</v>
      </c>
      <c r="B45" s="61">
        <f>340.48/1.3</f>
        <v>261.90769230769229</v>
      </c>
      <c r="C45" s="61"/>
      <c r="D45" s="61"/>
      <c r="E45" s="54"/>
      <c r="F45" s="54"/>
      <c r="G45" s="54"/>
      <c r="H45" s="54"/>
      <c r="I45" s="52">
        <f t="shared" si="1"/>
        <v>9.6538461538461604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1">
        <v>70</v>
      </c>
      <c r="B46" s="61">
        <f>403.79/1.3</f>
        <v>310.60769230769233</v>
      </c>
      <c r="C46" s="61"/>
      <c r="D46" s="61"/>
      <c r="E46" s="54"/>
      <c r="F46" s="54"/>
      <c r="G46" s="54"/>
      <c r="H46" s="54"/>
      <c r="I46" s="52">
        <f t="shared" si="1"/>
        <v>9.7400000000000091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1">
        <v>75</v>
      </c>
      <c r="B47" s="61">
        <f>468.62/1.3</f>
        <v>360.47692307692307</v>
      </c>
      <c r="C47" s="61">
        <v>3</v>
      </c>
      <c r="D47" s="61">
        <f>110.97/1.3</f>
        <v>85.361538461538458</v>
      </c>
      <c r="E47" s="54"/>
      <c r="F47" s="54"/>
      <c r="G47" s="54"/>
      <c r="H47" s="54"/>
      <c r="I47" s="52">
        <f t="shared" ref="I47:I55" si="2">IF(A47&lt;&gt;0,(B47-(B46-D46))/(A47-A46),"")</f>
        <v>9.9738461538461483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1">
        <v>80</v>
      </c>
      <c r="B48" s="61">
        <f>415.62/1.3</f>
        <v>319.7076923076923</v>
      </c>
      <c r="C48" s="61"/>
      <c r="D48" s="61"/>
      <c r="E48" s="54"/>
      <c r="F48" s="54"/>
      <c r="G48" s="54"/>
      <c r="H48" s="54"/>
      <c r="I48" s="52">
        <f t="shared" si="2"/>
        <v>8.918461538461532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1">
        <v>85</v>
      </c>
      <c r="B49" s="61">
        <f>474.42/1.3</f>
        <v>364.93846153846152</v>
      </c>
      <c r="C49" s="61"/>
      <c r="D49" s="61"/>
      <c r="E49" s="54"/>
      <c r="F49" s="54"/>
      <c r="G49" s="54"/>
      <c r="H49" s="54"/>
      <c r="I49" s="52">
        <f t="shared" si="2"/>
        <v>9.046153846153846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1">
        <v>87</v>
      </c>
      <c r="B50" s="53">
        <v>383.13846153846151</v>
      </c>
      <c r="C50" s="53">
        <v>4</v>
      </c>
      <c r="D50" s="53">
        <v>82.938461538461524</v>
      </c>
      <c r="E50" s="54"/>
      <c r="F50" s="54"/>
      <c r="G50" s="54"/>
      <c r="H50" s="54"/>
      <c r="I50" s="52">
        <f t="shared" si="2"/>
        <v>9.0999999999999943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1">
        <v>90</v>
      </c>
      <c r="B51" s="53">
        <v>324.61538461538458</v>
      </c>
      <c r="C51" s="53"/>
      <c r="D51" s="53"/>
      <c r="E51" s="54"/>
      <c r="F51" s="54"/>
      <c r="G51" s="54"/>
      <c r="H51" s="54"/>
      <c r="I51" s="52">
        <f t="shared" si="2"/>
        <v>8.1384615384615326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1">
        <v>95</v>
      </c>
      <c r="B52" s="53">
        <v>364.78461538461539</v>
      </c>
      <c r="C52" s="53"/>
      <c r="D52" s="53"/>
      <c r="E52" s="54"/>
      <c r="F52" s="54"/>
      <c r="G52" s="54"/>
      <c r="H52" s="54"/>
      <c r="I52" s="52">
        <f t="shared" si="2"/>
        <v>8.0338461538461612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1">
        <v>99</v>
      </c>
      <c r="B53" s="53">
        <v>397.8692307692308</v>
      </c>
      <c r="C53" s="53">
        <v>5</v>
      </c>
      <c r="D53" s="53">
        <v>198.32307692307691</v>
      </c>
      <c r="E53" s="54"/>
      <c r="F53" s="54"/>
      <c r="G53" s="54"/>
      <c r="H53" s="54"/>
      <c r="I53" s="52">
        <f t="shared" si="2"/>
        <v>8.271153846153851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1">
        <v>100</v>
      </c>
      <c r="B54" s="53">
        <v>207.28461538461539</v>
      </c>
      <c r="C54" s="53"/>
      <c r="D54" s="53"/>
      <c r="E54" s="54"/>
      <c r="F54" s="54"/>
      <c r="G54" s="54"/>
      <c r="H54" s="54"/>
      <c r="I54" s="52">
        <f t="shared" si="2"/>
        <v>7.7384615384615074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1">
        <v>109</v>
      </c>
      <c r="B55" s="53">
        <v>256.09230769230771</v>
      </c>
      <c r="C55" s="53">
        <v>6</v>
      </c>
      <c r="D55" s="53">
        <v>256.09230769230771</v>
      </c>
      <c r="E55" s="54"/>
      <c r="F55" s="54"/>
      <c r="G55" s="54"/>
      <c r="H55" s="54"/>
      <c r="I55" s="52">
        <f t="shared" si="2"/>
        <v>5.4230769230769242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Chêne sessile</v>
      </c>
      <c r="D58" s="257" t="s">
        <v>307</v>
      </c>
      <c r="I58" s="25" t="s">
        <v>324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89" t="s">
        <v>185</v>
      </c>
      <c r="C60" s="292" t="s">
        <v>186</v>
      </c>
      <c r="D60" s="292"/>
      <c r="E60" s="293" t="s">
        <v>187</v>
      </c>
      <c r="F60" s="294"/>
      <c r="G60" s="294"/>
      <c r="H60" s="295"/>
      <c r="I60" s="102"/>
      <c r="J60" s="249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0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340">
        <v>20</v>
      </c>
      <c r="B62" s="341">
        <v>73</v>
      </c>
      <c r="C62" s="341"/>
      <c r="D62" s="341"/>
      <c r="E62" s="54"/>
      <c r="F62" s="54"/>
      <c r="G62" s="54"/>
      <c r="H62" s="54"/>
      <c r="I62" s="56">
        <f>IFERROR(B62/A62,"")</f>
        <v>3.65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340">
        <v>25</v>
      </c>
      <c r="B63" s="341">
        <v>109</v>
      </c>
      <c r="C63" s="341">
        <v>1</v>
      </c>
      <c r="D63" s="341">
        <v>34</v>
      </c>
      <c r="E63" s="54"/>
      <c r="F63" s="54"/>
      <c r="G63" s="54"/>
      <c r="H63" s="54">
        <v>1</v>
      </c>
      <c r="I63" s="52">
        <f>IF(A63&lt;&gt;0,(B63-(B62-D62))/(A63-A62),"")</f>
        <v>7.2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340">
        <v>30</v>
      </c>
      <c r="B64" s="341">
        <v>121</v>
      </c>
      <c r="C64" s="341"/>
      <c r="D64" s="341"/>
      <c r="E64" s="54"/>
      <c r="F64" s="54"/>
      <c r="G64" s="54"/>
      <c r="H64" s="54"/>
      <c r="I64" s="52">
        <f>IF(A64&lt;&gt;0,(B64-(B63-D63))/(A64-A63),"")</f>
        <v>9.1999999999999993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340">
        <v>35</v>
      </c>
      <c r="B65" s="341">
        <v>175</v>
      </c>
      <c r="C65" s="341">
        <v>2</v>
      </c>
      <c r="D65" s="341">
        <v>56</v>
      </c>
      <c r="E65" s="54"/>
      <c r="F65" s="54"/>
      <c r="G65" s="54"/>
      <c r="H65" s="54"/>
      <c r="I65" s="52">
        <f>IF(A65&lt;&gt;0,(B65-(B64-D64))/(A65-A64),"")</f>
        <v>10.8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340">
        <v>40</v>
      </c>
      <c r="B66" s="341">
        <v>175</v>
      </c>
      <c r="C66" s="341"/>
      <c r="D66" s="341"/>
      <c r="E66" s="54"/>
      <c r="F66" s="54"/>
      <c r="G66" s="54"/>
      <c r="H66" s="54"/>
      <c r="I66" s="52">
        <f t="shared" ref="I66:I81" si="3">IF(A66&lt;&gt;0,(B66-(B65-D65))/(A66-A65),"")</f>
        <v>11.2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340">
        <v>45</v>
      </c>
      <c r="B67" s="341">
        <v>232</v>
      </c>
      <c r="C67" s="341">
        <v>3</v>
      </c>
      <c r="D67" s="341">
        <v>56</v>
      </c>
      <c r="E67" s="54"/>
      <c r="F67" s="54"/>
      <c r="G67" s="54"/>
      <c r="H67" s="54"/>
      <c r="I67" s="52">
        <f t="shared" si="3"/>
        <v>11.4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340">
        <v>50</v>
      </c>
      <c r="B68" s="341">
        <v>231</v>
      </c>
      <c r="C68" s="341"/>
      <c r="D68" s="341"/>
      <c r="E68" s="54"/>
      <c r="F68" s="54"/>
      <c r="G68" s="54"/>
      <c r="H68" s="54"/>
      <c r="I68" s="52">
        <f t="shared" si="3"/>
        <v>11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342">
        <v>55</v>
      </c>
      <c r="B69" s="341">
        <v>282</v>
      </c>
      <c r="C69" s="341">
        <v>4</v>
      </c>
      <c r="D69" s="341">
        <v>56</v>
      </c>
      <c r="E69" s="54"/>
      <c r="F69" s="54"/>
      <c r="G69" s="54"/>
      <c r="H69" s="54"/>
      <c r="I69" s="52">
        <f t="shared" si="3"/>
        <v>10.199999999999999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342">
        <v>60</v>
      </c>
      <c r="B70" s="341">
        <v>273</v>
      </c>
      <c r="C70" s="341"/>
      <c r="D70" s="341"/>
      <c r="E70" s="54"/>
      <c r="F70" s="54"/>
      <c r="G70" s="54"/>
      <c r="H70" s="54"/>
      <c r="I70" s="52">
        <f t="shared" si="3"/>
        <v>9.4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342">
        <v>65</v>
      </c>
      <c r="B71" s="341">
        <v>317</v>
      </c>
      <c r="C71" s="341">
        <v>5</v>
      </c>
      <c r="D71" s="341">
        <v>56</v>
      </c>
      <c r="E71" s="54"/>
      <c r="F71" s="54"/>
      <c r="G71" s="54"/>
      <c r="H71" s="54"/>
      <c r="I71" s="52">
        <f t="shared" si="3"/>
        <v>8.8000000000000007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342">
        <v>70</v>
      </c>
      <c r="B72" s="341">
        <v>302</v>
      </c>
      <c r="C72" s="341"/>
      <c r="D72" s="341"/>
      <c r="E72" s="54"/>
      <c r="F72" s="54"/>
      <c r="G72" s="54"/>
      <c r="H72" s="54"/>
      <c r="I72" s="52">
        <f t="shared" si="3"/>
        <v>8.1999999999999993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342">
        <v>75</v>
      </c>
      <c r="B73" s="341">
        <v>340</v>
      </c>
      <c r="C73" s="341">
        <v>6</v>
      </c>
      <c r="D73" s="341">
        <v>56</v>
      </c>
      <c r="E73" s="54"/>
      <c r="F73" s="54"/>
      <c r="G73" s="54"/>
      <c r="H73" s="54"/>
      <c r="I73" s="52">
        <f t="shared" si="3"/>
        <v>7.6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342">
        <v>80</v>
      </c>
      <c r="B74" s="341">
        <v>320</v>
      </c>
      <c r="C74" s="341"/>
      <c r="D74" s="341"/>
      <c r="E74" s="54"/>
      <c r="F74" s="54"/>
      <c r="G74" s="54"/>
      <c r="H74" s="54"/>
      <c r="I74" s="52">
        <f t="shared" si="3"/>
        <v>7.2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342">
        <v>90</v>
      </c>
      <c r="B75" s="341">
        <v>386</v>
      </c>
      <c r="C75" s="341">
        <v>7</v>
      </c>
      <c r="D75" s="341">
        <v>84</v>
      </c>
      <c r="E75" s="54"/>
      <c r="F75" s="54"/>
      <c r="G75" s="54"/>
      <c r="H75" s="54"/>
      <c r="I75" s="52">
        <f t="shared" si="3"/>
        <v>6.6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342">
        <v>100</v>
      </c>
      <c r="B76" s="340">
        <v>361</v>
      </c>
      <c r="C76" s="340"/>
      <c r="D76" s="340"/>
      <c r="E76" s="54"/>
      <c r="F76" s="54"/>
      <c r="G76" s="54"/>
      <c r="H76" s="54"/>
      <c r="I76" s="52">
        <f t="shared" si="3"/>
        <v>5.9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342">
        <v>110</v>
      </c>
      <c r="B77" s="340">
        <v>413</v>
      </c>
      <c r="C77" s="340">
        <v>8</v>
      </c>
      <c r="D77" s="340">
        <v>106</v>
      </c>
      <c r="E77" s="54"/>
      <c r="F77" s="54"/>
      <c r="G77" s="54"/>
      <c r="H77" s="54"/>
      <c r="I77" s="52">
        <f t="shared" si="3"/>
        <v>5.2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342">
        <v>120</v>
      </c>
      <c r="B78" s="340">
        <v>352</v>
      </c>
      <c r="C78" s="340"/>
      <c r="D78" s="340"/>
      <c r="E78" s="54"/>
      <c r="F78" s="54"/>
      <c r="G78" s="54"/>
      <c r="H78" s="54"/>
      <c r="I78" s="52">
        <f t="shared" si="3"/>
        <v>4.5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342">
        <v>130</v>
      </c>
      <c r="B79" s="340">
        <v>394</v>
      </c>
      <c r="C79" s="340">
        <v>9</v>
      </c>
      <c r="D79" s="340">
        <v>91</v>
      </c>
      <c r="E79" s="54"/>
      <c r="F79" s="54"/>
      <c r="G79" s="54"/>
      <c r="H79" s="54"/>
      <c r="I79" s="52">
        <f t="shared" si="3"/>
        <v>4.2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342">
        <v>140</v>
      </c>
      <c r="B80" s="340">
        <v>341</v>
      </c>
      <c r="C80" s="340"/>
      <c r="D80" s="340"/>
      <c r="E80" s="54"/>
      <c r="F80" s="54"/>
      <c r="G80" s="54"/>
      <c r="H80" s="54"/>
      <c r="I80" s="52">
        <f t="shared" si="3"/>
        <v>3.8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342">
        <v>150</v>
      </c>
      <c r="B81" s="340">
        <v>376</v>
      </c>
      <c r="C81" s="340">
        <v>10</v>
      </c>
      <c r="D81" s="340">
        <v>376</v>
      </c>
      <c r="E81" s="54"/>
      <c r="F81" s="54"/>
      <c r="G81" s="54"/>
      <c r="H81" s="54"/>
      <c r="I81" s="52">
        <f t="shared" si="3"/>
        <v>3.5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>Chêne pubescent</v>
      </c>
      <c r="D84" s="257" t="s">
        <v>307</v>
      </c>
      <c r="I84" s="25" t="s">
        <v>325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89" t="s">
        <v>185</v>
      </c>
      <c r="C86" s="292" t="s">
        <v>186</v>
      </c>
      <c r="D86" s="292"/>
      <c r="E86" s="293" t="s">
        <v>187</v>
      </c>
      <c r="F86" s="294"/>
      <c r="G86" s="294"/>
      <c r="H86" s="295"/>
      <c r="I86" s="102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>
        <v>20</v>
      </c>
      <c r="B88" s="61">
        <v>42</v>
      </c>
      <c r="C88" s="61"/>
      <c r="D88" s="61"/>
      <c r="E88" s="53"/>
      <c r="F88" s="61"/>
      <c r="G88" s="61"/>
      <c r="H88" s="61"/>
      <c r="I88" s="56">
        <f>IFERROR(B88/A88,"")</f>
        <v>2.1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>
        <v>25</v>
      </c>
      <c r="B89" s="61">
        <f>62+8</f>
        <v>70</v>
      </c>
      <c r="C89" s="61"/>
      <c r="D89" s="61"/>
      <c r="E89" s="53"/>
      <c r="F89" s="61"/>
      <c r="G89" s="61"/>
      <c r="H89" s="61"/>
      <c r="I89" s="56">
        <f t="shared" ref="I89:I107" si="4">IF(A89&lt;&gt;0,(B89-(B88-D88))/(A89-A88),"")</f>
        <v>5.6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>
        <v>30</v>
      </c>
      <c r="B90" s="61">
        <f>76+8+21</f>
        <v>105</v>
      </c>
      <c r="C90" s="61">
        <v>1</v>
      </c>
      <c r="D90" s="61">
        <f>8+21</f>
        <v>29</v>
      </c>
      <c r="E90" s="53"/>
      <c r="F90" s="61"/>
      <c r="G90" s="61"/>
      <c r="H90" s="66">
        <v>1</v>
      </c>
      <c r="I90" s="56">
        <f t="shared" si="4"/>
        <v>7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>
        <v>35</v>
      </c>
      <c r="B91" s="61">
        <f>95+21</f>
        <v>116</v>
      </c>
      <c r="C91" s="61"/>
      <c r="D91" s="61"/>
      <c r="E91" s="53"/>
      <c r="F91" s="61"/>
      <c r="G91" s="61"/>
      <c r="H91" s="61"/>
      <c r="I91" s="56">
        <f t="shared" si="4"/>
        <v>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>
        <v>40</v>
      </c>
      <c r="B92" s="61">
        <f>116+21+21</f>
        <v>158</v>
      </c>
      <c r="C92" s="61">
        <v>2</v>
      </c>
      <c r="D92" s="61">
        <f>21+21</f>
        <v>42</v>
      </c>
      <c r="E92" s="53"/>
      <c r="F92" s="61"/>
      <c r="G92" s="61"/>
      <c r="H92" s="61"/>
      <c r="I92" s="56">
        <f t="shared" si="4"/>
        <v>8.4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>
        <v>45</v>
      </c>
      <c r="B93" s="61">
        <f>137+21</f>
        <v>158</v>
      </c>
      <c r="C93" s="61"/>
      <c r="D93" s="61"/>
      <c r="E93" s="53"/>
      <c r="F93" s="61"/>
      <c r="G93" s="61"/>
      <c r="H93" s="61"/>
      <c r="I93" s="56">
        <f t="shared" si="4"/>
        <v>8.4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>
        <v>50</v>
      </c>
      <c r="B94" s="61">
        <f>157+21+21</f>
        <v>199</v>
      </c>
      <c r="C94" s="61">
        <v>3</v>
      </c>
      <c r="D94" s="61">
        <f>21+21</f>
        <v>42</v>
      </c>
      <c r="E94" s="53"/>
      <c r="F94" s="61"/>
      <c r="G94" s="61"/>
      <c r="H94" s="61"/>
      <c r="I94" s="56">
        <f t="shared" si="4"/>
        <v>8.1999999999999993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53">
        <v>55</v>
      </c>
      <c r="B95" s="61">
        <f>176+21</f>
        <v>197</v>
      </c>
      <c r="C95" s="61"/>
      <c r="D95" s="61"/>
      <c r="E95" s="53"/>
      <c r="F95" s="53"/>
      <c r="G95" s="53"/>
      <c r="H95" s="53"/>
      <c r="I95" s="56">
        <f t="shared" si="4"/>
        <v>8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53">
        <v>60</v>
      </c>
      <c r="B96" s="53">
        <v>235</v>
      </c>
      <c r="C96" s="53">
        <v>4</v>
      </c>
      <c r="D96" s="53">
        <v>42</v>
      </c>
      <c r="E96" s="53"/>
      <c r="F96" s="53"/>
      <c r="G96" s="53"/>
      <c r="H96" s="53"/>
      <c r="I96" s="56">
        <f t="shared" si="4"/>
        <v>7.6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53">
        <v>65</v>
      </c>
      <c r="B97" s="53">
        <v>229</v>
      </c>
      <c r="C97" s="53"/>
      <c r="D97" s="53"/>
      <c r="E97" s="53"/>
      <c r="F97" s="53"/>
      <c r="G97" s="53"/>
      <c r="H97" s="53"/>
      <c r="I97" s="56">
        <f t="shared" si="4"/>
        <v>7.2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53">
        <v>70</v>
      </c>
      <c r="B98" s="53">
        <v>263</v>
      </c>
      <c r="C98" s="53">
        <v>5</v>
      </c>
      <c r="D98" s="53">
        <v>42</v>
      </c>
      <c r="E98" s="53"/>
      <c r="F98" s="53"/>
      <c r="G98" s="53"/>
      <c r="H98" s="53"/>
      <c r="I98" s="56">
        <f t="shared" si="4"/>
        <v>6.8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53">
        <v>75</v>
      </c>
      <c r="B99" s="53">
        <v>252</v>
      </c>
      <c r="C99" s="53"/>
      <c r="D99" s="53"/>
      <c r="E99" s="53"/>
      <c r="F99" s="53"/>
      <c r="G99" s="53"/>
      <c r="H99" s="53"/>
      <c r="I99" s="56">
        <f t="shared" si="4"/>
        <v>6.2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53">
        <v>80</v>
      </c>
      <c r="B100" s="53">
        <v>282</v>
      </c>
      <c r="C100" s="53">
        <v>6</v>
      </c>
      <c r="D100" s="53">
        <v>42</v>
      </c>
      <c r="E100" s="53"/>
      <c r="F100" s="53"/>
      <c r="G100" s="53"/>
      <c r="H100" s="53"/>
      <c r="I100" s="56">
        <f t="shared" si="4"/>
        <v>6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53">
        <v>90</v>
      </c>
      <c r="B101" s="53">
        <v>296</v>
      </c>
      <c r="C101" s="53">
        <v>7</v>
      </c>
      <c r="D101" s="53">
        <v>42</v>
      </c>
      <c r="E101" s="53"/>
      <c r="F101" s="53"/>
      <c r="G101" s="53"/>
      <c r="H101" s="53"/>
      <c r="I101" s="56">
        <f t="shared" si="4"/>
        <v>5.6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53">
        <v>100</v>
      </c>
      <c r="B102" s="53">
        <v>303</v>
      </c>
      <c r="C102" s="53">
        <v>8</v>
      </c>
      <c r="D102" s="53">
        <v>42</v>
      </c>
      <c r="E102" s="53"/>
      <c r="F102" s="53"/>
      <c r="G102" s="53"/>
      <c r="H102" s="53"/>
      <c r="I102" s="56">
        <f t="shared" si="4"/>
        <v>4.9000000000000004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53">
        <v>110</v>
      </c>
      <c r="B103" s="53">
        <v>305</v>
      </c>
      <c r="C103" s="53">
        <v>9</v>
      </c>
      <c r="D103" s="53">
        <v>39</v>
      </c>
      <c r="E103" s="53"/>
      <c r="F103" s="53"/>
      <c r="G103" s="53"/>
      <c r="H103" s="53"/>
      <c r="I103" s="56">
        <f t="shared" si="4"/>
        <v>4.4000000000000004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53">
        <v>120</v>
      </c>
      <c r="B104" s="53">
        <v>303</v>
      </c>
      <c r="C104" s="53">
        <v>10</v>
      </c>
      <c r="D104" s="53">
        <v>35</v>
      </c>
      <c r="E104" s="53"/>
      <c r="F104" s="53"/>
      <c r="G104" s="53"/>
      <c r="H104" s="53"/>
      <c r="I104" s="56">
        <f t="shared" si="4"/>
        <v>3.7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>
        <v>130</v>
      </c>
      <c r="B105" s="53">
        <v>300</v>
      </c>
      <c r="C105" s="53">
        <v>11</v>
      </c>
      <c r="D105" s="53">
        <v>31</v>
      </c>
      <c r="E105" s="53"/>
      <c r="F105" s="53"/>
      <c r="G105" s="53"/>
      <c r="H105" s="53"/>
      <c r="I105" s="56">
        <f t="shared" si="4"/>
        <v>3.2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>
        <v>140</v>
      </c>
      <c r="B106" s="53">
        <v>296</v>
      </c>
      <c r="C106" s="53">
        <v>12</v>
      </c>
      <c r="D106" s="53">
        <v>27</v>
      </c>
      <c r="E106" s="53"/>
      <c r="F106" s="53"/>
      <c r="G106" s="53"/>
      <c r="H106" s="53"/>
      <c r="I106" s="56">
        <f t="shared" si="4"/>
        <v>2.7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>
        <v>150</v>
      </c>
      <c r="B107" s="53">
        <v>293</v>
      </c>
      <c r="C107" s="53">
        <v>13</v>
      </c>
      <c r="D107" s="53">
        <v>293</v>
      </c>
      <c r="E107" s="53"/>
      <c r="F107" s="53"/>
      <c r="G107" s="53"/>
      <c r="H107" s="53"/>
      <c r="I107" s="56">
        <f t="shared" si="4"/>
        <v>2.4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>Alisier torminal</v>
      </c>
      <c r="D110" s="257" t="s">
        <v>307</v>
      </c>
      <c r="I110" s="25" t="s">
        <v>325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89" t="s">
        <v>185</v>
      </c>
      <c r="C112" s="292" t="s">
        <v>186</v>
      </c>
      <c r="D112" s="292"/>
      <c r="E112" s="293" t="s">
        <v>187</v>
      </c>
      <c r="F112" s="294"/>
      <c r="G112" s="294"/>
      <c r="H112" s="295"/>
      <c r="I112" s="10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>
        <v>20</v>
      </c>
      <c r="B114" s="61">
        <v>42</v>
      </c>
      <c r="C114" s="61"/>
      <c r="D114" s="61"/>
      <c r="E114" s="54"/>
      <c r="F114" s="54"/>
      <c r="G114" s="54"/>
      <c r="H114" s="54"/>
      <c r="I114" s="56">
        <f>IFERROR(B114/A114,"")</f>
        <v>2.1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>
        <v>25</v>
      </c>
      <c r="B115" s="61">
        <f>62+8</f>
        <v>70</v>
      </c>
      <c r="C115" s="61"/>
      <c r="D115" s="61"/>
      <c r="E115" s="54"/>
      <c r="F115" s="54"/>
      <c r="G115" s="54"/>
      <c r="H115" s="54"/>
      <c r="I115" s="56">
        <f t="shared" ref="I115:I133" si="5">IF(A115&lt;&gt;0,(B115-(B114-D114))/(A115-A114),"")</f>
        <v>5.6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>
        <v>30</v>
      </c>
      <c r="B116" s="61">
        <f>76+8+21</f>
        <v>105</v>
      </c>
      <c r="C116" s="61">
        <v>1</v>
      </c>
      <c r="D116" s="61">
        <f>8+21</f>
        <v>29</v>
      </c>
      <c r="E116" s="54"/>
      <c r="F116" s="54"/>
      <c r="G116" s="54"/>
      <c r="H116" s="54">
        <v>1</v>
      </c>
      <c r="I116" s="56">
        <f t="shared" si="5"/>
        <v>7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>
        <v>35</v>
      </c>
      <c r="B117" s="61">
        <f>95+21</f>
        <v>116</v>
      </c>
      <c r="C117" s="61"/>
      <c r="D117" s="61"/>
      <c r="E117" s="54"/>
      <c r="F117" s="54"/>
      <c r="G117" s="54"/>
      <c r="H117" s="54"/>
      <c r="I117" s="56">
        <f t="shared" si="5"/>
        <v>8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>
        <v>40</v>
      </c>
      <c r="B118" s="61">
        <f>116+21+21</f>
        <v>158</v>
      </c>
      <c r="C118" s="61">
        <v>2</v>
      </c>
      <c r="D118" s="61">
        <f>21+21</f>
        <v>42</v>
      </c>
      <c r="E118" s="54"/>
      <c r="F118" s="54"/>
      <c r="G118" s="54"/>
      <c r="H118" s="54"/>
      <c r="I118" s="56">
        <f t="shared" si="5"/>
        <v>8.4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>
        <v>45</v>
      </c>
      <c r="B119" s="61">
        <f>137+21</f>
        <v>158</v>
      </c>
      <c r="C119" s="61"/>
      <c r="D119" s="61"/>
      <c r="E119" s="54"/>
      <c r="F119" s="54"/>
      <c r="G119" s="54"/>
      <c r="H119" s="54"/>
      <c r="I119" s="56">
        <f t="shared" si="5"/>
        <v>8.4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53">
        <v>50</v>
      </c>
      <c r="B120" s="61">
        <f>157+21+21</f>
        <v>199</v>
      </c>
      <c r="C120" s="61">
        <v>3</v>
      </c>
      <c r="D120" s="61">
        <f>21+21</f>
        <v>42</v>
      </c>
      <c r="E120" s="91"/>
      <c r="F120" s="91"/>
      <c r="G120" s="91"/>
      <c r="H120" s="91"/>
      <c r="I120" s="56">
        <f t="shared" si="5"/>
        <v>8.1999999999999993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53">
        <v>55</v>
      </c>
      <c r="B121" s="61">
        <f>176+21</f>
        <v>197</v>
      </c>
      <c r="C121" s="61"/>
      <c r="D121" s="61"/>
      <c r="E121" s="91"/>
      <c r="F121" s="91"/>
      <c r="G121" s="91"/>
      <c r="H121" s="91"/>
      <c r="I121" s="56">
        <f t="shared" si="5"/>
        <v>8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53">
        <v>60</v>
      </c>
      <c r="B122" s="53">
        <v>235</v>
      </c>
      <c r="C122" s="53">
        <v>4</v>
      </c>
      <c r="D122" s="53">
        <v>42</v>
      </c>
      <c r="E122" s="91"/>
      <c r="F122" s="91"/>
      <c r="G122" s="91"/>
      <c r="H122" s="91"/>
      <c r="I122" s="56">
        <f t="shared" si="5"/>
        <v>7.6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53">
        <v>65</v>
      </c>
      <c r="B123" s="53">
        <v>229</v>
      </c>
      <c r="C123" s="53"/>
      <c r="D123" s="53"/>
      <c r="E123" s="91"/>
      <c r="F123" s="91"/>
      <c r="G123" s="91"/>
      <c r="H123" s="91"/>
      <c r="I123" s="56">
        <f t="shared" si="5"/>
        <v>7.2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53">
        <v>70</v>
      </c>
      <c r="B124" s="53">
        <v>263</v>
      </c>
      <c r="C124" s="53">
        <v>5</v>
      </c>
      <c r="D124" s="53">
        <v>42</v>
      </c>
      <c r="E124" s="91"/>
      <c r="F124" s="91"/>
      <c r="G124" s="91"/>
      <c r="H124" s="91"/>
      <c r="I124" s="56">
        <f t="shared" si="5"/>
        <v>6.8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53">
        <v>75</v>
      </c>
      <c r="B125" s="53">
        <v>252</v>
      </c>
      <c r="C125" s="53"/>
      <c r="D125" s="53"/>
      <c r="E125" s="91"/>
      <c r="F125" s="91"/>
      <c r="G125" s="91"/>
      <c r="H125" s="91"/>
      <c r="I125" s="56">
        <f t="shared" si="5"/>
        <v>6.2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53">
        <v>80</v>
      </c>
      <c r="B126" s="53">
        <v>282</v>
      </c>
      <c r="C126" s="53">
        <v>6</v>
      </c>
      <c r="D126" s="53">
        <v>42</v>
      </c>
      <c r="E126" s="66"/>
      <c r="F126" s="66"/>
      <c r="G126" s="66"/>
      <c r="H126" s="66"/>
      <c r="I126" s="56">
        <f t="shared" si="5"/>
        <v>6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53">
        <v>90</v>
      </c>
      <c r="B127" s="53">
        <v>296</v>
      </c>
      <c r="C127" s="53">
        <v>7</v>
      </c>
      <c r="D127" s="53">
        <v>42</v>
      </c>
      <c r="E127" s="66"/>
      <c r="F127" s="66"/>
      <c r="G127" s="66"/>
      <c r="H127" s="66"/>
      <c r="I127" s="56">
        <f t="shared" si="5"/>
        <v>5.6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>
        <v>100</v>
      </c>
      <c r="B128" s="53">
        <v>303</v>
      </c>
      <c r="C128" s="53">
        <v>8</v>
      </c>
      <c r="D128" s="53">
        <v>42</v>
      </c>
      <c r="E128" s="57"/>
      <c r="F128" s="57"/>
      <c r="G128" s="57"/>
      <c r="H128" s="57"/>
      <c r="I128" s="56">
        <f t="shared" si="5"/>
        <v>4.9000000000000004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>
        <v>110</v>
      </c>
      <c r="B129" s="53">
        <v>305</v>
      </c>
      <c r="C129" s="53">
        <v>9</v>
      </c>
      <c r="D129" s="53">
        <v>39</v>
      </c>
      <c r="E129" s="57"/>
      <c r="F129" s="57"/>
      <c r="G129" s="57"/>
      <c r="H129" s="57"/>
      <c r="I129" s="56">
        <f t="shared" si="5"/>
        <v>4.4000000000000004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>
        <v>120</v>
      </c>
      <c r="B130" s="53">
        <v>303</v>
      </c>
      <c r="C130" s="53">
        <v>10</v>
      </c>
      <c r="D130" s="53">
        <v>35</v>
      </c>
      <c r="E130" s="57"/>
      <c r="F130" s="57"/>
      <c r="G130" s="57"/>
      <c r="H130" s="57"/>
      <c r="I130" s="56">
        <f t="shared" si="5"/>
        <v>3.7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>
        <v>130</v>
      </c>
      <c r="B131" s="53">
        <v>300</v>
      </c>
      <c r="C131" s="53">
        <v>11</v>
      </c>
      <c r="D131" s="53">
        <v>31</v>
      </c>
      <c r="E131" s="57"/>
      <c r="F131" s="57"/>
      <c r="G131" s="57"/>
      <c r="H131" s="57"/>
      <c r="I131" s="56">
        <f t="shared" si="5"/>
        <v>3.2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>
        <v>140</v>
      </c>
      <c r="B132" s="53">
        <v>296</v>
      </c>
      <c r="C132" s="53">
        <v>12</v>
      </c>
      <c r="D132" s="53">
        <v>27</v>
      </c>
      <c r="E132" s="57"/>
      <c r="F132" s="57"/>
      <c r="G132" s="57"/>
      <c r="H132" s="57"/>
      <c r="I132" s="56">
        <f t="shared" si="5"/>
        <v>2.7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>
        <v>150</v>
      </c>
      <c r="B133" s="53">
        <v>293</v>
      </c>
      <c r="C133" s="53">
        <v>13</v>
      </c>
      <c r="D133" s="53">
        <v>293</v>
      </c>
      <c r="E133" s="57"/>
      <c r="F133" s="57"/>
      <c r="G133" s="57"/>
      <c r="H133" s="57"/>
      <c r="I133" s="56">
        <f t="shared" si="5"/>
        <v>2.4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>Cormier</v>
      </c>
      <c r="D136" s="257" t="s">
        <v>307</v>
      </c>
      <c r="I136" s="25" t="s">
        <v>325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89" t="s">
        <v>185</v>
      </c>
      <c r="C138" s="292" t="s">
        <v>186</v>
      </c>
      <c r="D138" s="292"/>
      <c r="E138" s="293" t="s">
        <v>187</v>
      </c>
      <c r="F138" s="294"/>
      <c r="G138" s="294"/>
      <c r="H138" s="295"/>
      <c r="I138" s="10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20</v>
      </c>
      <c r="B140" s="61">
        <v>42</v>
      </c>
      <c r="C140" s="61"/>
      <c r="D140" s="61"/>
      <c r="E140" s="54"/>
      <c r="F140" s="54"/>
      <c r="G140" s="54"/>
      <c r="H140" s="54"/>
      <c r="I140" s="59">
        <f>IFERROR(B140/A140,"")</f>
        <v>2.1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25</v>
      </c>
      <c r="B141" s="61">
        <f>62+8</f>
        <v>70</v>
      </c>
      <c r="C141" s="61"/>
      <c r="D141" s="61"/>
      <c r="E141" s="54"/>
      <c r="F141" s="54"/>
      <c r="G141" s="54"/>
      <c r="H141" s="54"/>
      <c r="I141" s="59">
        <f t="shared" ref="I141:I159" si="6">IF(A141&lt;&gt;0,(B141-(B140-D140))/(A141-A140),"")</f>
        <v>5.6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30</v>
      </c>
      <c r="B142" s="61">
        <f>76+8+21</f>
        <v>105</v>
      </c>
      <c r="C142" s="61">
        <v>1</v>
      </c>
      <c r="D142" s="61">
        <f>8+21</f>
        <v>29</v>
      </c>
      <c r="E142" s="54"/>
      <c r="F142" s="54"/>
      <c r="G142" s="54"/>
      <c r="H142" s="54">
        <v>1</v>
      </c>
      <c r="I142" s="59">
        <f t="shared" si="6"/>
        <v>7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>
        <v>35</v>
      </c>
      <c r="B143" s="61">
        <f>95+21</f>
        <v>116</v>
      </c>
      <c r="C143" s="61"/>
      <c r="D143" s="61"/>
      <c r="E143" s="54"/>
      <c r="F143" s="54"/>
      <c r="G143" s="54"/>
      <c r="H143" s="54"/>
      <c r="I143" s="59">
        <f t="shared" si="6"/>
        <v>8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>
        <v>40</v>
      </c>
      <c r="B144" s="61">
        <f>116+21+21</f>
        <v>158</v>
      </c>
      <c r="C144" s="61">
        <v>2</v>
      </c>
      <c r="D144" s="61">
        <f>21+21</f>
        <v>42</v>
      </c>
      <c r="E144" s="54"/>
      <c r="F144" s="54"/>
      <c r="G144" s="54"/>
      <c r="H144" s="54"/>
      <c r="I144" s="59">
        <f t="shared" si="6"/>
        <v>8.4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>
        <v>45</v>
      </c>
      <c r="B145" s="61">
        <f>137+21</f>
        <v>158</v>
      </c>
      <c r="C145" s="61"/>
      <c r="D145" s="61"/>
      <c r="E145" s="54"/>
      <c r="F145" s="54"/>
      <c r="G145" s="54"/>
      <c r="H145" s="54"/>
      <c r="I145" s="59">
        <f t="shared" si="6"/>
        <v>8.4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>
        <v>50</v>
      </c>
      <c r="B146" s="61">
        <f>157+21+21</f>
        <v>199</v>
      </c>
      <c r="C146" s="61">
        <v>3</v>
      </c>
      <c r="D146" s="61">
        <f>21+21</f>
        <v>42</v>
      </c>
      <c r="E146" s="54"/>
      <c r="F146" s="54"/>
      <c r="G146" s="54"/>
      <c r="H146" s="54"/>
      <c r="I146" s="59">
        <f t="shared" si="6"/>
        <v>8.1999999999999993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>
        <v>55</v>
      </c>
      <c r="B147" s="61">
        <f>176+21</f>
        <v>197</v>
      </c>
      <c r="C147" s="61"/>
      <c r="D147" s="61"/>
      <c r="E147" s="54"/>
      <c r="F147" s="54"/>
      <c r="G147" s="54"/>
      <c r="H147" s="54"/>
      <c r="I147" s="59">
        <f>IF(A147&lt;&gt;0,(B147-(B146-D146))/(A147-A146),"")</f>
        <v>8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>
        <v>60</v>
      </c>
      <c r="B148" s="53">
        <v>235</v>
      </c>
      <c r="C148" s="53">
        <v>4</v>
      </c>
      <c r="D148" s="53">
        <v>42</v>
      </c>
      <c r="E148" s="54"/>
      <c r="F148" s="54"/>
      <c r="G148" s="54"/>
      <c r="H148" s="54"/>
      <c r="I148" s="59">
        <f t="shared" si="6"/>
        <v>7.6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>
        <v>65</v>
      </c>
      <c r="B149" s="53">
        <v>229</v>
      </c>
      <c r="C149" s="53"/>
      <c r="D149" s="53"/>
      <c r="E149" s="54"/>
      <c r="F149" s="54"/>
      <c r="G149" s="54"/>
      <c r="H149" s="54"/>
      <c r="I149" s="59">
        <f t="shared" si="6"/>
        <v>7.2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>
        <v>70</v>
      </c>
      <c r="B150" s="53">
        <v>263</v>
      </c>
      <c r="C150" s="53">
        <v>5</v>
      </c>
      <c r="D150" s="53">
        <v>42</v>
      </c>
      <c r="E150" s="54"/>
      <c r="F150" s="54"/>
      <c r="G150" s="54"/>
      <c r="H150" s="54"/>
      <c r="I150" s="59">
        <f t="shared" si="6"/>
        <v>6.8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>
        <v>75</v>
      </c>
      <c r="B151" s="53">
        <v>252</v>
      </c>
      <c r="C151" s="53"/>
      <c r="D151" s="53"/>
      <c r="E151" s="54"/>
      <c r="F151" s="54"/>
      <c r="G151" s="54"/>
      <c r="H151" s="54"/>
      <c r="I151" s="59">
        <f t="shared" si="6"/>
        <v>6.2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>
        <v>80</v>
      </c>
      <c r="B152" s="53">
        <v>282</v>
      </c>
      <c r="C152" s="53">
        <v>6</v>
      </c>
      <c r="D152" s="53">
        <v>42</v>
      </c>
      <c r="E152" s="57"/>
      <c r="F152" s="57"/>
      <c r="G152" s="57"/>
      <c r="H152" s="57"/>
      <c r="I152" s="59">
        <f t="shared" si="6"/>
        <v>6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>
        <v>90</v>
      </c>
      <c r="B153" s="53">
        <v>296</v>
      </c>
      <c r="C153" s="53">
        <v>7</v>
      </c>
      <c r="D153" s="53">
        <v>42</v>
      </c>
      <c r="E153" s="57"/>
      <c r="F153" s="57"/>
      <c r="G153" s="57"/>
      <c r="H153" s="57"/>
      <c r="I153" s="59">
        <f t="shared" si="6"/>
        <v>5.6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3">
        <v>100</v>
      </c>
      <c r="B154" s="53">
        <v>303</v>
      </c>
      <c r="C154" s="53">
        <v>8</v>
      </c>
      <c r="D154" s="53">
        <v>42</v>
      </c>
      <c r="E154" s="57"/>
      <c r="F154" s="57"/>
      <c r="G154" s="57"/>
      <c r="H154" s="57"/>
      <c r="I154" s="59">
        <f t="shared" si="6"/>
        <v>4.9000000000000004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3">
        <v>110</v>
      </c>
      <c r="B155" s="53">
        <v>305</v>
      </c>
      <c r="C155" s="53">
        <v>9</v>
      </c>
      <c r="D155" s="53">
        <v>39</v>
      </c>
      <c r="E155" s="57"/>
      <c r="F155" s="57"/>
      <c r="G155" s="57"/>
      <c r="H155" s="57"/>
      <c r="I155" s="59">
        <f t="shared" si="6"/>
        <v>4.4000000000000004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3">
        <v>120</v>
      </c>
      <c r="B156" s="53">
        <v>303</v>
      </c>
      <c r="C156" s="53">
        <v>10</v>
      </c>
      <c r="D156" s="53">
        <v>35</v>
      </c>
      <c r="E156" s="57"/>
      <c r="F156" s="57"/>
      <c r="G156" s="57"/>
      <c r="H156" s="57"/>
      <c r="I156" s="59">
        <f t="shared" si="6"/>
        <v>3.7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3">
        <v>130</v>
      </c>
      <c r="B157" s="53">
        <v>300</v>
      </c>
      <c r="C157" s="53">
        <v>11</v>
      </c>
      <c r="D157" s="53">
        <v>31</v>
      </c>
      <c r="E157" s="57"/>
      <c r="F157" s="57"/>
      <c r="G157" s="57"/>
      <c r="H157" s="57"/>
      <c r="I157" s="59">
        <f t="shared" si="6"/>
        <v>3.2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3">
        <v>140</v>
      </c>
      <c r="B158" s="53">
        <v>296</v>
      </c>
      <c r="C158" s="53">
        <v>12</v>
      </c>
      <c r="D158" s="53">
        <v>27</v>
      </c>
      <c r="E158" s="57"/>
      <c r="F158" s="57"/>
      <c r="G158" s="57"/>
      <c r="H158" s="57"/>
      <c r="I158" s="59">
        <f t="shared" si="6"/>
        <v>2.7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3">
        <v>150</v>
      </c>
      <c r="B159" s="53">
        <v>293</v>
      </c>
      <c r="C159" s="53">
        <v>13</v>
      </c>
      <c r="D159" s="53">
        <v>293</v>
      </c>
      <c r="E159" s="57"/>
      <c r="F159" s="57"/>
      <c r="G159" s="57"/>
      <c r="H159" s="57"/>
      <c r="I159" s="59">
        <f t="shared" si="6"/>
        <v>2.4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>Tilleul</v>
      </c>
      <c r="D162" s="257" t="s">
        <v>307</v>
      </c>
      <c r="I162" s="25" t="s">
        <v>326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89" t="s">
        <v>185</v>
      </c>
      <c r="C164" s="292" t="s">
        <v>186</v>
      </c>
      <c r="D164" s="292"/>
      <c r="E164" s="293" t="s">
        <v>187</v>
      </c>
      <c r="F164" s="294"/>
      <c r="G164" s="294"/>
      <c r="H164" s="295"/>
      <c r="I164" s="102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>
        <v>15</v>
      </c>
      <c r="B166" s="61">
        <f>78/1.56</f>
        <v>50</v>
      </c>
      <c r="C166" s="61"/>
      <c r="D166" s="61"/>
      <c r="E166" s="54"/>
      <c r="F166" s="54"/>
      <c r="G166" s="54"/>
      <c r="H166" s="54"/>
      <c r="I166" s="52">
        <f>IFERROR(B166/A166,"")</f>
        <v>3.3333333333333335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>
        <v>20</v>
      </c>
      <c r="B167" s="61">
        <f>(126+16)/1.56</f>
        <v>91.025641025641022</v>
      </c>
      <c r="C167" s="61">
        <v>1</v>
      </c>
      <c r="D167" s="61">
        <f>(16+22)/1.56</f>
        <v>24.358974358974358</v>
      </c>
      <c r="E167" s="54"/>
      <c r="F167" s="54"/>
      <c r="G167" s="54"/>
      <c r="H167" s="54">
        <v>1</v>
      </c>
      <c r="I167" s="52">
        <f t="shared" ref="I167:I185" si="7">IF(A167&lt;&gt;0,(B167-(B166-D166))/(A167-A166),"")</f>
        <v>8.2051282051282044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>
        <v>25</v>
      </c>
      <c r="B168" s="61">
        <f>170/1.56</f>
        <v>108.97435897435896</v>
      </c>
      <c r="C168" s="53"/>
      <c r="D168" s="61"/>
      <c r="E168" s="54"/>
      <c r="F168" s="54"/>
      <c r="G168" s="54"/>
      <c r="H168" s="54"/>
      <c r="I168" s="52">
        <f t="shared" si="7"/>
        <v>8.4615384615384617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>
        <v>30</v>
      </c>
      <c r="B169" s="61">
        <f>(208+25)/1.56</f>
        <v>149.35897435897436</v>
      </c>
      <c r="C169" s="61">
        <v>2</v>
      </c>
      <c r="D169" s="61">
        <f>(26+25)/1.56</f>
        <v>32.692307692307693</v>
      </c>
      <c r="E169" s="54"/>
      <c r="F169" s="54"/>
      <c r="G169" s="54"/>
      <c r="H169" s="54">
        <v>1</v>
      </c>
      <c r="I169" s="52">
        <f t="shared" si="7"/>
        <v>8.0769230769230802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>
        <v>35</v>
      </c>
      <c r="B170" s="61">
        <f>242/1.56</f>
        <v>155.12820512820511</v>
      </c>
      <c r="C170" s="61"/>
      <c r="D170" s="61"/>
      <c r="E170" s="54"/>
      <c r="F170" s="54"/>
      <c r="G170" s="54"/>
      <c r="H170" s="54"/>
      <c r="I170" s="52">
        <f t="shared" si="7"/>
        <v>7.6923076923076881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>
        <v>40</v>
      </c>
      <c r="B171" s="61">
        <f>(271+27)/1.56</f>
        <v>191.02564102564102</v>
      </c>
      <c r="C171" s="61">
        <v>3</v>
      </c>
      <c r="D171" s="61">
        <f>(27+27)/1.56</f>
        <v>34.615384615384613</v>
      </c>
      <c r="E171" s="54"/>
      <c r="F171" s="54"/>
      <c r="G171" s="54"/>
      <c r="H171" s="54"/>
      <c r="I171" s="52">
        <f t="shared" si="7"/>
        <v>7.1794871794871824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>
        <v>45</v>
      </c>
      <c r="B172" s="61">
        <f>297/1.56</f>
        <v>190.38461538461539</v>
      </c>
      <c r="C172" s="61"/>
      <c r="D172" s="61"/>
      <c r="E172" s="54"/>
      <c r="F172" s="54"/>
      <c r="G172" s="54"/>
      <c r="H172" s="54"/>
      <c r="I172" s="52">
        <f t="shared" si="7"/>
        <v>6.7948717948717956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>
        <v>50</v>
      </c>
      <c r="B173" s="61">
        <f>(320+26)/1.56</f>
        <v>221.7948717948718</v>
      </c>
      <c r="C173" s="58">
        <v>4</v>
      </c>
      <c r="D173" s="61">
        <f>(25+26)/1.56</f>
        <v>32.692307692307693</v>
      </c>
      <c r="E173" s="54"/>
      <c r="F173" s="54"/>
      <c r="G173" s="54"/>
      <c r="H173" s="54"/>
      <c r="I173" s="52">
        <f t="shared" si="7"/>
        <v>6.2820512820512819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>
        <v>55</v>
      </c>
      <c r="B174" s="61">
        <f>340/1.56</f>
        <v>217.94871794871793</v>
      </c>
      <c r="C174" s="58"/>
      <c r="D174" s="61"/>
      <c r="E174" s="54"/>
      <c r="F174" s="54"/>
      <c r="G174" s="54"/>
      <c r="H174" s="54"/>
      <c r="I174" s="52">
        <f t="shared" si="7"/>
        <v>5.7692307692307683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>
        <v>60</v>
      </c>
      <c r="B175" s="61">
        <f>(358+24)/1.56</f>
        <v>244.87179487179486</v>
      </c>
      <c r="C175" s="58">
        <v>5</v>
      </c>
      <c r="D175" s="61">
        <f>(23+24)/1.56</f>
        <v>30.128205128205128</v>
      </c>
      <c r="E175" s="54"/>
      <c r="F175" s="54"/>
      <c r="G175" s="54"/>
      <c r="H175" s="54"/>
      <c r="I175" s="52">
        <f t="shared" si="7"/>
        <v>5.3846153846153868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>
        <v>65</v>
      </c>
      <c r="B176" s="61">
        <f>375/1.56</f>
        <v>240.38461538461539</v>
      </c>
      <c r="C176" s="58"/>
      <c r="D176" s="61"/>
      <c r="E176" s="54"/>
      <c r="F176" s="54"/>
      <c r="G176" s="54"/>
      <c r="H176" s="54"/>
      <c r="I176" s="52">
        <f t="shared" si="7"/>
        <v>5.1282051282051331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>
        <v>70</v>
      </c>
      <c r="B177" s="61">
        <f>(393+21)/1.56</f>
        <v>265.38461538461536</v>
      </c>
      <c r="C177" s="58">
        <v>6</v>
      </c>
      <c r="D177" s="61">
        <f>(22+21)/1.56</f>
        <v>27.564102564102562</v>
      </c>
      <c r="E177" s="54"/>
      <c r="F177" s="54"/>
      <c r="G177" s="54"/>
      <c r="H177" s="54"/>
      <c r="I177" s="52">
        <f t="shared" si="7"/>
        <v>4.9999999999999947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>
        <v>75</v>
      </c>
      <c r="B178" s="61">
        <f>407/1.56</f>
        <v>260.89743589743591</v>
      </c>
      <c r="C178" s="58"/>
      <c r="D178" s="61"/>
      <c r="E178" s="54"/>
      <c r="F178" s="54"/>
      <c r="G178" s="54"/>
      <c r="H178" s="54"/>
      <c r="I178" s="52">
        <f t="shared" si="7"/>
        <v>4.6153846153846247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>
        <v>80</v>
      </c>
      <c r="B179" s="61">
        <f>(419+21)/1.56</f>
        <v>282.05128205128204</v>
      </c>
      <c r="C179" s="92">
        <v>7</v>
      </c>
      <c r="D179" s="61">
        <f>(21+20)/1.56</f>
        <v>26.282051282051281</v>
      </c>
      <c r="E179" s="54"/>
      <c r="F179" s="54"/>
      <c r="G179" s="54"/>
      <c r="H179" s="54"/>
      <c r="I179" s="52">
        <f t="shared" si="7"/>
        <v>4.2307692307692264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>
        <v>85</v>
      </c>
      <c r="B180" s="61">
        <f>431/1.56</f>
        <v>276.28205128205127</v>
      </c>
      <c r="C180" s="53"/>
      <c r="D180" s="53"/>
      <c r="E180" s="54"/>
      <c r="F180" s="54"/>
      <c r="G180" s="54"/>
      <c r="H180" s="54"/>
      <c r="I180" s="52">
        <f t="shared" si="7"/>
        <v>4.1025641025640995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>
        <v>90</v>
      </c>
      <c r="B181" s="61">
        <f>(442+19)/1.56</f>
        <v>295.5128205128205</v>
      </c>
      <c r="C181" s="53">
        <v>8</v>
      </c>
      <c r="D181" s="53">
        <f>(19+19)/1.56</f>
        <v>24.358974358974358</v>
      </c>
      <c r="E181" s="54"/>
      <c r="F181" s="54"/>
      <c r="G181" s="54"/>
      <c r="H181" s="54"/>
      <c r="I181" s="52">
        <f t="shared" si="7"/>
        <v>3.8461538461538454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>
        <v>95</v>
      </c>
      <c r="B182" s="61">
        <f>452/1.56</f>
        <v>289.74358974358972</v>
      </c>
      <c r="C182" s="53"/>
      <c r="D182" s="53"/>
      <c r="E182" s="54"/>
      <c r="F182" s="54"/>
      <c r="G182" s="54"/>
      <c r="H182" s="54"/>
      <c r="I182" s="52">
        <f t="shared" si="7"/>
        <v>3.7179487179487181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>
        <v>100</v>
      </c>
      <c r="B183" s="61">
        <f>(462+18)/1.56</f>
        <v>307.69230769230768</v>
      </c>
      <c r="C183" s="53">
        <v>9</v>
      </c>
      <c r="D183" s="53">
        <f>(18+17)/1.56</f>
        <v>22.435897435897434</v>
      </c>
      <c r="E183" s="54"/>
      <c r="F183" s="54"/>
      <c r="G183" s="54"/>
      <c r="H183" s="54"/>
      <c r="I183" s="52">
        <f t="shared" si="7"/>
        <v>3.5897435897435912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>
        <v>105</v>
      </c>
      <c r="B184" s="61">
        <f>470/1.56</f>
        <v>301.28205128205127</v>
      </c>
      <c r="C184" s="53"/>
      <c r="D184" s="53"/>
      <c r="E184" s="54"/>
      <c r="F184" s="54"/>
      <c r="G184" s="54"/>
      <c r="H184" s="54"/>
      <c r="I184" s="52">
        <f t="shared" si="7"/>
        <v>3.2051282051282102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>
        <v>110</v>
      </c>
      <c r="B185" s="61">
        <f>(479+17)/1.56</f>
        <v>317.94871794871796</v>
      </c>
      <c r="C185" s="53">
        <v>10</v>
      </c>
      <c r="D185" s="61">
        <f>(479+17)/1.56</f>
        <v>317.94871794871796</v>
      </c>
      <c r="E185" s="54"/>
      <c r="F185" s="54"/>
      <c r="G185" s="54"/>
      <c r="H185" s="54"/>
      <c r="I185" s="52">
        <f t="shared" si="7"/>
        <v>3.333333333333337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7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89" t="s">
        <v>185</v>
      </c>
      <c r="C190" s="292" t="s">
        <v>186</v>
      </c>
      <c r="D190" s="292"/>
      <c r="E190" s="293" t="s">
        <v>187</v>
      </c>
      <c r="F190" s="294"/>
      <c r="G190" s="294"/>
      <c r="H190" s="295"/>
      <c r="I190" s="102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1"/>
      <c r="C192" s="61"/>
      <c r="D192" s="61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1"/>
      <c r="C193" s="61"/>
      <c r="D193" s="61"/>
      <c r="E193" s="54"/>
      <c r="F193" s="54"/>
      <c r="G193" s="54"/>
      <c r="H193" s="54"/>
      <c r="I193" s="52" t="str">
        <f t="shared" ref="I193:I211" si="8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1"/>
      <c r="C194" s="61"/>
      <c r="D194" s="61"/>
      <c r="E194" s="54"/>
      <c r="F194" s="54"/>
      <c r="G194" s="54"/>
      <c r="H194" s="54"/>
      <c r="I194" s="52" t="str">
        <f t="shared" si="8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1"/>
      <c r="C195" s="61"/>
      <c r="D195" s="61"/>
      <c r="E195" s="54"/>
      <c r="F195" s="54"/>
      <c r="G195" s="54"/>
      <c r="H195" s="54"/>
      <c r="I195" s="52" t="str">
        <f t="shared" si="8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1"/>
      <c r="C196" s="61"/>
      <c r="D196" s="61"/>
      <c r="E196" s="54"/>
      <c r="F196" s="54"/>
      <c r="G196" s="54"/>
      <c r="H196" s="54"/>
      <c r="I196" s="52" t="str">
        <f t="shared" si="8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1"/>
      <c r="C197" s="61"/>
      <c r="D197" s="61"/>
      <c r="E197" s="54"/>
      <c r="F197" s="54"/>
      <c r="G197" s="54"/>
      <c r="H197" s="54"/>
      <c r="I197" s="52" t="str">
        <f t="shared" si="8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1"/>
      <c r="C198" s="61"/>
      <c r="D198" s="61"/>
      <c r="E198" s="54"/>
      <c r="F198" s="54"/>
      <c r="G198" s="54"/>
      <c r="H198" s="54"/>
      <c r="I198" s="52" t="str">
        <f t="shared" si="8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8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8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8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8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8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8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8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8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8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8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8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8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8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7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89" t="s">
        <v>185</v>
      </c>
      <c r="C216" s="292" t="s">
        <v>186</v>
      </c>
      <c r="D216" s="292"/>
      <c r="E216" s="293" t="s">
        <v>187</v>
      </c>
      <c r="F216" s="294"/>
      <c r="G216" s="294"/>
      <c r="H216" s="295"/>
      <c r="I216" s="102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1"/>
      <c r="C218" s="53"/>
      <c r="D218" s="61"/>
      <c r="E218" s="64"/>
      <c r="F218" s="64"/>
      <c r="G218" s="64"/>
      <c r="H218" s="64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1"/>
      <c r="C219" s="53"/>
      <c r="D219" s="61"/>
      <c r="E219" s="64"/>
      <c r="F219" s="64"/>
      <c r="G219" s="64"/>
      <c r="H219" s="64"/>
      <c r="I219" s="56" t="str">
        <f t="shared" ref="I219:I237" si="9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1"/>
      <c r="C220" s="53"/>
      <c r="D220" s="61"/>
      <c r="E220" s="64"/>
      <c r="F220" s="64"/>
      <c r="G220" s="64"/>
      <c r="H220" s="64"/>
      <c r="I220" s="56" t="str">
        <f t="shared" si="9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4"/>
      <c r="F221" s="64"/>
      <c r="G221" s="64"/>
      <c r="H221" s="64"/>
      <c r="I221" s="56" t="str">
        <f t="shared" si="9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4"/>
      <c r="F222" s="64"/>
      <c r="G222" s="64"/>
      <c r="H222" s="64"/>
      <c r="I222" s="56" t="str">
        <f t="shared" si="9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4"/>
      <c r="F223" s="64"/>
      <c r="G223" s="64"/>
      <c r="H223" s="64"/>
      <c r="I223" s="56" t="str">
        <f t="shared" si="9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4"/>
      <c r="F224" s="64"/>
      <c r="G224" s="64"/>
      <c r="H224" s="64"/>
      <c r="I224" s="56" t="str">
        <f t="shared" si="9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4"/>
      <c r="F225" s="64"/>
      <c r="G225" s="64"/>
      <c r="H225" s="64"/>
      <c r="I225" s="56" t="str">
        <f t="shared" si="9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4"/>
      <c r="F226" s="64"/>
      <c r="G226" s="64"/>
      <c r="H226" s="64"/>
      <c r="I226" s="56" t="str">
        <f t="shared" si="9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4"/>
      <c r="F227" s="64"/>
      <c r="G227" s="64"/>
      <c r="H227" s="64"/>
      <c r="I227" s="56" t="str">
        <f t="shared" si="9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4"/>
      <c r="F228" s="64"/>
      <c r="G228" s="64"/>
      <c r="H228" s="64"/>
      <c r="I228" s="56" t="str">
        <f t="shared" si="9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4"/>
      <c r="F229" s="64"/>
      <c r="G229" s="64"/>
      <c r="H229" s="64"/>
      <c r="I229" s="56" t="str">
        <f t="shared" si="9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5"/>
      <c r="F230" s="65"/>
      <c r="G230" s="65"/>
      <c r="H230" s="65"/>
      <c r="I230" s="56" t="str">
        <f t="shared" si="9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2"/>
      <c r="B231" s="61"/>
      <c r="C231" s="92"/>
      <c r="D231" s="61"/>
      <c r="E231" s="57"/>
      <c r="F231" s="57"/>
      <c r="G231" s="57"/>
      <c r="H231" s="57"/>
      <c r="I231" s="56" t="str">
        <f t="shared" si="9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9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9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9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9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9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9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7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89" t="s">
        <v>185</v>
      </c>
      <c r="C242" s="292" t="s">
        <v>186</v>
      </c>
      <c r="D242" s="292"/>
      <c r="E242" s="293" t="s">
        <v>187</v>
      </c>
      <c r="F242" s="294"/>
      <c r="G242" s="294"/>
      <c r="H242" s="295"/>
      <c r="I242" s="102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1"/>
      <c r="C244" s="61"/>
      <c r="D244" s="61"/>
      <c r="E244" s="54"/>
      <c r="F244" s="54"/>
      <c r="G244" s="54"/>
      <c r="H244" s="64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1"/>
      <c r="C245" s="61"/>
      <c r="D245" s="61"/>
      <c r="E245" s="64"/>
      <c r="F245" s="64"/>
      <c r="G245" s="64"/>
      <c r="H245" s="64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1"/>
      <c r="C246" s="61"/>
      <c r="D246" s="61"/>
      <c r="E246" s="64"/>
      <c r="F246" s="64"/>
      <c r="G246" s="64"/>
      <c r="H246" s="64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1"/>
      <c r="C247" s="61"/>
      <c r="D247" s="61"/>
      <c r="E247" s="64"/>
      <c r="F247" s="64"/>
      <c r="G247" s="64"/>
      <c r="H247" s="64"/>
      <c r="I247" s="56" t="str">
        <f t="shared" ref="I247:I263" si="10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1"/>
      <c r="C248" s="61"/>
      <c r="D248" s="61"/>
      <c r="E248" s="64"/>
      <c r="F248" s="64"/>
      <c r="G248" s="64"/>
      <c r="H248" s="64"/>
      <c r="I248" s="56" t="str">
        <f t="shared" si="10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1"/>
      <c r="C249" s="61"/>
      <c r="D249" s="61"/>
      <c r="E249" s="64"/>
      <c r="F249" s="64"/>
      <c r="G249" s="64"/>
      <c r="H249" s="64"/>
      <c r="I249" s="56" t="str">
        <f t="shared" si="10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1"/>
      <c r="C250" s="61"/>
      <c r="D250" s="61"/>
      <c r="E250" s="64"/>
      <c r="F250" s="64"/>
      <c r="G250" s="64"/>
      <c r="H250" s="64"/>
      <c r="I250" s="56" t="str">
        <f t="shared" si="10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4"/>
      <c r="F251" s="64"/>
      <c r="G251" s="64"/>
      <c r="H251" s="64"/>
      <c r="I251" s="56" t="str">
        <f t="shared" si="10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4"/>
      <c r="F252" s="64"/>
      <c r="G252" s="64"/>
      <c r="H252" s="64"/>
      <c r="I252" s="56" t="str">
        <f t="shared" si="10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4"/>
      <c r="F253" s="64"/>
      <c r="G253" s="64"/>
      <c r="H253" s="64"/>
      <c r="I253" s="56" t="str">
        <f t="shared" si="10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4"/>
      <c r="F254" s="64"/>
      <c r="G254" s="64"/>
      <c r="H254" s="64"/>
      <c r="I254" s="56" t="str">
        <f t="shared" si="10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4"/>
      <c r="F255" s="64"/>
      <c r="G255" s="64"/>
      <c r="H255" s="64"/>
      <c r="I255" s="56" t="str">
        <f t="shared" si="10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5"/>
      <c r="F256" s="65"/>
      <c r="G256" s="65"/>
      <c r="H256" s="65"/>
      <c r="I256" s="56" t="str">
        <f t="shared" si="10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2"/>
      <c r="B257" s="61"/>
      <c r="C257" s="92"/>
      <c r="D257" s="61"/>
      <c r="E257" s="57"/>
      <c r="F257" s="57"/>
      <c r="G257" s="57"/>
      <c r="H257" s="57"/>
      <c r="I257" s="56" t="str">
        <f t="shared" si="10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10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10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10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10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10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10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7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3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89" t="s">
        <v>185</v>
      </c>
      <c r="C268" s="292" t="s">
        <v>186</v>
      </c>
      <c r="D268" s="292"/>
      <c r="E268" s="293" t="s">
        <v>187</v>
      </c>
      <c r="F268" s="294"/>
      <c r="G268" s="294"/>
      <c r="H268" s="295"/>
      <c r="I268" s="102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1"/>
      <c r="C270" s="53"/>
      <c r="D270" s="61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1"/>
      <c r="C271" s="53"/>
      <c r="D271" s="61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1"/>
      <c r="C272" s="53"/>
      <c r="D272" s="61"/>
      <c r="E272" s="54"/>
      <c r="F272" s="54"/>
      <c r="G272" s="54"/>
      <c r="H272" s="54"/>
      <c r="I272" s="56" t="str">
        <f t="shared" ref="I272:I289" si="11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1"/>
      <c r="C273" s="53"/>
      <c r="D273" s="61"/>
      <c r="E273" s="54"/>
      <c r="F273" s="54"/>
      <c r="G273" s="54"/>
      <c r="H273" s="54"/>
      <c r="I273" s="56" t="str">
        <f t="shared" si="11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1"/>
      <c r="C274" s="53"/>
      <c r="D274" s="61"/>
      <c r="E274" s="54"/>
      <c r="F274" s="54"/>
      <c r="G274" s="54"/>
      <c r="H274" s="54"/>
      <c r="I274" s="56" t="str">
        <f t="shared" si="11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1"/>
      <c r="C275" s="53"/>
      <c r="D275" s="61"/>
      <c r="E275" s="64"/>
      <c r="F275" s="64"/>
      <c r="G275" s="64"/>
      <c r="H275" s="64"/>
      <c r="I275" s="56" t="str">
        <f t="shared" si="11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1"/>
      <c r="C276" s="53"/>
      <c r="D276" s="61"/>
      <c r="E276" s="64"/>
      <c r="F276" s="64"/>
      <c r="G276" s="64"/>
      <c r="H276" s="64"/>
      <c r="I276" s="56" t="str">
        <f t="shared" si="11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4"/>
      <c r="F277" s="64"/>
      <c r="G277" s="64"/>
      <c r="H277" s="64"/>
      <c r="I277" s="56" t="str">
        <f t="shared" si="11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4"/>
      <c r="F278" s="64"/>
      <c r="G278" s="64"/>
      <c r="H278" s="64"/>
      <c r="I278" s="56" t="str">
        <f t="shared" si="11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4"/>
      <c r="F279" s="64"/>
      <c r="G279" s="64"/>
      <c r="H279" s="64"/>
      <c r="I279" s="56" t="str">
        <f t="shared" si="11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4"/>
      <c r="F280" s="64"/>
      <c r="G280" s="64"/>
      <c r="H280" s="64"/>
      <c r="I280" s="56" t="str">
        <f t="shared" si="11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4"/>
      <c r="F281" s="64"/>
      <c r="G281" s="64"/>
      <c r="H281" s="64"/>
      <c r="I281" s="56" t="str">
        <f t="shared" si="11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5"/>
      <c r="F282" s="65"/>
      <c r="G282" s="65"/>
      <c r="H282" s="65"/>
      <c r="I282" s="56" t="str">
        <f t="shared" si="11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2"/>
      <c r="B283" s="61"/>
      <c r="C283" s="92"/>
      <c r="D283" s="61"/>
      <c r="E283" s="57"/>
      <c r="F283" s="57"/>
      <c r="G283" s="57"/>
      <c r="H283" s="57"/>
      <c r="I283" s="56" t="str">
        <f t="shared" si="11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1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1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1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1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1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1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69" bestFit="1" customWidth="1"/>
    <col min="2" max="4" width="11.44140625" style="69"/>
    <col min="5" max="5" width="9.5546875" style="69" customWidth="1"/>
    <col min="6" max="7" width="11.44140625" style="69"/>
    <col min="8" max="8" width="10.6640625" style="69" customWidth="1"/>
    <col min="9" max="9" width="9.44140625" style="69" customWidth="1"/>
    <col min="10" max="11" width="10.5546875" style="69" bestFit="1" customWidth="1"/>
    <col min="12" max="12" width="14" style="69" bestFit="1" customWidth="1"/>
    <col min="13" max="13" width="14" style="69" customWidth="1"/>
    <col min="14" max="23" width="11.44140625" style="69"/>
    <col min="24" max="24" width="11.6640625" style="69" bestFit="1" customWidth="1"/>
    <col min="25" max="25" width="14.5546875" style="69" bestFit="1" customWidth="1"/>
    <col min="26" max="26" width="12.44140625" style="69" bestFit="1" customWidth="1"/>
    <col min="27" max="27" width="9.6640625" style="69" bestFit="1" customWidth="1"/>
    <col min="28" max="28" width="11" style="69" bestFit="1" customWidth="1"/>
    <col min="29" max="29" width="9.44140625" style="69" bestFit="1" customWidth="1"/>
    <col min="30" max="31" width="9.44140625" style="69" customWidth="1"/>
    <col min="32" max="32" width="11.44140625" style="69"/>
    <col min="33" max="34" width="14" style="69" bestFit="1" customWidth="1"/>
    <col min="35" max="35" width="10.5546875" style="69" bestFit="1" customWidth="1"/>
    <col min="36" max="36" width="9.44140625" style="69" bestFit="1" customWidth="1"/>
    <col min="37" max="38" width="10.5546875" style="69" bestFit="1" customWidth="1"/>
    <col min="39" max="41" width="10.5546875" style="69" customWidth="1"/>
    <col min="42" max="42" width="9" style="69" bestFit="1" customWidth="1"/>
    <col min="43" max="43" width="10.5546875" style="69" bestFit="1" customWidth="1"/>
    <col min="44" max="44" width="9.33203125" style="69" bestFit="1" customWidth="1"/>
    <col min="45" max="45" width="11.6640625" style="69" bestFit="1" customWidth="1"/>
    <col min="46" max="46" width="8.44140625" style="69" bestFit="1" customWidth="1"/>
    <col min="47" max="47" width="9.44140625" style="69" bestFit="1" customWidth="1"/>
    <col min="48" max="48" width="9.6640625" style="69" bestFit="1" customWidth="1"/>
    <col min="49" max="49" width="11" style="69" bestFit="1" customWidth="1"/>
    <col min="50" max="50" width="9.44140625" style="69" bestFit="1" customWidth="1"/>
    <col min="51" max="52" width="9.44140625" style="69" customWidth="1"/>
    <col min="53" max="53" width="10.5546875" style="69" bestFit="1" customWidth="1"/>
    <col min="54" max="54" width="14.33203125" style="69" customWidth="1"/>
    <col min="55" max="55" width="14" style="69" customWidth="1"/>
    <col min="56" max="56" width="10.5546875" style="69" bestFit="1" customWidth="1"/>
    <col min="57" max="57" width="9.44140625" style="69" bestFit="1" customWidth="1"/>
    <col min="58" max="59" width="10.5546875" style="69" bestFit="1" customWidth="1"/>
    <col min="60" max="62" width="10.5546875" style="69" customWidth="1"/>
    <col min="63" max="63" width="9" style="69" bestFit="1" customWidth="1"/>
    <col min="64" max="64" width="10.5546875" style="69" bestFit="1" customWidth="1"/>
    <col min="65" max="65" width="9.33203125" style="69" bestFit="1" customWidth="1"/>
    <col min="66" max="66" width="11.6640625" style="69" bestFit="1" customWidth="1"/>
    <col min="67" max="67" width="8.44140625" style="69" bestFit="1" customWidth="1"/>
    <col min="68" max="68" width="9.44140625" style="69" bestFit="1" customWidth="1"/>
    <col min="69" max="69" width="9.6640625" style="69" bestFit="1" customWidth="1"/>
    <col min="70" max="70" width="11" style="69" bestFit="1" customWidth="1"/>
    <col min="71" max="71" width="9.44140625" style="69" bestFit="1" customWidth="1"/>
    <col min="72" max="73" width="9.44140625" style="69" customWidth="1"/>
    <col min="74" max="74" width="10.5546875" style="69" bestFit="1" customWidth="1"/>
    <col min="75" max="75" width="14" style="69" bestFit="1" customWidth="1"/>
    <col min="76" max="76" width="13.88671875" style="69" customWidth="1"/>
    <col min="77" max="77" width="10.5546875" style="69" bestFit="1" customWidth="1"/>
    <col min="78" max="78" width="9.44140625" style="69" bestFit="1" customWidth="1"/>
    <col min="79" max="80" width="10.5546875" style="69" bestFit="1" customWidth="1"/>
    <col min="81" max="83" width="10.5546875" style="69" customWidth="1"/>
    <col min="84" max="84" width="11.44140625" style="69"/>
    <col min="85" max="85" width="10.5546875" style="69" bestFit="1" customWidth="1"/>
    <col min="86" max="86" width="9.33203125" style="69" bestFit="1" customWidth="1"/>
    <col min="87" max="87" width="11.6640625" style="69" bestFit="1" customWidth="1"/>
    <col min="88" max="88" width="8.44140625" style="69" bestFit="1" customWidth="1"/>
    <col min="89" max="89" width="9.44140625" style="69" bestFit="1" customWidth="1"/>
    <col min="90" max="90" width="9.6640625" style="69" bestFit="1" customWidth="1"/>
    <col min="91" max="91" width="11" style="69" bestFit="1" customWidth="1"/>
    <col min="92" max="92" width="9.44140625" style="69" bestFit="1" customWidth="1"/>
    <col min="93" max="94" width="9.44140625" style="69" customWidth="1"/>
    <col min="95" max="95" width="11.44140625" style="69"/>
    <col min="96" max="97" width="14" style="69" customWidth="1"/>
    <col min="98" max="98" width="10.5546875" style="69" bestFit="1" customWidth="1"/>
    <col min="99" max="99" width="9.44140625" style="69" bestFit="1" customWidth="1"/>
    <col min="100" max="101" width="10.5546875" style="69" bestFit="1" customWidth="1"/>
    <col min="102" max="104" width="10.5546875" style="69" customWidth="1"/>
    <col min="105" max="105" width="9" style="69" bestFit="1" customWidth="1"/>
    <col min="106" max="106" width="10.5546875" style="69" bestFit="1" customWidth="1"/>
    <col min="107" max="107" width="9.33203125" style="69" bestFit="1" customWidth="1"/>
    <col min="108" max="108" width="11.6640625" style="69" bestFit="1" customWidth="1"/>
    <col min="109" max="109" width="8.44140625" style="69" bestFit="1" customWidth="1"/>
    <col min="110" max="110" width="9.44140625" style="69" bestFit="1" customWidth="1"/>
    <col min="111" max="111" width="9.6640625" style="69" bestFit="1" customWidth="1"/>
    <col min="112" max="112" width="11" style="69" bestFit="1" customWidth="1"/>
    <col min="113" max="113" width="9.44140625" style="69" bestFit="1" customWidth="1"/>
    <col min="114" max="115" width="9.44140625" style="69" customWidth="1"/>
    <col min="116" max="116" width="10.5546875" style="69" bestFit="1" customWidth="1"/>
    <col min="117" max="117" width="14.33203125" style="69" customWidth="1"/>
    <col min="118" max="118" width="14" style="69" bestFit="1" customWidth="1"/>
    <col min="119" max="119" width="10.5546875" style="69" bestFit="1" customWidth="1"/>
    <col min="120" max="120" width="9.44140625" style="69" bestFit="1" customWidth="1"/>
    <col min="121" max="122" width="10.5546875" style="69" bestFit="1" customWidth="1"/>
    <col min="123" max="125" width="10.5546875" style="69" customWidth="1"/>
    <col min="126" max="126" width="9" style="69" bestFit="1" customWidth="1"/>
    <col min="127" max="127" width="10.5546875" style="69" bestFit="1" customWidth="1"/>
    <col min="128" max="128" width="9.33203125" style="69" bestFit="1" customWidth="1"/>
    <col min="129" max="129" width="11.6640625" style="69" bestFit="1" customWidth="1"/>
    <col min="130" max="130" width="8.44140625" style="69" bestFit="1" customWidth="1"/>
    <col min="131" max="131" width="9.44140625" style="69" bestFit="1" customWidth="1"/>
    <col min="132" max="132" width="9.6640625" style="69" bestFit="1" customWidth="1"/>
    <col min="133" max="133" width="11" style="69" bestFit="1" customWidth="1"/>
    <col min="134" max="134" width="9.44140625" style="69" bestFit="1" customWidth="1"/>
    <col min="135" max="136" width="9.44140625" style="69" customWidth="1"/>
    <col min="137" max="137" width="10.5546875" style="69" bestFit="1" customWidth="1"/>
    <col min="138" max="139" width="14" style="69" customWidth="1"/>
    <col min="140" max="140" width="10.5546875" style="69" bestFit="1" customWidth="1"/>
    <col min="141" max="141" width="9.44140625" style="69" bestFit="1" customWidth="1"/>
    <col min="142" max="143" width="10.5546875" style="69" bestFit="1" customWidth="1"/>
    <col min="144" max="146" width="10.5546875" style="69" customWidth="1"/>
    <col min="147" max="147" width="9" style="69" bestFit="1" customWidth="1"/>
    <col min="148" max="148" width="10.5546875" style="69" bestFit="1" customWidth="1"/>
    <col min="149" max="149" width="9.33203125" style="69" bestFit="1" customWidth="1"/>
    <col min="150" max="150" width="11.6640625" style="69" bestFit="1" customWidth="1"/>
    <col min="151" max="151" width="8.44140625" style="69" bestFit="1" customWidth="1"/>
    <col min="152" max="152" width="9.44140625" style="69" bestFit="1" customWidth="1"/>
    <col min="153" max="153" width="9.6640625" style="69" bestFit="1" customWidth="1"/>
    <col min="154" max="154" width="11" style="69" bestFit="1" customWidth="1"/>
    <col min="155" max="155" width="9.44140625" style="69" bestFit="1" customWidth="1"/>
    <col min="156" max="157" width="9.44140625" style="69" customWidth="1"/>
    <col min="158" max="158" width="11.44140625" style="69"/>
    <col min="159" max="160" width="14" style="69" bestFit="1" customWidth="1"/>
    <col min="161" max="161" width="10.5546875" style="69" bestFit="1" customWidth="1"/>
    <col min="162" max="162" width="9.44140625" style="69" bestFit="1" customWidth="1"/>
    <col min="163" max="164" width="10.5546875" style="69" bestFit="1" customWidth="1"/>
    <col min="165" max="167" width="10.5546875" style="69" customWidth="1"/>
    <col min="168" max="168" width="9" style="69" bestFit="1" customWidth="1"/>
    <col min="169" max="169" width="10.5546875" style="69" bestFit="1" customWidth="1"/>
    <col min="170" max="170" width="9.33203125" style="69" bestFit="1" customWidth="1"/>
    <col min="171" max="171" width="11.6640625" style="69" bestFit="1" customWidth="1"/>
    <col min="172" max="172" width="8.109375" style="69" bestFit="1" customWidth="1"/>
    <col min="173" max="173" width="9.44140625" style="69" bestFit="1" customWidth="1"/>
    <col min="174" max="174" width="9.6640625" style="69" bestFit="1" customWidth="1"/>
    <col min="175" max="175" width="11" style="69" bestFit="1" customWidth="1"/>
    <col min="176" max="176" width="9.44140625" style="69" bestFit="1" customWidth="1"/>
    <col min="177" max="178" width="9.44140625" style="69" customWidth="1"/>
    <col min="179" max="179" width="10.5546875" style="69" bestFit="1" customWidth="1"/>
    <col min="180" max="181" width="14" style="69" bestFit="1" customWidth="1"/>
    <col min="182" max="182" width="10.5546875" style="69" bestFit="1" customWidth="1"/>
    <col min="183" max="183" width="9.44140625" style="69" bestFit="1" customWidth="1"/>
    <col min="184" max="185" width="10.5546875" style="69" bestFit="1" customWidth="1"/>
    <col min="186" max="188" width="10.5546875" style="69" customWidth="1"/>
    <col min="189" max="189" width="9" style="69" bestFit="1" customWidth="1"/>
    <col min="190" max="190" width="10.5546875" style="69" bestFit="1" customWidth="1"/>
    <col min="191" max="191" width="9.33203125" style="69" bestFit="1" customWidth="1"/>
    <col min="192" max="192" width="11.44140625" style="69"/>
    <col min="193" max="193" width="8.44140625" style="69" bestFit="1" customWidth="1"/>
    <col min="194" max="194" width="9.44140625" style="69" bestFit="1" customWidth="1"/>
    <col min="195" max="195" width="9.6640625" style="69" bestFit="1" customWidth="1"/>
    <col min="196" max="196" width="11" style="69" bestFit="1" customWidth="1"/>
    <col min="197" max="197" width="9.44140625" style="69" bestFit="1" customWidth="1"/>
    <col min="198" max="199" width="9.44140625" style="69" customWidth="1"/>
    <col min="200" max="200" width="10.5546875" style="69" bestFit="1" customWidth="1"/>
    <col min="201" max="201" width="14" style="69" customWidth="1"/>
    <col min="202" max="202" width="14.33203125" style="69" customWidth="1"/>
    <col min="203" max="203" width="10.5546875" style="69" bestFit="1" customWidth="1"/>
    <col min="204" max="204" width="9.44140625" style="69" bestFit="1" customWidth="1"/>
    <col min="205" max="206" width="10.5546875" style="69" bestFit="1" customWidth="1"/>
    <col min="207" max="209" width="10.5546875" style="69" customWidth="1"/>
    <col min="210" max="210" width="9" style="69" bestFit="1" customWidth="1"/>
    <col min="211" max="211" width="10.5546875" style="69" bestFit="1" customWidth="1"/>
    <col min="212" max="212" width="9.33203125" style="69" bestFit="1" customWidth="1"/>
    <col min="213" max="213" width="11.6640625" style="69" bestFit="1" customWidth="1"/>
    <col min="214" max="214" width="8.44140625" style="69" bestFit="1" customWidth="1"/>
    <col min="215" max="215" width="9.44140625" style="69" bestFit="1" customWidth="1"/>
    <col min="216" max="216" width="9.6640625" style="69" bestFit="1" customWidth="1"/>
    <col min="217" max="217" width="11" style="69" bestFit="1" customWidth="1"/>
    <col min="218" max="218" width="9.44140625" style="69" bestFit="1" customWidth="1"/>
    <col min="219" max="16384" width="11.44140625" style="69"/>
  </cols>
  <sheetData>
    <row r="1" spans="1:218" s="5" customFormat="1" ht="26.4" thickBot="1" x14ac:dyDescent="0.55000000000000004">
      <c r="B1" s="308" t="s">
        <v>176</v>
      </c>
      <c r="C1" s="309"/>
      <c r="D1" s="309"/>
      <c r="E1" s="309"/>
      <c r="F1" s="309"/>
      <c r="G1" s="309"/>
      <c r="H1" s="310"/>
      <c r="I1" s="305" t="str">
        <f>IF('Données projet'!$B$9="","",'Données projet'!$B$9)</f>
        <v>Cèdre de l'Atlas</v>
      </c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7"/>
      <c r="AD1" s="306" t="str">
        <f>IF('Données projet'!$B$10="","",'Données projet'!$B$10)</f>
        <v>Chêne sessile</v>
      </c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7"/>
      <c r="AY1" s="305" t="str">
        <f>IF('Données projet'!$B$11="","",'Données projet'!$B$11)</f>
        <v>Chêne pubescent</v>
      </c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7"/>
      <c r="BT1" s="305" t="str">
        <f>IF('Données projet'!$B$12="","",'Données projet'!$B$12)</f>
        <v>Alisier torminal</v>
      </c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7"/>
      <c r="CO1" s="305" t="str">
        <f>IF('Données projet'!$B$13="","",'Données projet'!$B$13)</f>
        <v>Cormier</v>
      </c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7"/>
      <c r="DJ1" s="305" t="str">
        <f>IF('Données projet'!$B$14="","",'Données projet'!$B$14)</f>
        <v>Tilleul</v>
      </c>
      <c r="DK1" s="306"/>
      <c r="DL1" s="306"/>
      <c r="DM1" s="306"/>
      <c r="DN1" s="306"/>
      <c r="DO1" s="306"/>
      <c r="DP1" s="306"/>
      <c r="DQ1" s="306"/>
      <c r="DR1" s="306"/>
      <c r="DS1" s="306"/>
      <c r="DT1" s="306"/>
      <c r="DU1" s="306"/>
      <c r="DV1" s="306"/>
      <c r="DW1" s="306"/>
      <c r="DX1" s="306"/>
      <c r="DY1" s="306"/>
      <c r="DZ1" s="306"/>
      <c r="EA1" s="306"/>
      <c r="EB1" s="306"/>
      <c r="EC1" s="306"/>
      <c r="ED1" s="307"/>
      <c r="EE1" s="305" t="str">
        <f>IF('Données projet'!$B$15="","",'Données projet'!$B$15)</f>
        <v/>
      </c>
      <c r="EF1" s="306"/>
      <c r="EG1" s="306"/>
      <c r="EH1" s="306"/>
      <c r="EI1" s="306"/>
      <c r="EJ1" s="306"/>
      <c r="EK1" s="306"/>
      <c r="EL1" s="306"/>
      <c r="EM1" s="306"/>
      <c r="EN1" s="306"/>
      <c r="EO1" s="306"/>
      <c r="EP1" s="306"/>
      <c r="EQ1" s="306"/>
      <c r="ER1" s="306"/>
      <c r="ES1" s="306"/>
      <c r="ET1" s="306"/>
      <c r="EU1" s="306"/>
      <c r="EV1" s="306"/>
      <c r="EW1" s="306"/>
      <c r="EX1" s="306"/>
      <c r="EY1" s="307"/>
      <c r="EZ1" s="305" t="str">
        <f>IF('Données projet'!$B$16="","",'Données projet'!$B$16)</f>
        <v/>
      </c>
      <c r="FA1" s="306"/>
      <c r="FB1" s="306"/>
      <c r="FC1" s="306"/>
      <c r="FD1" s="306"/>
      <c r="FE1" s="306"/>
      <c r="FF1" s="306"/>
      <c r="FG1" s="306"/>
      <c r="FH1" s="306"/>
      <c r="FI1" s="306"/>
      <c r="FJ1" s="306"/>
      <c r="FK1" s="306"/>
      <c r="FL1" s="306"/>
      <c r="FM1" s="306"/>
      <c r="FN1" s="306"/>
      <c r="FO1" s="306"/>
      <c r="FP1" s="306"/>
      <c r="FQ1" s="306"/>
      <c r="FR1" s="306"/>
      <c r="FS1" s="306"/>
      <c r="FT1" s="307"/>
      <c r="FU1" s="305" t="str">
        <f>IF('Données projet'!$B$17="","",'Données projet'!$B$17)</f>
        <v/>
      </c>
      <c r="FV1" s="306"/>
      <c r="FW1" s="306"/>
      <c r="FX1" s="306"/>
      <c r="FY1" s="306"/>
      <c r="FZ1" s="306"/>
      <c r="GA1" s="306"/>
      <c r="GB1" s="306"/>
      <c r="GC1" s="306"/>
      <c r="GD1" s="306"/>
      <c r="GE1" s="306"/>
      <c r="GF1" s="306"/>
      <c r="GG1" s="306"/>
      <c r="GH1" s="306"/>
      <c r="GI1" s="306"/>
      <c r="GJ1" s="306"/>
      <c r="GK1" s="306"/>
      <c r="GL1" s="306"/>
      <c r="GM1" s="306"/>
      <c r="GN1" s="306"/>
      <c r="GO1" s="307"/>
      <c r="GP1" s="305" t="str">
        <f>IF('Données projet'!$B$18="","",'Données projet'!$B$18)</f>
        <v/>
      </c>
      <c r="GQ1" s="306"/>
      <c r="GR1" s="306"/>
      <c r="GS1" s="306"/>
      <c r="GT1" s="306"/>
      <c r="GU1" s="306"/>
      <c r="GV1" s="306"/>
      <c r="GW1" s="306"/>
      <c r="GX1" s="306"/>
      <c r="GY1" s="306"/>
      <c r="GZ1" s="306"/>
      <c r="HA1" s="306"/>
      <c r="HB1" s="306"/>
      <c r="HC1" s="306"/>
      <c r="HD1" s="306"/>
      <c r="HE1" s="306"/>
      <c r="HF1" s="306"/>
      <c r="HG1" s="306"/>
      <c r="HH1" s="306"/>
      <c r="HI1" s="306"/>
      <c r="HJ1" s="307"/>
    </row>
    <row r="2" spans="1:218" s="5" customFormat="1" ht="58.2" thickBot="1" x14ac:dyDescent="0.35">
      <c r="A2" s="73" t="s">
        <v>178</v>
      </c>
      <c r="B2" s="74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7" t="s">
        <v>299</v>
      </c>
      <c r="I2" s="70" t="s">
        <v>298</v>
      </c>
      <c r="J2" s="71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1" t="s">
        <v>298</v>
      </c>
      <c r="AE2" s="71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0" t="s">
        <v>298</v>
      </c>
      <c r="AZ2" s="71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0" t="s">
        <v>298</v>
      </c>
      <c r="BU2" s="71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0" t="s">
        <v>298</v>
      </c>
      <c r="CP2" s="71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0" t="s">
        <v>298</v>
      </c>
      <c r="DK2" s="71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0" t="s">
        <v>298</v>
      </c>
      <c r="EF2" s="71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0" t="s">
        <v>298</v>
      </c>
      <c r="FA2" s="71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0" t="s">
        <v>298</v>
      </c>
      <c r="FV2" s="71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0" t="s">
        <v>298</v>
      </c>
      <c r="GQ2" s="71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5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8">
        <f>(B3+E3+F3)*44/12+(C3+D3)*0.475*44/12</f>
        <v>293.33333333333331</v>
      </c>
      <c r="I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0">
        <f t="shared" ref="R3:R66" si="0">Q3+(I3+J3)*44/12</f>
        <v>293.33333333333331</v>
      </c>
      <c r="S3" s="60">
        <f ca="1">AVERAGE(OFFSET($R$3,0,0,'Données projet'!$E$9+1,1))-AVERAGE(OFFSET($H$3,0,0,'Données projet'!$E$9+1,1))</f>
        <v>146.40889017442277</v>
      </c>
      <c r="T3" s="60">
        <f>IF('Données projet'!E9&gt;30,$R$33-$H$33,LOOKUP('Données projet'!$E$9,$A$3:$A$203,R3:R203)-LOOKUP('Données projet'!$E$9,$A$3:$A$203,$H$3:$H$203))</f>
        <v>70.859031694091868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0">
        <f>AL3+(AD3+AE3)*44/12</f>
        <v>293.33333333333331</v>
      </c>
      <c r="AN3" s="60">
        <f ca="1">AVERAGE(OFFSET($AM$3,0,0,'Données projet'!$E$10+1,1))-AVERAGE(OFFSET($H$3,0,0,'Données projet'!$E$10+1,1))</f>
        <v>404.14319681142746</v>
      </c>
      <c r="AO3" s="60">
        <f>IF('Données projet'!E10&gt;30,$AM$33-$H$33,LOOKUP('Données projet'!$E$10,$A$3:$A$203,AM3:AM203)-LOOKUP('Données projet'!$E$10,$A$3:$A$203,$H$3:$H$203))</f>
        <v>203.5274665601915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0">
        <f>BG3+(AY3+AZ3)*44/12</f>
        <v>293.33333333333331</v>
      </c>
      <c r="BI3" s="60">
        <f ca="1">AVERAGE(OFFSET($BH$3,0,0,'Données projet'!$E$11+1,1))-AVERAGE(OFFSET($H$3,0,0,'Données projet'!$E$11+1,1))</f>
        <v>350.3652766444938</v>
      </c>
      <c r="BJ3" s="60">
        <f>IF('Données projet'!E11&gt;30,$BH$33-$H$33,LOOKUP('Données projet'!$E$11,$A$3:$A$203,BH3:BH203)-LOOKUP('Données projet'!$E$11,$A$3:$A$203,$H$3:$H$203))</f>
        <v>197.04549436738586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0">
        <f>CB3+(BT3+BU3)*44/12</f>
        <v>293.33333333333331</v>
      </c>
      <c r="CD3" s="60">
        <f ca="1">AVERAGE(OFFSET($CC$3,0,0,'Données projet'!$E$12+1,1))-AVERAGE(OFFSET($H$3,0,0,'Données projet'!$E$12+1,1))</f>
        <v>330.39429528665841</v>
      </c>
      <c r="CE3" s="60">
        <f>IF('Données projet'!E12&gt;30,$CC$33-$H$33,LOOKUP('Données projet'!$E$12,$A$3:$A$203,CC3:CC203)-LOOKUP('Données projet'!$E$12,$A$3:$A$203,$H$3:$H$203))</f>
        <v>186.45728006007261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0">
        <f>CW3+(CO3+CP3)*44/12</f>
        <v>293.33333333333331</v>
      </c>
      <c r="CY3" s="60">
        <f ca="1">AVERAGE(OFFSET($CX$3,0,0,'Données projet'!$E$13+1,1))-AVERAGE(OFFSET($H$3,0,0,'Données projet'!$E$13+1,1))</f>
        <v>376.96388721258387</v>
      </c>
      <c r="CZ3" s="60">
        <f>IF('Données projet'!E13&gt;30,$CX$33-$H$33,LOOKUP('Données projet'!$E$13,$A$3:$A$203,CX3:CX203)-LOOKUP('Données projet'!$E$13,$A$3:$A$203,$H$3:$H$203))</f>
        <v>211.14628470344377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0">
        <f>DR3+(DJ3+DK3)*44/12</f>
        <v>293.33333333333331</v>
      </c>
      <c r="DT3" s="60">
        <f ca="1">AVERAGE(OFFSET($DS$3,0,0,'Données projet'!$E$14+1,1))-AVERAGE(OFFSET($H$3,0,0,'Données projet'!$E$14+1,1))</f>
        <v>212.33913923444732</v>
      </c>
      <c r="DU3" s="60">
        <f>IF('Données projet'!E14&gt;30,$DS$33-$H$33,LOOKUP('Données projet'!$E$14,$A$3:$A$203,DS3:DS203)-LOOKUP('Données projet'!$E$14,$A$3:$A$203,$H$3:$H$203))</f>
        <v>183.51194426094372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0" t="e">
        <f>EM3+(EE3+EF3)*44/12</f>
        <v>#N/A</v>
      </c>
      <c r="EO3" s="60" t="e">
        <f ca="1">AVERAGE(OFFSET($EN$3,0,0,'Données projet'!$E$15+1,1))-AVERAGE(OFFSET($H$3,0,0,'Données projet'!$E$15+1,1))</f>
        <v>#N/A</v>
      </c>
      <c r="EP3" s="60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0" t="e">
        <f>FH3+(EZ3+FA3)*44/12</f>
        <v>#N/A</v>
      </c>
      <c r="FJ3" s="60" t="e">
        <f ca="1">AVERAGE(OFFSET($FI$3,0,0,'Données projet'!$E$16+1,1))-AVERAGE(OFFSET($H$3,0,0,'Données projet'!$E$16+1,1))</f>
        <v>#N/A</v>
      </c>
      <c r="FK3" s="60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0" t="e">
        <f>GC3+(FU3+FV3)*44/12</f>
        <v>#N/A</v>
      </c>
      <c r="GE3" s="60" t="e">
        <f ca="1">AVERAGE(OFFSET($GD$3,0,0,'Données projet'!$E$17+1,1))-AVERAGE(OFFSET($H$3,0,0,'Données projet'!$E$17+1,1))</f>
        <v>#N/A</v>
      </c>
      <c r="GF3" s="60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0" t="e">
        <f>GX3+(GP3+GQ3)*44/12</f>
        <v>#N/A</v>
      </c>
      <c r="GZ3" s="60" t="e">
        <f ca="1">AVERAGE(OFFSET($GY$3,0,0,'Données projet'!$E$18+1,1))-AVERAGE(OFFSET($H$3,0,0,'Données projet'!$E$18+1,1))</f>
        <v>#N/A</v>
      </c>
      <c r="HA3" s="60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5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2">
        <f>IFERROR(EXP(-1.0587+0.8836*LN(C4)+0.284),0)</f>
        <v>0.26998241883213048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8">
        <f t="shared" ref="H4:H67" si="1">(B4+E4+F4)*44/12+(C4+D4)*0.475*44/12</f>
        <v>294.75450271279925</v>
      </c>
      <c r="I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3.4425641025641025</v>
      </c>
      <c r="N4" s="14">
        <f>IF('Données projet'!$A$36&gt;35,N3+M4-V3,IF(A4&lt;'Données projet'!$A$36,$K$205^A4,IF(A4='Données projet'!$A$36,'Données projet'!$B$36,N3+M4-V3)))</f>
        <v>1.1671681906248585</v>
      </c>
      <c r="O4" s="14">
        <f>N4*VLOOKUP('Données projet'!$B$9,Paramètres!$A$1:$I$89,3,0)*VLOOKUP('Données projet'!$B$9,Paramètres!$A$1:$I$89,5,0)</f>
        <v>0.54623471321243378</v>
      </c>
      <c r="P4" s="14">
        <f>EXP(-1.0587+0.8836*LN(O4)+0.284)</f>
        <v>0.27008496636632595</v>
      </c>
      <c r="Q4" s="22">
        <f t="shared" ref="Q4:Q34" si="2">(O4+P4)*0.475*44/12</f>
        <v>1.4217567752663396</v>
      </c>
      <c r="R4" s="60">
        <f t="shared" si="0"/>
        <v>294.75509010859963</v>
      </c>
      <c r="S4" s="60">
        <f ca="1">AVERAGE(OFFSET($R$3,0,0,'Données projet'!$E$9+1,1))-AVERAGE(OFFSET($H$3,0,0,'Données projet'!$E$9+1,1))</f>
        <v>146.40889017442277</v>
      </c>
      <c r="T4" s="60">
        <f>$T$3</f>
        <v>70.859031694091868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3.65</v>
      </c>
      <c r="AI4" s="14">
        <f>IF('Données projet'!$A$62&gt;35,AI3+AH4-AQ3,IF(A4&lt;'Données projet'!$A$62,$AF$205^A4,IF(A4='Données projet'!$A$62,'Données projet'!$B$62,AI3+AH4-AQ3)))</f>
        <v>1.2392705892426346</v>
      </c>
      <c r="AJ4" s="14">
        <f>AI4*VLOOKUP('Données projet'!$B$10,Paramètres!$A$1:$I$89,3,0)*VLOOKUP('Données projet'!$B$10,Paramètres!$A$1:$I$89,5,0)</f>
        <v>1.1212920291467359</v>
      </c>
      <c r="AK4" s="14">
        <f>EXP(-1.0587+0.8836*LN(AJ4)+0.284)</f>
        <v>0.50989827066551541</v>
      </c>
      <c r="AL4" s="22">
        <f t="shared" ref="AL4:AL67" si="4">(AJ4+AK4)*0.475*44/12</f>
        <v>2.8409897721730037</v>
      </c>
      <c r="AM4" s="60">
        <f t="shared" ref="AM4:AM67" si="5">AL4+(AD4+AE4)*44/12</f>
        <v>296.17432310550635</v>
      </c>
      <c r="AN4" s="60">
        <f ca="1">AVERAGE(OFFSET($AM$3,0,0,'Données projet'!$E$10+1,1))-AVERAGE(OFFSET($H$3,0,0,'Données projet'!$E$10+1,1))</f>
        <v>404.14319681142746</v>
      </c>
      <c r="AO4" s="60">
        <f>$AO$3</f>
        <v>203.5274665601915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2.1</v>
      </c>
      <c r="BD4" s="13">
        <f>IF('Données projet'!$A$88&gt;35,BD3+BC4-BL3,IF(A4&lt;'Données projet'!$A$88,$BA$205^A4,IF(A4='Données projet'!$A$88,'Données projet'!$B$88,BD3+BC4-BL3)))</f>
        <v>1.2054868146447177</v>
      </c>
      <c r="BE4" s="14">
        <f>BD4*VLOOKUP('Données projet'!$B$11,Paramètres!$A$1:$I$89,3,0)*VLOOKUP('Données projet'!$B$11,Paramètres!$A$1:$I$89,5,0)</f>
        <v>1.2223636300497438</v>
      </c>
      <c r="BF4" s="14">
        <f>EXP(-1.0587+0.8836*LN(BE4)+0.284)</f>
        <v>0.55030360208821416</v>
      </c>
      <c r="BG4" s="22">
        <f t="shared" ref="BG4:BG67" si="7">(BE4+BF4)*0.475*44/12</f>
        <v>3.0873954293069432</v>
      </c>
      <c r="BH4" s="60">
        <f t="shared" ref="BH4:BH67" si="8">BG4+(AY4+AZ4)*44/12</f>
        <v>296.42072876264024</v>
      </c>
      <c r="BI4" s="60">
        <f ca="1">AVERAGE(OFFSET($BH$3,0,0,'Données projet'!$E$11+1,1))-AVERAGE(OFFSET($H$3,0,0,'Données projet'!$E$11+1,1))</f>
        <v>350.3652766444938</v>
      </c>
      <c r="BJ4" s="60">
        <f>$BJ$3</f>
        <v>197.04549436738586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2.1</v>
      </c>
      <c r="BY4" s="13">
        <f>IF('Données projet'!$A$114&gt;35,BY3+BX4-CG3,IF(A4&lt;'Données projet'!$A$114,$BV$205^A4,IF(A4='Données projet'!$A$114,'Données projet'!$B$114,BY3+BX4-CG3)))</f>
        <v>1.2054868146447177</v>
      </c>
      <c r="BZ4" s="14">
        <f>BY4*VLOOKUP('Données projet'!$B$12,Paramètres!$A$1:$I$89,3,0)*VLOOKUP('Données projet'!$B$12,Paramètres!$A$1:$I$89,5,0)</f>
        <v>1.165946847124371</v>
      </c>
      <c r="CA4" s="14">
        <f>EXP(-1.0587+0.8836*LN(BZ4)+0.284)</f>
        <v>0.52780002987456354</v>
      </c>
      <c r="CB4" s="22">
        <f t="shared" ref="CB4:CB67" si="10">(BZ4+CA4)*0.475*44/12</f>
        <v>2.9499424774398109</v>
      </c>
      <c r="CC4" s="60">
        <f t="shared" ref="CC4:CC67" si="11">CB4+(BT4+BU4)*44/12</f>
        <v>296.28327581077315</v>
      </c>
      <c r="CD4" s="60">
        <f ca="1">AVERAGE(OFFSET($CC$3,0,0,'Données projet'!$E$12+1,1))-AVERAGE(OFFSET($H$3,0,0,'Données projet'!$E$12+1,1))</f>
        <v>330.39429528665841</v>
      </c>
      <c r="CE4" s="60">
        <f>$CE$3</f>
        <v>186.45728006007261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2.1</v>
      </c>
      <c r="CT4" s="13">
        <f>IF('Données projet'!$A$140&gt;35,CT3+CS4-DB3,IF(A4&lt;'Données projet'!$A$140,$CQ$205^A4,IF(A4='Données projet'!$A$140,'Données projet'!$B$140,CT3+CS4-DB3)))</f>
        <v>1.2054868146447177</v>
      </c>
      <c r="CU4" s="18">
        <f>CT4*VLOOKUP('Données projet'!$B$13,Paramètres!$A$1:$I$89,3,0)*VLOOKUP('Données projet'!$B$13,Paramètres!$A$1:$I$89,5,0)</f>
        <v>1.2975860072835741</v>
      </c>
      <c r="CV4" s="14">
        <f>EXP(-1.0587+0.8836*LN(CU4)+0.284)</f>
        <v>0.58012177912374829</v>
      </c>
      <c r="CW4" s="22">
        <f t="shared" ref="CW4:CW67" si="13">(CU4+CV4)*0.475*44/12</f>
        <v>3.2703410613260862</v>
      </c>
      <c r="CX4" s="60">
        <f t="shared" ref="CX4:CX67" si="14">CW4+(CO4+CP4)*44/12</f>
        <v>296.60367439465938</v>
      </c>
      <c r="CY4" s="60">
        <f ca="1">AVERAGE(OFFSET($CX$3,0,0,'Données projet'!$E$13+1,1))-AVERAGE(OFFSET($H$3,0,0,'Données projet'!$E$13+1,1))</f>
        <v>376.96388721258387</v>
      </c>
      <c r="CZ4" s="60">
        <f>$CZ$3</f>
        <v>211.14628470344377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3.3333333333333335</v>
      </c>
      <c r="DO4" s="13">
        <f>IF('Données projet'!$A$166&gt;35,DO3+DN4-DW3,IF(A4&lt;'Données projet'!$A$166,$DL$205^A4,IF(A4='Données projet'!$A$166,'Données projet'!$B$166,DO3+DN4-DW3)))</f>
        <v>1.2979700365523266</v>
      </c>
      <c r="DP4" s="18">
        <f>DO4*VLOOKUP('Données projet'!$B$14,Paramètres!$A$1:$I$89,3,0)*VLOOKUP('Données projet'!$B$14,Paramètres!$A$1:$I$89,5,0)</f>
        <v>0.87067830051930062</v>
      </c>
      <c r="DQ4" s="14">
        <f>EXP(-1.0587+0.8836*LN(DP4)+0.284)</f>
        <v>0.40776537662742923</v>
      </c>
      <c r="DR4" s="22">
        <f t="shared" ref="DR4:DR67" si="16">(DP4+DQ4)*0.475*44/12</f>
        <v>2.226622737697221</v>
      </c>
      <c r="DS4" s="60">
        <f t="shared" ref="DS4:DS67" si="17">DR4+(DJ4+DK4)*44/12</f>
        <v>295.55995607103051</v>
      </c>
      <c r="DT4" s="60">
        <f ca="1">AVERAGE(OFFSET($DS$3,0,0,'Données projet'!$E$14+1,1))-AVERAGE(OFFSET($H$3,0,0,'Données projet'!$E$14+1,1))</f>
        <v>212.33913923444732</v>
      </c>
      <c r="DU4" s="60">
        <f>$DU$3</f>
        <v>183.51194426094372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0" t="e">
        <f t="shared" ref="EN4:EN67" si="20">EM4+(EE4+EF4)*44/12</f>
        <v>#N/A</v>
      </c>
      <c r="EO4" s="60" t="e">
        <f ca="1">AVERAGE(OFFSET($EN$3,0,0,'Données projet'!$E$15+1,1))-AVERAGE(OFFSET($H$3,0,0,'Données projet'!$E$15+1,1))</f>
        <v>#N/A</v>
      </c>
      <c r="EP4" s="60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0" t="e">
        <f t="shared" ref="FI4:FI67" si="23">FH4+(EZ4+FA4)*44/12</f>
        <v>#N/A</v>
      </c>
      <c r="FJ4" s="60" t="e">
        <f ca="1">AVERAGE(OFFSET($FI$3,0,0,'Données projet'!$E$16+1,1))-AVERAGE(OFFSET($H$3,0,0,'Données projet'!$E$16+1,1))</f>
        <v>#N/A</v>
      </c>
      <c r="FK4" s="60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0" t="e">
        <f t="shared" ref="GD4:GD67" si="26">GC4+(FU4+FV4)*44/12</f>
        <v>#N/A</v>
      </c>
      <c r="GE4" s="60" t="e">
        <f ca="1">AVERAGE(OFFSET($GD$3,0,0,'Données projet'!$E$17+1,1))-AVERAGE(OFFSET($H$3,0,0,'Données projet'!$E$17+1,1))</f>
        <v>#N/A</v>
      </c>
      <c r="GF4" s="60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0" t="e">
        <f t="shared" ref="GY4:GY67" si="29">GX4+(GP4+GQ4)*44/12</f>
        <v>#N/A</v>
      </c>
      <c r="GZ4" s="60" t="e">
        <f ca="1">AVERAGE(OFFSET($GY$3,0,0,'Données projet'!$E$18+1,1))-AVERAGE(OFFSET($H$3,0,0,'Données projet'!$E$18+1,1))</f>
        <v>#N/A</v>
      </c>
      <c r="HA4" s="60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5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2">
        <f t="shared" ref="D5:D68" si="32">IFERROR(EXP(-1.0587+0.8836*LN(C5)+0.284),0)</f>
        <v>0.49811037558348636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8">
        <f t="shared" si="1"/>
        <v>296.10277557080786</v>
      </c>
      <c r="I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3.4425641025641025</v>
      </c>
      <c r="N5" s="14">
        <f>IF('Données projet'!$A$36&gt;35,N4+M5-V4,IF(A5&lt;'Données projet'!$A$36,$K$205^A5,IF(A5='Données projet'!$A$36,'Données projet'!$B$36,N4+M5-V4)))</f>
        <v>1.3622815852065062</v>
      </c>
      <c r="O5" s="14">
        <f>N5*VLOOKUP('Données projet'!$B$9,Paramètres!$A$1:$I$89,3,0)*VLOOKUP('Données projet'!$B$9,Paramètres!$A$1:$I$89,5,0)</f>
        <v>0.63754778187664485</v>
      </c>
      <c r="P5" s="14">
        <f t="shared" ref="P5:P68" si="33">EXP(-1.0587+0.8836*LN(O5)+0.284)</f>
        <v>0.30961323785545058</v>
      </c>
      <c r="Q5" s="22">
        <f t="shared" si="2"/>
        <v>1.6496387760333995</v>
      </c>
      <c r="R5" s="60">
        <f t="shared" si="0"/>
        <v>294.9829721093667</v>
      </c>
      <c r="S5" s="60">
        <f ca="1">AVERAGE(OFFSET($R$3,0,0,'Données projet'!$E$9+1,1))-AVERAGE(OFFSET($H$3,0,0,'Données projet'!$E$9+1,1))</f>
        <v>146.40889017442277</v>
      </c>
      <c r="T5" s="60">
        <f t="shared" ref="T5:T68" si="34">$T$3</f>
        <v>70.859031694091868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3.65</v>
      </c>
      <c r="AI5" s="14">
        <f>IF('Données projet'!$A$62&gt;35,AI4+AH5-AQ4,IF(A5&lt;'Données projet'!$A$62,$AF$205^A5,IF(A5='Données projet'!$A$62,'Données projet'!$B$62,AI4+AH5-AQ4)))</f>
        <v>1.5357915933617867</v>
      </c>
      <c r="AJ5" s="14">
        <f>AI5*VLOOKUP('Données projet'!$B$10,Paramètres!$A$1:$I$89,3,0)*VLOOKUP('Données projet'!$B$10,Paramètres!$A$1:$I$89,5,0)</f>
        <v>1.3895842336737447</v>
      </c>
      <c r="AK5" s="14">
        <f t="shared" ref="AK5:AK68" si="35">EXP(-1.0587+0.8836*LN(AJ5)+0.284)</f>
        <v>0.61631841327304715</v>
      </c>
      <c r="AL5" s="22">
        <f t="shared" si="4"/>
        <v>3.4936137767656628</v>
      </c>
      <c r="AM5" s="60">
        <f t="shared" si="5"/>
        <v>296.82694711009896</v>
      </c>
      <c r="AN5" s="60">
        <f ca="1">AVERAGE(OFFSET($AM$3,0,0,'Données projet'!$E$10+1,1))-AVERAGE(OFFSET($H$3,0,0,'Données projet'!$E$10+1,1))</f>
        <v>404.14319681142746</v>
      </c>
      <c r="AO5" s="60">
        <f t="shared" ref="AO5:AO68" si="36">$AO$3</f>
        <v>203.5274665601915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2.1</v>
      </c>
      <c r="BD5" s="13">
        <f>IF('Données projet'!$A$88&gt;35,BD4+BC5-BL4,IF(A5&lt;'Données projet'!$A$88,$BA$205^A5,IF(A5='Données projet'!$A$88,'Données projet'!$B$88,BD4+BC5-BL4)))</f>
        <v>1.4531984602822681</v>
      </c>
      <c r="BE5" s="14">
        <f>BD5*VLOOKUP('Données projet'!$B$11,Paramètres!$A$1:$I$89,3,0)*VLOOKUP('Données projet'!$B$11,Paramètres!$A$1:$I$89,5,0)</f>
        <v>1.47354323872622</v>
      </c>
      <c r="BF5" s="14">
        <f t="shared" ref="BF5:BF68" si="37">EXP(-1.0587+0.8836*LN(BE5)+0.284)</f>
        <v>0.64910881835703094</v>
      </c>
      <c r="BG5" s="22">
        <f t="shared" si="7"/>
        <v>3.6969523327533285</v>
      </c>
      <c r="BH5" s="60">
        <f t="shared" si="8"/>
        <v>297.03028566608663</v>
      </c>
      <c r="BI5" s="60">
        <f ca="1">AVERAGE(OFFSET($BH$3,0,0,'Données projet'!$E$11+1,1))-AVERAGE(OFFSET($H$3,0,0,'Données projet'!$E$11+1,1))</f>
        <v>350.3652766444938</v>
      </c>
      <c r="BJ5" s="60">
        <f t="shared" ref="BJ5:BJ68" si="38">$BJ$3</f>
        <v>197.04549436738586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2.1</v>
      </c>
      <c r="BY5" s="13">
        <f>IF('Données projet'!$A$114&gt;35,BY4+BX5-CG4,IF(A5&lt;'Données projet'!$A$114,$BV$205^A5,IF(A5='Données projet'!$A$114,'Données projet'!$B$114,BY4+BX5-CG4)))</f>
        <v>1.4531984602822681</v>
      </c>
      <c r="BZ5" s="14">
        <f>BY5*VLOOKUP('Données projet'!$B$12,Paramètres!$A$1:$I$89,3,0)*VLOOKUP('Données projet'!$B$12,Paramètres!$A$1:$I$89,5,0)</f>
        <v>1.4055335507850097</v>
      </c>
      <c r="CA5" s="14">
        <f t="shared" ref="CA5:CA68" si="39">EXP(-1.0587+0.8836*LN(BZ5)+0.284)</f>
        <v>0.62256480317525631</v>
      </c>
      <c r="CB5" s="22">
        <f t="shared" si="10"/>
        <v>3.5322712998141292</v>
      </c>
      <c r="CC5" s="60">
        <f t="shared" si="11"/>
        <v>296.86560463314743</v>
      </c>
      <c r="CD5" s="60">
        <f ca="1">AVERAGE(OFFSET($CC$3,0,0,'Données projet'!$E$12+1,1))-AVERAGE(OFFSET($H$3,0,0,'Données projet'!$E$12+1,1))</f>
        <v>330.39429528665841</v>
      </c>
      <c r="CE5" s="60">
        <f t="shared" ref="CE5:CE68" si="40">$CE$3</f>
        <v>186.45728006007261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2.1</v>
      </c>
      <c r="CT5" s="13">
        <f>IF('Données projet'!$A$140&gt;35,CT4+CS5-DB4,IF(A5&lt;'Données projet'!$A$140,$CQ$205^A5,IF(A5='Données projet'!$A$140,'Données projet'!$B$140,CT4+CS5-DB4)))</f>
        <v>1.4531984602822681</v>
      </c>
      <c r="CU5" s="18">
        <f>CT5*VLOOKUP('Données projet'!$B$13,Paramètres!$A$1:$I$89,3,0)*VLOOKUP('Données projet'!$B$13,Paramètres!$A$1:$I$89,5,0)</f>
        <v>1.5642228226478332</v>
      </c>
      <c r="CV5" s="14">
        <f t="shared" ref="CV5:CV68" si="41">EXP(-1.0587+0.8836*LN(CU5)+0.284)</f>
        <v>0.68428075179095682</v>
      </c>
      <c r="CW5" s="22">
        <f t="shared" si="13"/>
        <v>3.9161437254808931</v>
      </c>
      <c r="CX5" s="60">
        <f t="shared" si="14"/>
        <v>297.24947705881419</v>
      </c>
      <c r="CY5" s="60">
        <f ca="1">AVERAGE(OFFSET($CX$3,0,0,'Données projet'!$E$13+1,1))-AVERAGE(OFFSET($H$3,0,0,'Données projet'!$E$13+1,1))</f>
        <v>376.96388721258387</v>
      </c>
      <c r="CZ5" s="60">
        <f t="shared" ref="CZ5:CZ68" si="42">$CZ$3</f>
        <v>211.14628470344377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3.3333333333333335</v>
      </c>
      <c r="DO5" s="13">
        <f>IF('Données projet'!$A$166&gt;35,DO4+DN5-DW4,IF(A5&lt;'Données projet'!$A$166,$DL$205^A5,IF(A5='Données projet'!$A$166,'Données projet'!$B$166,DO4+DN5-DW4)))</f>
        <v>1.6847262157876479</v>
      </c>
      <c r="DP5" s="18">
        <f>DO5*VLOOKUP('Données projet'!$B$14,Paramètres!$A$1:$I$89,3,0)*VLOOKUP('Données projet'!$B$14,Paramètres!$A$1:$I$89,5,0)</f>
        <v>1.1301143455503542</v>
      </c>
      <c r="DQ5" s="14">
        <f t="shared" ref="DQ5:DQ68" si="43">EXP(-1.0587+0.8836*LN(DP5)+0.284)</f>
        <v>0.5134415452108555</v>
      </c>
      <c r="DR5" s="22">
        <f t="shared" si="16"/>
        <v>2.8625265097424397</v>
      </c>
      <c r="DS5" s="60">
        <f t="shared" si="17"/>
        <v>296.19585984307577</v>
      </c>
      <c r="DT5" s="60">
        <f ca="1">AVERAGE(OFFSET($DS$3,0,0,'Données projet'!$E$14+1,1))-AVERAGE(OFFSET($H$3,0,0,'Données projet'!$E$14+1,1))</f>
        <v>212.33913923444732</v>
      </c>
      <c r="DU5" s="60">
        <f t="shared" ref="DU5:DU68" si="44">$DU$3</f>
        <v>183.51194426094372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0" t="e">
        <f t="shared" si="20"/>
        <v>#N/A</v>
      </c>
      <c r="EO5" s="60" t="e">
        <f ca="1">AVERAGE(OFFSET($EN$3,0,0,'Données projet'!$E$15+1,1))-AVERAGE(OFFSET($H$3,0,0,'Données projet'!$E$15+1,1))</f>
        <v>#N/A</v>
      </c>
      <c r="EP5" s="60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0" t="e">
        <f t="shared" si="23"/>
        <v>#N/A</v>
      </c>
      <c r="FJ5" s="60" t="e">
        <f ca="1">AVERAGE(OFFSET($FI$3,0,0,'Données projet'!$E$16+1,1))-AVERAGE(OFFSET($H$3,0,0,'Données projet'!$E$16+1,1))</f>
        <v>#N/A</v>
      </c>
      <c r="FK5" s="60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0" t="e">
        <f t="shared" si="26"/>
        <v>#N/A</v>
      </c>
      <c r="GE5" s="60" t="e">
        <f ca="1">AVERAGE(OFFSET($GD$3,0,0,'Données projet'!$E$17+1,1))-AVERAGE(OFFSET($H$3,0,0,'Données projet'!$E$17+1,1))</f>
        <v>#N/A</v>
      </c>
      <c r="GF5" s="60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0" t="e">
        <f t="shared" si="29"/>
        <v>#N/A</v>
      </c>
      <c r="GZ5" s="60" t="e">
        <f ca="1">AVERAGE(OFFSET($GY$3,0,0,'Données projet'!$E$18+1,1))-AVERAGE(OFFSET($H$3,0,0,'Données projet'!$E$18+1,1))</f>
        <v>#N/A</v>
      </c>
      <c r="HA5" s="60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5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2">
        <f t="shared" si="32"/>
        <v>0.71272144204532062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8">
        <f t="shared" si="1"/>
        <v>297.42750651156223</v>
      </c>
      <c r="I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3.4425641025641025</v>
      </c>
      <c r="N6" s="14">
        <f>IF('Données projet'!$A$36&gt;35,N5+M6-V5,IF(A6&lt;'Données projet'!$A$36,$K$205^A6,IF(A6='Données projet'!$A$36,'Données projet'!$B$36,N5+M6-V5)))</f>
        <v>1.590011732927042</v>
      </c>
      <c r="O6" s="14">
        <f>N6*VLOOKUP('Données projet'!$B$9,Paramètres!$A$1:$I$89,3,0)*VLOOKUP('Données projet'!$B$9,Paramètres!$A$1:$I$89,5,0)</f>
        <v>0.7441254910098557</v>
      </c>
      <c r="P6" s="14">
        <f t="shared" si="33"/>
        <v>0.35492666750402163</v>
      </c>
      <c r="Q6" s="22">
        <f t="shared" si="2"/>
        <v>1.9141825094116696</v>
      </c>
      <c r="R6" s="60">
        <f t="shared" si="0"/>
        <v>295.24751584274497</v>
      </c>
      <c r="S6" s="60">
        <f ca="1">AVERAGE(OFFSET($R$3,0,0,'Données projet'!$E$9+1,1))-AVERAGE(OFFSET($H$3,0,0,'Données projet'!$E$9+1,1))</f>
        <v>146.40889017442277</v>
      </c>
      <c r="T6" s="60">
        <f t="shared" si="34"/>
        <v>70.859031694091868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3.65</v>
      </c>
      <c r="AI6" s="14">
        <f>IF('Données projet'!$A$62&gt;35,AI5+AH6-AQ5,IF(A6&lt;'Données projet'!$A$62,$AF$205^A6,IF(A6='Données projet'!$A$62,'Données projet'!$B$62,AI5+AH6-AQ5)))</f>
        <v>1.9032613528593461</v>
      </c>
      <c r="AJ6" s="14">
        <f>AI6*VLOOKUP('Données projet'!$B$10,Paramètres!$A$1:$I$89,3,0)*VLOOKUP('Données projet'!$B$10,Paramètres!$A$1:$I$89,5,0)</f>
        <v>1.7220708720671365</v>
      </c>
      <c r="AK6" s="14">
        <f t="shared" si="35"/>
        <v>0.74494935243383209</v>
      </c>
      <c r="AL6" s="22">
        <f t="shared" si="4"/>
        <v>4.2967268910058536</v>
      </c>
      <c r="AM6" s="60">
        <f t="shared" si="5"/>
        <v>297.63006022433916</v>
      </c>
      <c r="AN6" s="60">
        <f ca="1">AVERAGE(OFFSET($AM$3,0,0,'Données projet'!$E$10+1,1))-AVERAGE(OFFSET($H$3,0,0,'Données projet'!$E$10+1,1))</f>
        <v>404.14319681142746</v>
      </c>
      <c r="AO6" s="60">
        <f t="shared" si="36"/>
        <v>203.5274665601915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2.1</v>
      </c>
      <c r="BD6" s="13">
        <f>IF('Données projet'!$A$88&gt;35,BD5+BC6-BL5,IF(A6&lt;'Données projet'!$A$88,$BA$205^A6,IF(A6='Données projet'!$A$88,'Données projet'!$B$88,BD5+BC6-BL5)))</f>
        <v>1.7518115829322798</v>
      </c>
      <c r="BE6" s="14">
        <f>BD6*VLOOKUP('Données projet'!$B$11,Paramètres!$A$1:$I$89,3,0)*VLOOKUP('Données projet'!$B$11,Paramètres!$A$1:$I$89,5,0)</f>
        <v>1.7763369450933317</v>
      </c>
      <c r="BF6" s="14">
        <f t="shared" si="37"/>
        <v>0.76565418883323866</v>
      </c>
      <c r="BG6" s="22">
        <f t="shared" si="7"/>
        <v>4.4273012249221102</v>
      </c>
      <c r="BH6" s="60">
        <f t="shared" si="8"/>
        <v>297.76063455825545</v>
      </c>
      <c r="BI6" s="60">
        <f ca="1">AVERAGE(OFFSET($BH$3,0,0,'Données projet'!$E$11+1,1))-AVERAGE(OFFSET($H$3,0,0,'Données projet'!$E$11+1,1))</f>
        <v>350.3652766444938</v>
      </c>
      <c r="BJ6" s="60">
        <f t="shared" si="38"/>
        <v>197.04549436738586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2.1</v>
      </c>
      <c r="BY6" s="13">
        <f>IF('Données projet'!$A$114&gt;35,BY5+BX6-CG5,IF(A6&lt;'Données projet'!$A$114,$BV$205^A6,IF(A6='Données projet'!$A$114,'Données projet'!$B$114,BY5+BX6-CG5)))</f>
        <v>1.7518115829322798</v>
      </c>
      <c r="BZ6" s="14">
        <f>BY6*VLOOKUP('Données projet'!$B$12,Paramètres!$A$1:$I$89,3,0)*VLOOKUP('Données projet'!$B$12,Paramètres!$A$1:$I$89,5,0)</f>
        <v>1.694352163012101</v>
      </c>
      <c r="CA6" s="14">
        <f t="shared" si="39"/>
        <v>0.73434428233124405</v>
      </c>
      <c r="CB6" s="22">
        <f t="shared" si="10"/>
        <v>4.2299796423063247</v>
      </c>
      <c r="CC6" s="60">
        <f t="shared" si="11"/>
        <v>297.56331297563963</v>
      </c>
      <c r="CD6" s="60">
        <f ca="1">AVERAGE(OFFSET($CC$3,0,0,'Données projet'!$E$12+1,1))-AVERAGE(OFFSET($H$3,0,0,'Données projet'!$E$12+1,1))</f>
        <v>330.39429528665841</v>
      </c>
      <c r="CE6" s="60">
        <f t="shared" si="40"/>
        <v>186.45728006007261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2.1</v>
      </c>
      <c r="CT6" s="13">
        <f>IF('Données projet'!$A$140&gt;35,CT5+CS6-DB5,IF(A6&lt;'Données projet'!$A$140,$CQ$205^A6,IF(A6='Données projet'!$A$140,'Données projet'!$B$140,CT5+CS6-DB5)))</f>
        <v>1.7518115829322798</v>
      </c>
      <c r="CU6" s="18">
        <f>CT6*VLOOKUP('Données projet'!$B$13,Paramètres!$A$1:$I$89,3,0)*VLOOKUP('Données projet'!$B$13,Paramètres!$A$1:$I$89,5,0)</f>
        <v>1.885649987868306</v>
      </c>
      <c r="CV6" s="14">
        <f t="shared" si="41"/>
        <v>0.8071411281590839</v>
      </c>
      <c r="CW6" s="22">
        <f t="shared" si="13"/>
        <v>4.6899445270810372</v>
      </c>
      <c r="CX6" s="60">
        <f t="shared" si="14"/>
        <v>298.02327786041434</v>
      </c>
      <c r="CY6" s="60">
        <f ca="1">AVERAGE(OFFSET($CX$3,0,0,'Données projet'!$E$13+1,1))-AVERAGE(OFFSET($H$3,0,0,'Données projet'!$E$13+1,1))</f>
        <v>376.96388721258387</v>
      </c>
      <c r="CZ6" s="60">
        <f t="shared" si="42"/>
        <v>211.14628470344377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3.3333333333333335</v>
      </c>
      <c r="DO6" s="13">
        <f>IF('Données projet'!$A$166&gt;35,DO5+DN6-DW5,IF(A6&lt;'Données projet'!$A$166,$DL$205^A6,IF(A6='Données projet'!$A$166,'Données projet'!$B$166,DO5+DN6-DW5)))</f>
        <v>2.1867241478865562</v>
      </c>
      <c r="DP6" s="18">
        <f>DO6*VLOOKUP('Données projet'!$B$14,Paramètres!$A$1:$I$89,3,0)*VLOOKUP('Données projet'!$B$14,Paramètres!$A$1:$I$89,5,0)</f>
        <v>1.4668545584023018</v>
      </c>
      <c r="DQ6" s="14">
        <f t="shared" si="43"/>
        <v>0.64650467023192038</v>
      </c>
      <c r="DR6" s="22">
        <f t="shared" si="16"/>
        <v>3.6807673232046039</v>
      </c>
      <c r="DS6" s="60">
        <f t="shared" si="17"/>
        <v>297.01410065653789</v>
      </c>
      <c r="DT6" s="60">
        <f ca="1">AVERAGE(OFFSET($DS$3,0,0,'Données projet'!$E$14+1,1))-AVERAGE(OFFSET($H$3,0,0,'Données projet'!$E$14+1,1))</f>
        <v>212.33913923444732</v>
      </c>
      <c r="DU6" s="60">
        <f t="shared" si="44"/>
        <v>183.51194426094372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0" t="e">
        <f t="shared" si="20"/>
        <v>#N/A</v>
      </c>
      <c r="EO6" s="60" t="e">
        <f ca="1">AVERAGE(OFFSET($EN$3,0,0,'Données projet'!$E$15+1,1))-AVERAGE(OFFSET($H$3,0,0,'Données projet'!$E$15+1,1))</f>
        <v>#N/A</v>
      </c>
      <c r="EP6" s="60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0" t="e">
        <f t="shared" si="23"/>
        <v>#N/A</v>
      </c>
      <c r="FJ6" s="60" t="e">
        <f ca="1">AVERAGE(OFFSET($FI$3,0,0,'Données projet'!$E$16+1,1))-AVERAGE(OFFSET($H$3,0,0,'Données projet'!$E$16+1,1))</f>
        <v>#N/A</v>
      </c>
      <c r="FK6" s="60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0" t="e">
        <f t="shared" si="26"/>
        <v>#N/A</v>
      </c>
      <c r="GE6" s="60" t="e">
        <f ca="1">AVERAGE(OFFSET($GD$3,0,0,'Données projet'!$E$17+1,1))-AVERAGE(OFFSET($H$3,0,0,'Données projet'!$E$17+1,1))</f>
        <v>#N/A</v>
      </c>
      <c r="GF6" s="60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0" t="e">
        <f t="shared" si="29"/>
        <v>#N/A</v>
      </c>
      <c r="GZ6" s="60" t="e">
        <f ca="1">AVERAGE(OFFSET($GY$3,0,0,'Données projet'!$E$18+1,1))-AVERAGE(OFFSET($H$3,0,0,'Données projet'!$E$18+1,1))</f>
        <v>#N/A</v>
      </c>
      <c r="HA6" s="60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5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2">
        <f t="shared" si="32"/>
        <v>0.91900038282935004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8">
        <f t="shared" si="1"/>
        <v>298.73772566676109</v>
      </c>
      <c r="I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3.4425641025641025</v>
      </c>
      <c r="N7" s="14">
        <f>IF('Données projet'!$A$36&gt;35,N6+M7-V6,IF(A7&lt;'Données projet'!$A$36,$K$205^A7,IF(A7='Données projet'!$A$36,'Données projet'!$B$36,N6+M7-V6)))</f>
        <v>1.8558111173927514</v>
      </c>
      <c r="O7" s="14">
        <f>N7*VLOOKUP('Données projet'!$B$9,Paramètres!$A$1:$I$89,3,0)*VLOOKUP('Données projet'!$B$9,Paramètres!$A$1:$I$89,5,0)</f>
        <v>0.86851960293980757</v>
      </c>
      <c r="P7" s="14">
        <f t="shared" si="33"/>
        <v>0.40687194183965542</v>
      </c>
      <c r="Q7" s="22">
        <f t="shared" si="2"/>
        <v>2.2213069404908978</v>
      </c>
      <c r="R7" s="60">
        <f t="shared" si="0"/>
        <v>295.55464027382419</v>
      </c>
      <c r="S7" s="60">
        <f ca="1">AVERAGE(OFFSET($R$3,0,0,'Données projet'!$E$9+1,1))-AVERAGE(OFFSET($H$3,0,0,'Données projet'!$E$9+1,1))</f>
        <v>146.40889017442277</v>
      </c>
      <c r="T7" s="60">
        <f t="shared" si="34"/>
        <v>70.859031694091868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3.65</v>
      </c>
      <c r="AI7" s="14">
        <f>IF('Données projet'!$A$62&gt;35,AI6+AH7-AQ6,IF(A7&lt;'Données projet'!$A$62,$AF$205^A7,IF(A7='Données projet'!$A$62,'Données projet'!$B$62,AI6+AH7-AQ6)))</f>
        <v>2.3586558182407358</v>
      </c>
      <c r="AJ7" s="14">
        <f>AI7*VLOOKUP('Données projet'!$B$10,Paramètres!$A$1:$I$89,3,0)*VLOOKUP('Données projet'!$B$10,Paramètres!$A$1:$I$89,5,0)</f>
        <v>2.1341117843442179</v>
      </c>
      <c r="AK7" s="14">
        <f t="shared" si="35"/>
        <v>0.90042667189585779</v>
      </c>
      <c r="AL7" s="22">
        <f t="shared" si="4"/>
        <v>5.2851544779514645</v>
      </c>
      <c r="AM7" s="60">
        <f t="shared" si="5"/>
        <v>298.61848781128475</v>
      </c>
      <c r="AN7" s="60">
        <f ca="1">AVERAGE(OFFSET($AM$3,0,0,'Données projet'!$E$10+1,1))-AVERAGE(OFFSET($H$3,0,0,'Données projet'!$E$10+1,1))</f>
        <v>404.14319681142746</v>
      </c>
      <c r="AO7" s="60">
        <f t="shared" si="36"/>
        <v>203.5274665601915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2.1</v>
      </c>
      <c r="BD7" s="13">
        <f>IF('Données projet'!$A$88&gt;35,BD6+BC7-BL6,IF(A7&lt;'Données projet'!$A$88,$BA$205^A7,IF(A7='Données projet'!$A$88,'Données projet'!$B$88,BD6+BC7-BL6)))</f>
        <v>2.1117857649667546</v>
      </c>
      <c r="BE7" s="14">
        <f>BD7*VLOOKUP('Données projet'!$B$11,Paramètres!$A$1:$I$89,3,0)*VLOOKUP('Données projet'!$B$11,Paramètres!$A$1:$I$89,5,0)</f>
        <v>2.1413507656762891</v>
      </c>
      <c r="BF7" s="14">
        <f t="shared" si="37"/>
        <v>0.9031249003236328</v>
      </c>
      <c r="BG7" s="22">
        <f t="shared" si="7"/>
        <v>5.3024617849498643</v>
      </c>
      <c r="BH7" s="60">
        <f t="shared" si="8"/>
        <v>298.63579511828317</v>
      </c>
      <c r="BI7" s="60">
        <f ca="1">AVERAGE(OFFSET($BH$3,0,0,'Données projet'!$E$11+1,1))-AVERAGE(OFFSET($H$3,0,0,'Données projet'!$E$11+1,1))</f>
        <v>350.3652766444938</v>
      </c>
      <c r="BJ7" s="60">
        <f t="shared" si="38"/>
        <v>197.04549436738586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2.1</v>
      </c>
      <c r="BY7" s="13">
        <f>IF('Données projet'!$A$114&gt;35,BY6+BX7-CG6,IF(A7&lt;'Données projet'!$A$114,$BV$205^A7,IF(A7='Données projet'!$A$114,'Données projet'!$B$114,BY6+BX7-CG6)))</f>
        <v>2.1117857649667546</v>
      </c>
      <c r="BZ7" s="14">
        <f>BY7*VLOOKUP('Données projet'!$B$12,Paramètres!$A$1:$I$89,3,0)*VLOOKUP('Données projet'!$B$12,Paramètres!$A$1:$I$89,5,0)</f>
        <v>2.042519191875845</v>
      </c>
      <c r="CA7" s="14">
        <f t="shared" si="39"/>
        <v>0.86619340226463792</v>
      </c>
      <c r="CB7" s="22">
        <f t="shared" si="10"/>
        <v>5.0660077681280073</v>
      </c>
      <c r="CC7" s="60">
        <f t="shared" si="11"/>
        <v>298.39934110146135</v>
      </c>
      <c r="CD7" s="60">
        <f ca="1">AVERAGE(OFFSET($CC$3,0,0,'Données projet'!$E$12+1,1))-AVERAGE(OFFSET($H$3,0,0,'Données projet'!$E$12+1,1))</f>
        <v>330.39429528665841</v>
      </c>
      <c r="CE7" s="60">
        <f t="shared" si="40"/>
        <v>186.45728006007261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2.1</v>
      </c>
      <c r="CT7" s="13">
        <f>IF('Données projet'!$A$140&gt;35,CT6+CS7-DB6,IF(A7&lt;'Données projet'!$A$140,$CQ$205^A7,IF(A7='Données projet'!$A$140,'Données projet'!$B$140,CT6+CS7-DB6)))</f>
        <v>2.1117857649667546</v>
      </c>
      <c r="CU7" s="18">
        <f>CT7*VLOOKUP('Données projet'!$B$13,Paramètres!$A$1:$I$89,3,0)*VLOOKUP('Données projet'!$B$13,Paramètres!$A$1:$I$89,5,0)</f>
        <v>2.2731261974102144</v>
      </c>
      <c r="CV7" s="14">
        <f t="shared" si="41"/>
        <v>0.95206068424520052</v>
      </c>
      <c r="CW7" s="22">
        <f t="shared" si="13"/>
        <v>5.617200485549847</v>
      </c>
      <c r="CX7" s="60">
        <f t="shared" si="14"/>
        <v>298.95053381888317</v>
      </c>
      <c r="CY7" s="60">
        <f ca="1">AVERAGE(OFFSET($CX$3,0,0,'Données projet'!$E$13+1,1))-AVERAGE(OFFSET($H$3,0,0,'Données projet'!$E$13+1,1))</f>
        <v>376.96388721258387</v>
      </c>
      <c r="CZ7" s="60">
        <f t="shared" si="42"/>
        <v>211.14628470344377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3.3333333333333335</v>
      </c>
      <c r="DO7" s="13">
        <f>IF('Données projet'!$A$166&gt;35,DO6+DN7-DW6,IF(A7&lt;'Données projet'!$A$166,$DL$205^A7,IF(A7='Données projet'!$A$166,'Données projet'!$B$166,DO6+DN7-DW6)))</f>
        <v>2.8383024221621684</v>
      </c>
      <c r="DP7" s="18">
        <f>DO7*VLOOKUP('Données projet'!$B$14,Paramètres!$A$1:$I$89,3,0)*VLOOKUP('Données projet'!$B$14,Paramètres!$A$1:$I$89,5,0)</f>
        <v>1.9039332647863827</v>
      </c>
      <c r="DQ7" s="14">
        <f t="shared" si="43"/>
        <v>0.81405233474053373</v>
      </c>
      <c r="DR7" s="22">
        <f t="shared" si="16"/>
        <v>4.7338249191760466</v>
      </c>
      <c r="DS7" s="60">
        <f t="shared" si="17"/>
        <v>298.06715825250939</v>
      </c>
      <c r="DT7" s="60">
        <f ca="1">AVERAGE(OFFSET($DS$3,0,0,'Données projet'!$E$14+1,1))-AVERAGE(OFFSET($H$3,0,0,'Données projet'!$E$14+1,1))</f>
        <v>212.33913923444732</v>
      </c>
      <c r="DU7" s="60">
        <f t="shared" si="44"/>
        <v>183.51194426094372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0" t="e">
        <f t="shared" si="20"/>
        <v>#N/A</v>
      </c>
      <c r="EO7" s="60" t="e">
        <f ca="1">AVERAGE(OFFSET($EN$3,0,0,'Données projet'!$E$15+1,1))-AVERAGE(OFFSET($H$3,0,0,'Données projet'!$E$15+1,1))</f>
        <v>#N/A</v>
      </c>
      <c r="EP7" s="60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0" t="e">
        <f t="shared" si="23"/>
        <v>#N/A</v>
      </c>
      <c r="FJ7" s="60" t="e">
        <f ca="1">AVERAGE(OFFSET($FI$3,0,0,'Données projet'!$E$16+1,1))-AVERAGE(OFFSET($H$3,0,0,'Données projet'!$E$16+1,1))</f>
        <v>#N/A</v>
      </c>
      <c r="FK7" s="60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0" t="e">
        <f t="shared" si="26"/>
        <v>#N/A</v>
      </c>
      <c r="GE7" s="60" t="e">
        <f ca="1">AVERAGE(OFFSET($GD$3,0,0,'Données projet'!$E$17+1,1))-AVERAGE(OFFSET($H$3,0,0,'Données projet'!$E$17+1,1))</f>
        <v>#N/A</v>
      </c>
      <c r="GF7" s="60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0" t="e">
        <f t="shared" si="29"/>
        <v>#N/A</v>
      </c>
      <c r="GZ7" s="60" t="e">
        <f ca="1">AVERAGE(OFFSET($GY$3,0,0,'Données projet'!$E$18+1,1))-AVERAGE(OFFSET($H$3,0,0,'Données projet'!$E$18+1,1))</f>
        <v>#N/A</v>
      </c>
      <c r="HA7" s="60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5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2">
        <f t="shared" si="32"/>
        <v>1.1192971032254277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8">
        <f t="shared" si="1"/>
        <v>300.03752578811759</v>
      </c>
      <c r="I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3.4425641025641025</v>
      </c>
      <c r="N8" s="14">
        <f>IF('Données projet'!$A$36&gt;35,N7+M8-V7,IF(A8&lt;'Données projet'!$A$36,$K$205^A8,IF(A8='Données projet'!$A$36,'Données projet'!$B$36,N7+M8-V7)))</f>
        <v>2.1660437040287945</v>
      </c>
      <c r="O8" s="14">
        <f>N8*VLOOKUP('Données projet'!$B$9,Paramètres!$A$1:$I$89,3,0)*VLOOKUP('Données projet'!$B$9,Paramètres!$A$1:$I$89,5,0)</f>
        <v>1.0137084534854759</v>
      </c>
      <c r="P8" s="14">
        <f t="shared" si="33"/>
        <v>0.46641966415357117</v>
      </c>
      <c r="Q8" s="22">
        <f t="shared" si="2"/>
        <v>2.5778898048880068</v>
      </c>
      <c r="R8" s="60">
        <f t="shared" si="0"/>
        <v>295.91122313822132</v>
      </c>
      <c r="S8" s="60">
        <f ca="1">AVERAGE(OFFSET($R$3,0,0,'Données projet'!$E$9+1,1))-AVERAGE(OFFSET($H$3,0,0,'Données projet'!$E$9+1,1))</f>
        <v>146.40889017442277</v>
      </c>
      <c r="T8" s="60">
        <f t="shared" si="34"/>
        <v>70.859031694091868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3.65</v>
      </c>
      <c r="AI8" s="14">
        <f>IF('Données projet'!$A$62&gt;35,AI7+AH8-AQ7,IF(A8&lt;'Données projet'!$A$62,$AF$205^A8,IF(A8='Données projet'!$A$62,'Données projet'!$B$62,AI7+AH8-AQ7)))</f>
        <v>2.9230127856917649</v>
      </c>
      <c r="AJ8" s="14">
        <f>AI8*VLOOKUP('Données projet'!$B$10,Paramètres!$A$1:$I$89,3,0)*VLOOKUP('Données projet'!$B$10,Paramètres!$A$1:$I$89,5,0)</f>
        <v>2.6447419684939089</v>
      </c>
      <c r="AK8" s="14">
        <f t="shared" si="35"/>
        <v>1.0883534414958294</v>
      </c>
      <c r="AL8" s="22">
        <f t="shared" si="4"/>
        <v>6.5018078390654601</v>
      </c>
      <c r="AM8" s="60">
        <f t="shared" si="5"/>
        <v>299.83514117239878</v>
      </c>
      <c r="AN8" s="60">
        <f ca="1">AVERAGE(OFFSET($AM$3,0,0,'Données projet'!$E$10+1,1))-AVERAGE(OFFSET($H$3,0,0,'Données projet'!$E$10+1,1))</f>
        <v>404.14319681142746</v>
      </c>
      <c r="AO8" s="60">
        <f t="shared" si="36"/>
        <v>203.5274665601915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2.1</v>
      </c>
      <c r="BD8" s="13">
        <f>IF('Données projet'!$A$88&gt;35,BD7+BC8-BL7,IF(A8&lt;'Données projet'!$A$88,$BA$205^A8,IF(A8='Données projet'!$A$88,'Données projet'!$B$88,BD7+BC8-BL7)))</f>
        <v>2.5457298950218314</v>
      </c>
      <c r="BE8" s="14">
        <f>BD8*VLOOKUP('Données projet'!$B$11,Paramètres!$A$1:$I$89,3,0)*VLOOKUP('Données projet'!$B$11,Paramètres!$A$1:$I$89,5,0)</f>
        <v>2.5813701135521372</v>
      </c>
      <c r="BF8" s="14">
        <f t="shared" si="37"/>
        <v>1.0652780295337991</v>
      </c>
      <c r="BG8" s="22">
        <f t="shared" si="7"/>
        <v>6.3512455158746723</v>
      </c>
      <c r="BH8" s="60">
        <f t="shared" si="8"/>
        <v>299.68457884920798</v>
      </c>
      <c r="BI8" s="60">
        <f ca="1">AVERAGE(OFFSET($BH$3,0,0,'Données projet'!$E$11+1,1))-AVERAGE(OFFSET($H$3,0,0,'Données projet'!$E$11+1,1))</f>
        <v>350.3652766444938</v>
      </c>
      <c r="BJ8" s="60">
        <f t="shared" si="38"/>
        <v>197.04549436738586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2.1</v>
      </c>
      <c r="BY8" s="13">
        <f>IF('Données projet'!$A$114&gt;35,BY7+BX8-CG7,IF(A8&lt;'Données projet'!$A$114,$BV$205^A8,IF(A8='Données projet'!$A$114,'Données projet'!$B$114,BY7+BX8-CG7)))</f>
        <v>2.5457298950218314</v>
      </c>
      <c r="BZ8" s="14">
        <f>BY8*VLOOKUP('Données projet'!$B$12,Paramètres!$A$1:$I$89,3,0)*VLOOKUP('Données projet'!$B$12,Paramètres!$A$1:$I$89,5,0)</f>
        <v>2.4622299544651152</v>
      </c>
      <c r="CA8" s="14">
        <f t="shared" si="39"/>
        <v>1.021715601495419</v>
      </c>
      <c r="CB8" s="22">
        <f t="shared" si="10"/>
        <v>6.0678718432979295</v>
      </c>
      <c r="CC8" s="60">
        <f t="shared" si="11"/>
        <v>299.40120517663127</v>
      </c>
      <c r="CD8" s="60">
        <f ca="1">AVERAGE(OFFSET($CC$3,0,0,'Données projet'!$E$12+1,1))-AVERAGE(OFFSET($H$3,0,0,'Données projet'!$E$12+1,1))</f>
        <v>330.39429528665841</v>
      </c>
      <c r="CE8" s="60">
        <f t="shared" si="40"/>
        <v>186.45728006007261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2.1</v>
      </c>
      <c r="CT8" s="13">
        <f>IF('Données projet'!$A$140&gt;35,CT7+CS8-DB7,IF(A8&lt;'Données projet'!$A$140,$CQ$205^A8,IF(A8='Données projet'!$A$140,'Données projet'!$B$140,CT7+CS8-DB7)))</f>
        <v>2.5457298950218314</v>
      </c>
      <c r="CU8" s="18">
        <f>CT8*VLOOKUP('Données projet'!$B$13,Paramètres!$A$1:$I$89,3,0)*VLOOKUP('Données projet'!$B$13,Paramètres!$A$1:$I$89,5,0)</f>
        <v>2.740223659001499</v>
      </c>
      <c r="CV8" s="14">
        <f t="shared" si="41"/>
        <v>1.1230000737947632</v>
      </c>
      <c r="CW8" s="22">
        <f t="shared" si="13"/>
        <v>6.7284480012868242</v>
      </c>
      <c r="CX8" s="60">
        <f t="shared" si="14"/>
        <v>300.06178133462015</v>
      </c>
      <c r="CY8" s="60">
        <f ca="1">AVERAGE(OFFSET($CX$3,0,0,'Données projet'!$E$13+1,1))-AVERAGE(OFFSET($H$3,0,0,'Données projet'!$E$13+1,1))</f>
        <v>376.96388721258387</v>
      </c>
      <c r="CZ8" s="60">
        <f t="shared" si="42"/>
        <v>211.14628470344377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3.3333333333333335</v>
      </c>
      <c r="DO8" s="13">
        <f>IF('Données projet'!$A$166&gt;35,DO7+DN8-DW7,IF(A8&lt;'Données projet'!$A$166,$DL$205^A8,IF(A8='Données projet'!$A$166,'Données projet'!$B$166,DO7+DN8-DW7)))</f>
        <v>3.6840314986403868</v>
      </c>
      <c r="DP8" s="18">
        <f>DO8*VLOOKUP('Données projet'!$B$14,Paramètres!$A$1:$I$89,3,0)*VLOOKUP('Données projet'!$B$14,Paramètres!$A$1:$I$89,5,0)</f>
        <v>2.4712483292879717</v>
      </c>
      <c r="DQ8" s="14">
        <f t="shared" si="43"/>
        <v>1.0250215260762008</v>
      </c>
      <c r="DR8" s="22">
        <f t="shared" si="16"/>
        <v>6.0893366647592657</v>
      </c>
      <c r="DS8" s="60">
        <f t="shared" si="17"/>
        <v>299.4226699980926</v>
      </c>
      <c r="DT8" s="60">
        <f ca="1">AVERAGE(OFFSET($DS$3,0,0,'Données projet'!$E$14+1,1))-AVERAGE(OFFSET($H$3,0,0,'Données projet'!$E$14+1,1))</f>
        <v>212.33913923444732</v>
      </c>
      <c r="DU8" s="60">
        <f t="shared" si="44"/>
        <v>183.51194426094372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0" t="e">
        <f t="shared" si="20"/>
        <v>#N/A</v>
      </c>
      <c r="EO8" s="60" t="e">
        <f ca="1">AVERAGE(OFFSET($EN$3,0,0,'Données projet'!$E$15+1,1))-AVERAGE(OFFSET($H$3,0,0,'Données projet'!$E$15+1,1))</f>
        <v>#N/A</v>
      </c>
      <c r="EP8" s="60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0" t="e">
        <f t="shared" si="23"/>
        <v>#N/A</v>
      </c>
      <c r="FJ8" s="60" t="e">
        <f ca="1">AVERAGE(OFFSET($FI$3,0,0,'Données projet'!$E$16+1,1))-AVERAGE(OFFSET($H$3,0,0,'Données projet'!$E$16+1,1))</f>
        <v>#N/A</v>
      </c>
      <c r="FK8" s="60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0" t="e">
        <f t="shared" si="26"/>
        <v>#N/A</v>
      </c>
      <c r="GE8" s="60" t="e">
        <f ca="1">AVERAGE(OFFSET($GD$3,0,0,'Données projet'!$E$17+1,1))-AVERAGE(OFFSET($H$3,0,0,'Données projet'!$E$17+1,1))</f>
        <v>#N/A</v>
      </c>
      <c r="GF8" s="60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0" t="e">
        <f t="shared" si="29"/>
        <v>#N/A</v>
      </c>
      <c r="GZ8" s="60" t="e">
        <f ca="1">AVERAGE(OFFSET($GY$3,0,0,'Données projet'!$E$18+1,1))-AVERAGE(OFFSET($H$3,0,0,'Données projet'!$E$18+1,1))</f>
        <v>#N/A</v>
      </c>
      <c r="HA8" s="60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5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2">
        <f t="shared" si="32"/>
        <v>1.3149520873221716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8">
        <f t="shared" si="1"/>
        <v>301.3292415520861</v>
      </c>
      <c r="I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3.4425641025641025</v>
      </c>
      <c r="N9" s="14">
        <f>IF('Données projet'!$A$36&gt;35,N8+M9-V8,IF(A9&lt;'Données projet'!$A$36,$K$205^A9,IF(A9='Données projet'!$A$36,'Données projet'!$B$36,N8+M9-V8)))</f>
        <v>2.5281373108456551</v>
      </c>
      <c r="O9" s="14">
        <f>N9*VLOOKUP('Données projet'!$B$9,Paramètres!$A$1:$I$89,3,0)*VLOOKUP('Données projet'!$B$9,Paramètres!$A$1:$I$89,5,0)</f>
        <v>1.1831682614757666</v>
      </c>
      <c r="P9" s="14">
        <f t="shared" si="33"/>
        <v>0.53468249033221249</v>
      </c>
      <c r="Q9" s="22">
        <f t="shared" si="2"/>
        <v>2.9919233927322302</v>
      </c>
      <c r="R9" s="60">
        <f t="shared" si="0"/>
        <v>296.32525672606556</v>
      </c>
      <c r="S9" s="60">
        <f ca="1">AVERAGE(OFFSET($R$3,0,0,'Données projet'!$E$9+1,1))-AVERAGE(OFFSET($H$3,0,0,'Données projet'!$E$9+1,1))</f>
        <v>146.40889017442277</v>
      </c>
      <c r="T9" s="60">
        <f t="shared" si="34"/>
        <v>70.859031694091868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3.65</v>
      </c>
      <c r="AI9" s="14">
        <f>IF('Données projet'!$A$62&gt;35,AI8+AH9-AQ8,IF(A9&lt;'Données projet'!$A$62,$AF$205^A9,IF(A9='Données projet'!$A$62,'Données projet'!$B$62,AI8+AH9-AQ8)))</f>
        <v>3.6224037772879885</v>
      </c>
      <c r="AJ9" s="14">
        <f>AI9*VLOOKUP('Données projet'!$B$10,Paramètres!$A$1:$I$89,3,0)*VLOOKUP('Données projet'!$B$10,Paramètres!$A$1:$I$89,5,0)</f>
        <v>3.2775509376901719</v>
      </c>
      <c r="AK9" s="14">
        <f t="shared" si="35"/>
        <v>1.315502139804245</v>
      </c>
      <c r="AL9" s="22">
        <f t="shared" si="4"/>
        <v>7.9995674433027766</v>
      </c>
      <c r="AM9" s="60">
        <f t="shared" si="5"/>
        <v>301.33290077663611</v>
      </c>
      <c r="AN9" s="60">
        <f ca="1">AVERAGE(OFFSET($AM$3,0,0,'Données projet'!$E$10+1,1))-AVERAGE(OFFSET($H$3,0,0,'Données projet'!$E$10+1,1))</f>
        <v>404.14319681142746</v>
      </c>
      <c r="AO9" s="60">
        <f t="shared" si="36"/>
        <v>203.5274665601915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2.1</v>
      </c>
      <c r="BD9" s="13">
        <f>IF('Données projet'!$A$88&gt;35,BD8+BC9-BL8,IF(A9&lt;'Données projet'!$A$88,$BA$205^A9,IF(A9='Données projet'!$A$88,'Données projet'!$B$88,BD8+BC9-BL8)))</f>
        <v>3.0688438220956993</v>
      </c>
      <c r="BE9" s="14">
        <f>BD9*VLOOKUP('Données projet'!$B$11,Paramètres!$A$1:$I$89,3,0)*VLOOKUP('Données projet'!$B$11,Paramètres!$A$1:$I$89,5,0)</f>
        <v>3.111807635605039</v>
      </c>
      <c r="BF9" s="14">
        <f t="shared" si="37"/>
        <v>1.2565452240335246</v>
      </c>
      <c r="BG9" s="22">
        <f t="shared" si="7"/>
        <v>7.6082145638704972</v>
      </c>
      <c r="BH9" s="60">
        <f t="shared" si="8"/>
        <v>300.9415478972038</v>
      </c>
      <c r="BI9" s="60">
        <f ca="1">AVERAGE(OFFSET($BH$3,0,0,'Données projet'!$E$11+1,1))-AVERAGE(OFFSET($H$3,0,0,'Données projet'!$E$11+1,1))</f>
        <v>350.3652766444938</v>
      </c>
      <c r="BJ9" s="60">
        <f t="shared" si="38"/>
        <v>197.04549436738586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2.1</v>
      </c>
      <c r="BY9" s="13">
        <f>IF('Données projet'!$A$114&gt;35,BY8+BX9-CG8,IF(A9&lt;'Données projet'!$A$114,$BV$205^A9,IF(A9='Données projet'!$A$114,'Données projet'!$B$114,BY8+BX9-CG8)))</f>
        <v>3.0688438220956993</v>
      </c>
      <c r="BZ9" s="14">
        <f>BY9*VLOOKUP('Données projet'!$B$12,Paramètres!$A$1:$I$89,3,0)*VLOOKUP('Données projet'!$B$12,Paramètres!$A$1:$I$89,5,0)</f>
        <v>2.9681857447309605</v>
      </c>
      <c r="CA9" s="14">
        <f t="shared" si="39"/>
        <v>1.2051613041728233</v>
      </c>
      <c r="CB9" s="22">
        <f t="shared" si="10"/>
        <v>7.2685794435074236</v>
      </c>
      <c r="CC9" s="60">
        <f t="shared" si="11"/>
        <v>300.60191277684072</v>
      </c>
      <c r="CD9" s="60">
        <f ca="1">AVERAGE(OFFSET($CC$3,0,0,'Données projet'!$E$12+1,1))-AVERAGE(OFFSET($H$3,0,0,'Données projet'!$E$12+1,1))</f>
        <v>330.39429528665841</v>
      </c>
      <c r="CE9" s="60">
        <f t="shared" si="40"/>
        <v>186.45728006007261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2.1</v>
      </c>
      <c r="CT9" s="13">
        <f>IF('Données projet'!$A$140&gt;35,CT8+CS9-DB8,IF(A9&lt;'Données projet'!$A$140,$CQ$205^A9,IF(A9='Données projet'!$A$140,'Données projet'!$B$140,CT8+CS9-DB8)))</f>
        <v>3.0688438220956993</v>
      </c>
      <c r="CU9" s="18">
        <f>CT9*VLOOKUP('Données projet'!$B$13,Paramètres!$A$1:$I$89,3,0)*VLOOKUP('Données projet'!$B$13,Paramètres!$A$1:$I$89,5,0)</f>
        <v>3.3033034901038101</v>
      </c>
      <c r="CV9" s="14">
        <f t="shared" si="41"/>
        <v>1.3246310730107231</v>
      </c>
      <c r="CW9" s="22">
        <f t="shared" si="13"/>
        <v>8.0603193640911446</v>
      </c>
      <c r="CX9" s="60">
        <f t="shared" si="14"/>
        <v>301.39365269742444</v>
      </c>
      <c r="CY9" s="60">
        <f ca="1">AVERAGE(OFFSET($CX$3,0,0,'Données projet'!$E$13+1,1))-AVERAGE(OFFSET($H$3,0,0,'Données projet'!$E$13+1,1))</f>
        <v>376.96388721258387</v>
      </c>
      <c r="CZ9" s="60">
        <f t="shared" si="42"/>
        <v>211.14628470344377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3.3333333333333335</v>
      </c>
      <c r="DO9" s="13">
        <f>IF('Données projet'!$A$166&gt;35,DO8+DN9-DW8,IF(A9&lt;'Données projet'!$A$166,$DL$205^A9,IF(A9='Données projet'!$A$166,'Données projet'!$B$166,DO8+DN9-DW8)))</f>
        <v>4.7817624989501848</v>
      </c>
      <c r="DP9" s="18">
        <f>DO9*VLOOKUP('Données projet'!$B$14,Paramètres!$A$1:$I$89,3,0)*VLOOKUP('Données projet'!$B$14,Paramètres!$A$1:$I$89,5,0)</f>
        <v>3.2076062842957844</v>
      </c>
      <c r="DQ9" s="14">
        <f t="shared" si="43"/>
        <v>1.2906653345014574</v>
      </c>
      <c r="DR9" s="22">
        <f t="shared" si="16"/>
        <v>7.8344897360718626</v>
      </c>
      <c r="DS9" s="60">
        <f t="shared" si="17"/>
        <v>301.16782306940519</v>
      </c>
      <c r="DT9" s="60">
        <f ca="1">AVERAGE(OFFSET($DS$3,0,0,'Données projet'!$E$14+1,1))-AVERAGE(OFFSET($H$3,0,0,'Données projet'!$E$14+1,1))</f>
        <v>212.33913923444732</v>
      </c>
      <c r="DU9" s="60">
        <f t="shared" si="44"/>
        <v>183.51194426094372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0" t="e">
        <f t="shared" si="20"/>
        <v>#N/A</v>
      </c>
      <c r="EO9" s="60" t="e">
        <f ca="1">AVERAGE(OFFSET($EN$3,0,0,'Données projet'!$E$15+1,1))-AVERAGE(OFFSET($H$3,0,0,'Données projet'!$E$15+1,1))</f>
        <v>#N/A</v>
      </c>
      <c r="EP9" s="60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0" t="e">
        <f t="shared" si="23"/>
        <v>#N/A</v>
      </c>
      <c r="FJ9" s="60" t="e">
        <f ca="1">AVERAGE(OFFSET($FI$3,0,0,'Données projet'!$E$16+1,1))-AVERAGE(OFFSET($H$3,0,0,'Données projet'!$E$16+1,1))</f>
        <v>#N/A</v>
      </c>
      <c r="FK9" s="60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0" t="e">
        <f t="shared" si="26"/>
        <v>#N/A</v>
      </c>
      <c r="GE9" s="60" t="e">
        <f ca="1">AVERAGE(OFFSET($GD$3,0,0,'Données projet'!$E$17+1,1))-AVERAGE(OFFSET($H$3,0,0,'Données projet'!$E$17+1,1))</f>
        <v>#N/A</v>
      </c>
      <c r="GF9" s="60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0" t="e">
        <f t="shared" si="29"/>
        <v>#N/A</v>
      </c>
      <c r="GZ9" s="60" t="e">
        <f ca="1">AVERAGE(OFFSET($GY$3,0,0,'Données projet'!$E$18+1,1))-AVERAGE(OFFSET($H$3,0,0,'Données projet'!$E$18+1,1))</f>
        <v>#N/A</v>
      </c>
      <c r="HA9" s="60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5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2">
        <f t="shared" si="32"/>
        <v>1.5068294933809407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8">
        <f t="shared" si="1"/>
        <v>302.6143780343051</v>
      </c>
      <c r="I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3.4425641025641025</v>
      </c>
      <c r="N10" s="14">
        <f>IF('Données projet'!$A$36&gt;35,N9+M10-V9,IF(A10&lt;'Données projet'!$A$36,$K$205^A10,IF(A10='Données projet'!$A$36,'Données projet'!$B$36,N9+M10-V9)))</f>
        <v>2.9507614507509188</v>
      </c>
      <c r="O10" s="14">
        <f>N10*VLOOKUP('Données projet'!$B$9,Paramètres!$A$1:$I$89,3,0)*VLOOKUP('Données projet'!$B$9,Paramètres!$A$1:$I$89,5,0)</f>
        <v>1.38095635895143</v>
      </c>
      <c r="P10" s="14">
        <f t="shared" si="33"/>
        <v>0.61293591895758326</v>
      </c>
      <c r="Q10" s="22">
        <f t="shared" si="2"/>
        <v>3.472695717358198</v>
      </c>
      <c r="R10" s="60">
        <f t="shared" si="0"/>
        <v>296.80602905069151</v>
      </c>
      <c r="S10" s="60">
        <f ca="1">AVERAGE(OFFSET($R$3,0,0,'Données projet'!$E$9+1,1))-AVERAGE(OFFSET($H$3,0,0,'Données projet'!$E$9+1,1))</f>
        <v>146.40889017442277</v>
      </c>
      <c r="T10" s="60">
        <f t="shared" si="34"/>
        <v>70.859031694091868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3.65</v>
      </c>
      <c r="AI10" s="14">
        <f>IF('Données projet'!$A$62&gt;35,AI9+AH10-AQ9,IF(A10&lt;'Données projet'!$A$62,$AF$205^A10,IF(A10='Données projet'!$A$62,'Données projet'!$B$62,AI9+AH10-AQ9)))</f>
        <v>4.4891384635544309</v>
      </c>
      <c r="AJ10" s="14">
        <f>AI10*VLOOKUP('Données projet'!$B$10,Paramètres!$A$1:$I$89,3,0)*VLOOKUP('Données projet'!$B$10,Paramètres!$A$1:$I$89,5,0)</f>
        <v>4.0617724818240486</v>
      </c>
      <c r="AK10" s="14">
        <f t="shared" si="35"/>
        <v>1.590058719758437</v>
      </c>
      <c r="AL10" s="22">
        <f t="shared" si="4"/>
        <v>9.8436060094228282</v>
      </c>
      <c r="AM10" s="60">
        <f t="shared" si="5"/>
        <v>303.17693934275616</v>
      </c>
      <c r="AN10" s="60">
        <f ca="1">AVERAGE(OFFSET($AM$3,0,0,'Données projet'!$E$10+1,1))-AVERAGE(OFFSET($H$3,0,0,'Données projet'!$E$10+1,1))</f>
        <v>404.14319681142746</v>
      </c>
      <c r="AO10" s="60">
        <f t="shared" si="36"/>
        <v>203.5274665601915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2.1</v>
      </c>
      <c r="BD10" s="13">
        <f>IF('Données projet'!$A$88&gt;35,BD9+BC10-BL9,IF(A10&lt;'Données projet'!$A$88,$BA$205^A10,IF(A10='Données projet'!$A$88,'Données projet'!$B$88,BD9+BC10-BL9)))</f>
        <v>3.6994507637402658</v>
      </c>
      <c r="BE10" s="14">
        <f>BD10*VLOOKUP('Données projet'!$B$11,Paramètres!$A$1:$I$89,3,0)*VLOOKUP('Données projet'!$B$11,Paramètres!$A$1:$I$89,5,0)</f>
        <v>3.7512430744326299</v>
      </c>
      <c r="BF10" s="14">
        <f t="shared" si="37"/>
        <v>1.4821538192545303</v>
      </c>
      <c r="BG10" s="22">
        <f t="shared" si="7"/>
        <v>9.1148329231718037</v>
      </c>
      <c r="BH10" s="60">
        <f t="shared" si="8"/>
        <v>302.44816625650515</v>
      </c>
      <c r="BI10" s="60">
        <f ca="1">AVERAGE(OFFSET($BH$3,0,0,'Données projet'!$E$11+1,1))-AVERAGE(OFFSET($H$3,0,0,'Données projet'!$E$11+1,1))</f>
        <v>350.3652766444938</v>
      </c>
      <c r="BJ10" s="60">
        <f t="shared" si="38"/>
        <v>197.04549436738586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2.1</v>
      </c>
      <c r="BY10" s="13">
        <f>IF('Données projet'!$A$114&gt;35,BY9+BX10-CG9,IF(A10&lt;'Données projet'!$A$114,$BV$205^A10,IF(A10='Données projet'!$A$114,'Données projet'!$B$114,BY9+BX10-CG9)))</f>
        <v>3.6994507637402658</v>
      </c>
      <c r="BZ10" s="14">
        <f>BY10*VLOOKUP('Données projet'!$B$12,Paramètres!$A$1:$I$89,3,0)*VLOOKUP('Données projet'!$B$12,Paramètres!$A$1:$I$89,5,0)</f>
        <v>3.5781087786895851</v>
      </c>
      <c r="CA10" s="14">
        <f t="shared" si="39"/>
        <v>1.4215440842341414</v>
      </c>
      <c r="CB10" s="22">
        <f t="shared" si="10"/>
        <v>8.707728736258824</v>
      </c>
      <c r="CC10" s="60">
        <f t="shared" si="11"/>
        <v>302.04106206959216</v>
      </c>
      <c r="CD10" s="60">
        <f ca="1">AVERAGE(OFFSET($CC$3,0,0,'Données projet'!$E$12+1,1))-AVERAGE(OFFSET($H$3,0,0,'Données projet'!$E$12+1,1))</f>
        <v>330.39429528665841</v>
      </c>
      <c r="CE10" s="60">
        <f t="shared" si="40"/>
        <v>186.45728006007261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2.1</v>
      </c>
      <c r="CT10" s="13">
        <f>IF('Données projet'!$A$140&gt;35,CT9+CS10-DB9,IF(A10&lt;'Données projet'!$A$140,$CQ$205^A10,IF(A10='Données projet'!$A$140,'Données projet'!$B$140,CT9+CS10-DB9)))</f>
        <v>3.6994507637402658</v>
      </c>
      <c r="CU10" s="18">
        <f>CT10*VLOOKUP('Données projet'!$B$13,Paramètres!$A$1:$I$89,3,0)*VLOOKUP('Données projet'!$B$13,Paramètres!$A$1:$I$89,5,0)</f>
        <v>3.982088802090022</v>
      </c>
      <c r="CV10" s="14">
        <f t="shared" si="41"/>
        <v>1.5624642602705792</v>
      </c>
      <c r="CW10" s="22">
        <f t="shared" si="13"/>
        <v>9.6567632502780452</v>
      </c>
      <c r="CX10" s="60">
        <f t="shared" si="14"/>
        <v>302.99009658361138</v>
      </c>
      <c r="CY10" s="60">
        <f ca="1">AVERAGE(OFFSET($CX$3,0,0,'Données projet'!$E$13+1,1))-AVERAGE(OFFSET($H$3,0,0,'Données projet'!$E$13+1,1))</f>
        <v>376.96388721258387</v>
      </c>
      <c r="CZ10" s="60">
        <f t="shared" si="42"/>
        <v>211.14628470344377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3.3333333333333335</v>
      </c>
      <c r="DO10" s="13">
        <f>IF('Données projet'!$A$166&gt;35,DO9+DN10-DW9,IF(A10&lt;'Données projet'!$A$166,$DL$205^A10,IF(A10='Données projet'!$A$166,'Données projet'!$B$166,DO9+DN10-DW9)))</f>
        <v>6.2065844455469161</v>
      </c>
      <c r="DP10" s="18">
        <f>DO10*VLOOKUP('Données projet'!$B$14,Paramètres!$A$1:$I$89,3,0)*VLOOKUP('Données projet'!$B$14,Paramètres!$A$1:$I$89,5,0)</f>
        <v>4.1633768460728717</v>
      </c>
      <c r="DQ10" s="14">
        <f t="shared" si="43"/>
        <v>1.6251531926949223</v>
      </c>
      <c r="DR10" s="22">
        <f t="shared" si="16"/>
        <v>10.081689817520575</v>
      </c>
      <c r="DS10" s="60">
        <f t="shared" si="17"/>
        <v>303.41502315085387</v>
      </c>
      <c r="DT10" s="60">
        <f ca="1">AVERAGE(OFFSET($DS$3,0,0,'Données projet'!$E$14+1,1))-AVERAGE(OFFSET($H$3,0,0,'Données projet'!$E$14+1,1))</f>
        <v>212.33913923444732</v>
      </c>
      <c r="DU10" s="60">
        <f t="shared" si="44"/>
        <v>183.51194426094372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0" t="e">
        <f t="shared" si="20"/>
        <v>#N/A</v>
      </c>
      <c r="EO10" s="60" t="e">
        <f ca="1">AVERAGE(OFFSET($EN$3,0,0,'Données projet'!$E$15+1,1))-AVERAGE(OFFSET($H$3,0,0,'Données projet'!$E$15+1,1))</f>
        <v>#N/A</v>
      </c>
      <c r="EP10" s="60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0" t="e">
        <f t="shared" si="23"/>
        <v>#N/A</v>
      </c>
      <c r="FJ10" s="60" t="e">
        <f ca="1">AVERAGE(OFFSET($FI$3,0,0,'Données projet'!$E$16+1,1))-AVERAGE(OFFSET($H$3,0,0,'Données projet'!$E$16+1,1))</f>
        <v>#N/A</v>
      </c>
      <c r="FK10" s="60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0" t="e">
        <f t="shared" si="26"/>
        <v>#N/A</v>
      </c>
      <c r="GE10" s="60" t="e">
        <f ca="1">AVERAGE(OFFSET($GD$3,0,0,'Données projet'!$E$17+1,1))-AVERAGE(OFFSET($H$3,0,0,'Données projet'!$E$17+1,1))</f>
        <v>#N/A</v>
      </c>
      <c r="GF10" s="60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0" t="e">
        <f t="shared" si="29"/>
        <v>#N/A</v>
      </c>
      <c r="GZ10" s="60" t="e">
        <f ca="1">AVERAGE(OFFSET($GY$3,0,0,'Données projet'!$E$18+1,1))-AVERAGE(OFFSET($H$3,0,0,'Données projet'!$E$18+1,1))</f>
        <v>#N/A</v>
      </c>
      <c r="HA10" s="60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5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2">
        <f t="shared" si="32"/>
        <v>1.6955312417477209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8">
        <f t="shared" si="1"/>
        <v>303.89398357937728</v>
      </c>
      <c r="I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3.4425641025641025</v>
      </c>
      <c r="N11" s="14">
        <f>IF('Données projet'!$A$36&gt;35,N10+M11-V10,IF(A11&lt;'Données projet'!$A$36,$K$205^A11,IF(A11='Données projet'!$A$36,'Données projet'!$B$36,N10+M11-V10)))</f>
        <v>3.4440349034385327</v>
      </c>
      <c r="O11" s="14">
        <f>N11*VLOOKUP('Données projet'!$B$9,Paramètres!$A$1:$I$89,3,0)*VLOOKUP('Données projet'!$B$9,Paramètres!$A$1:$I$89,5,0)</f>
        <v>1.6118083348092334</v>
      </c>
      <c r="P11" s="14">
        <f t="shared" si="33"/>
        <v>0.70264212414165761</v>
      </c>
      <c r="Q11" s="22">
        <f t="shared" si="2"/>
        <v>4.0310012160061346</v>
      </c>
      <c r="R11" s="60">
        <f t="shared" si="0"/>
        <v>297.36433454933945</v>
      </c>
      <c r="S11" s="60">
        <f ca="1">AVERAGE(OFFSET($R$3,0,0,'Données projet'!$E$9+1,1))-AVERAGE(OFFSET($H$3,0,0,'Données projet'!$E$9+1,1))</f>
        <v>146.40889017442277</v>
      </c>
      <c r="T11" s="60">
        <f t="shared" si="34"/>
        <v>70.859031694091868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3.65</v>
      </c>
      <c r="AI11" s="14">
        <f>IF('Données projet'!$A$62&gt;35,AI10+AH11-AQ10,IF(A11&lt;'Données projet'!$A$62,$AF$205^A11,IF(A11='Données projet'!$A$62,'Données projet'!$B$62,AI10+AH11-AQ10)))</f>
        <v>5.563257268920875</v>
      </c>
      <c r="AJ11" s="14">
        <f>AI11*VLOOKUP('Données projet'!$B$10,Paramètres!$A$1:$I$89,3,0)*VLOOKUP('Données projet'!$B$10,Paramètres!$A$1:$I$89,5,0)</f>
        <v>5.0336351769196082</v>
      </c>
      <c r="AK11" s="14">
        <f t="shared" si="35"/>
        <v>1.9219176128866391</v>
      </c>
      <c r="AL11" s="22">
        <f t="shared" si="4"/>
        <v>12.11425444224588</v>
      </c>
      <c r="AM11" s="60">
        <f t="shared" si="5"/>
        <v>305.44758777557922</v>
      </c>
      <c r="AN11" s="60">
        <f ca="1">AVERAGE(OFFSET($AM$3,0,0,'Données projet'!$E$10+1,1))-AVERAGE(OFFSET($H$3,0,0,'Données projet'!$E$10+1,1))</f>
        <v>404.14319681142746</v>
      </c>
      <c r="AO11" s="60">
        <f t="shared" si="36"/>
        <v>203.5274665601915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2.1</v>
      </c>
      <c r="BD11" s="13">
        <f>IF('Données projet'!$A$88&gt;35,BD10+BC11-BL10,IF(A11&lt;'Données projet'!$A$88,$BA$205^A11,IF(A11='Données projet'!$A$88,'Données projet'!$B$88,BD10+BC11-BL10)))</f>
        <v>4.4596391171162209</v>
      </c>
      <c r="BE11" s="14">
        <f>BD11*VLOOKUP('Données projet'!$B$11,Paramètres!$A$1:$I$89,3,0)*VLOOKUP('Données projet'!$B$11,Paramètres!$A$1:$I$89,5,0)</f>
        <v>4.5220740647558486</v>
      </c>
      <c r="BF11" s="14">
        <f t="shared" si="37"/>
        <v>1.7482697016499746</v>
      </c>
      <c r="BG11" s="22">
        <f t="shared" si="7"/>
        <v>10.92084872649014</v>
      </c>
      <c r="BH11" s="60">
        <f t="shared" si="8"/>
        <v>304.25418205982345</v>
      </c>
      <c r="BI11" s="60">
        <f ca="1">AVERAGE(OFFSET($BH$3,0,0,'Données projet'!$E$11+1,1))-AVERAGE(OFFSET($H$3,0,0,'Données projet'!$E$11+1,1))</f>
        <v>350.3652766444938</v>
      </c>
      <c r="BJ11" s="60">
        <f t="shared" si="38"/>
        <v>197.04549436738586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2.1</v>
      </c>
      <c r="BY11" s="13">
        <f>IF('Données projet'!$A$114&gt;35,BY10+BX11-CG10,IF(A11&lt;'Données projet'!$A$114,$BV$205^A11,IF(A11='Données projet'!$A$114,'Données projet'!$B$114,BY10+BX11-CG10)))</f>
        <v>4.4596391171162209</v>
      </c>
      <c r="BZ11" s="14">
        <f>BY11*VLOOKUP('Données projet'!$B$12,Paramètres!$A$1:$I$89,3,0)*VLOOKUP('Données projet'!$B$12,Paramètres!$A$1:$I$89,5,0)</f>
        <v>4.3133629540748091</v>
      </c>
      <c r="CA11" s="14">
        <f t="shared" si="39"/>
        <v>1.6767776864592203</v>
      </c>
      <c r="CB11" s="22">
        <f t="shared" si="10"/>
        <v>10.432828282263435</v>
      </c>
      <c r="CC11" s="60">
        <f t="shared" si="11"/>
        <v>303.76616161559673</v>
      </c>
      <c r="CD11" s="60">
        <f ca="1">AVERAGE(OFFSET($CC$3,0,0,'Données projet'!$E$12+1,1))-AVERAGE(OFFSET($H$3,0,0,'Données projet'!$E$12+1,1))</f>
        <v>330.39429528665841</v>
      </c>
      <c r="CE11" s="60">
        <f t="shared" si="40"/>
        <v>186.45728006007261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2.1</v>
      </c>
      <c r="CT11" s="13">
        <f>IF('Données projet'!$A$140&gt;35,CT10+CS11-DB10,IF(A11&lt;'Données projet'!$A$140,$CQ$205^A11,IF(A11='Données projet'!$A$140,'Données projet'!$B$140,CT10+CS11-DB10)))</f>
        <v>4.4596391171162209</v>
      </c>
      <c r="CU11" s="18">
        <f>CT11*VLOOKUP('Données projet'!$B$13,Paramètres!$A$1:$I$89,3,0)*VLOOKUP('Données projet'!$B$13,Paramètres!$A$1:$I$89,5,0)</f>
        <v>4.8003555456638995</v>
      </c>
      <c r="CV11" s="14">
        <f t="shared" si="41"/>
        <v>1.8429996203200378</v>
      </c>
      <c r="CW11" s="22">
        <f t="shared" si="13"/>
        <v>11.570510247422023</v>
      </c>
      <c r="CX11" s="60">
        <f t="shared" si="14"/>
        <v>304.90384358075534</v>
      </c>
      <c r="CY11" s="60">
        <f ca="1">AVERAGE(OFFSET($CX$3,0,0,'Données projet'!$E$13+1,1))-AVERAGE(OFFSET($H$3,0,0,'Données projet'!$E$13+1,1))</f>
        <v>376.96388721258387</v>
      </c>
      <c r="CZ11" s="60">
        <f t="shared" si="42"/>
        <v>211.14628470344377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3.3333333333333335</v>
      </c>
      <c r="DO11" s="13">
        <f>IF('Données projet'!$A$166&gt;35,DO10+DN11-DW10,IF(A11&lt;'Données projet'!$A$166,$DL$205^A11,IF(A11='Données projet'!$A$166,'Données projet'!$B$166,DO10+DN11-DW10)))</f>
        <v>8.0559606396516319</v>
      </c>
      <c r="DP11" s="18">
        <f>DO11*VLOOKUP('Données projet'!$B$14,Paramètres!$A$1:$I$89,3,0)*VLOOKUP('Données projet'!$B$14,Paramètres!$A$1:$I$89,5,0)</f>
        <v>5.4039383970783144</v>
      </c>
      <c r="DQ11" s="14">
        <f t="shared" si="43"/>
        <v>2.0463266728603036</v>
      </c>
      <c r="DR11" s="22">
        <f t="shared" si="16"/>
        <v>12.975878330143091</v>
      </c>
      <c r="DS11" s="60">
        <f t="shared" si="17"/>
        <v>306.30921166347639</v>
      </c>
      <c r="DT11" s="60">
        <f ca="1">AVERAGE(OFFSET($DS$3,0,0,'Données projet'!$E$14+1,1))-AVERAGE(OFFSET($H$3,0,0,'Données projet'!$E$14+1,1))</f>
        <v>212.33913923444732</v>
      </c>
      <c r="DU11" s="60">
        <f t="shared" si="44"/>
        <v>183.51194426094372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0" t="e">
        <f t="shared" si="20"/>
        <v>#N/A</v>
      </c>
      <c r="EO11" s="60" t="e">
        <f ca="1">AVERAGE(OFFSET($EN$3,0,0,'Données projet'!$E$15+1,1))-AVERAGE(OFFSET($H$3,0,0,'Données projet'!$E$15+1,1))</f>
        <v>#N/A</v>
      </c>
      <c r="EP11" s="60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0" t="e">
        <f t="shared" si="23"/>
        <v>#N/A</v>
      </c>
      <c r="FJ11" s="60" t="e">
        <f ca="1">AVERAGE(OFFSET($FI$3,0,0,'Données projet'!$E$16+1,1))-AVERAGE(OFFSET($H$3,0,0,'Données projet'!$E$16+1,1))</f>
        <v>#N/A</v>
      </c>
      <c r="FK11" s="60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0" t="e">
        <f t="shared" si="26"/>
        <v>#N/A</v>
      </c>
      <c r="GE11" s="60" t="e">
        <f ca="1">AVERAGE(OFFSET($GD$3,0,0,'Données projet'!$E$17+1,1))-AVERAGE(OFFSET($H$3,0,0,'Données projet'!$E$17+1,1))</f>
        <v>#N/A</v>
      </c>
      <c r="GF11" s="60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0" t="e">
        <f t="shared" si="29"/>
        <v>#N/A</v>
      </c>
      <c r="GZ11" s="60" t="e">
        <f ca="1">AVERAGE(OFFSET($GY$3,0,0,'Données projet'!$E$18+1,1))-AVERAGE(OFFSET($H$3,0,0,'Données projet'!$E$18+1,1))</f>
        <v>#N/A</v>
      </c>
      <c r="HA11" s="60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5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2">
        <f t="shared" si="32"/>
        <v>1.8814997515338503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8">
        <f t="shared" si="1"/>
        <v>305.16882873392143</v>
      </c>
      <c r="I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3.4425641025641025</v>
      </c>
      <c r="N12" s="14">
        <f>IF('Données projet'!$A$36&gt;35,N11+M12-V11,IF(A12&lt;'Données projet'!$A$36,$K$205^A12,IF(A12='Données projet'!$A$36,'Données projet'!$B$36,N11+M12-V11)))</f>
        <v>4.0197679866952116</v>
      </c>
      <c r="O12" s="14">
        <f>N12*VLOOKUP('Données projet'!$B$9,Paramètres!$A$1:$I$89,3,0)*VLOOKUP('Données projet'!$B$9,Paramètres!$A$1:$I$89,5,0)</f>
        <v>1.881251417773359</v>
      </c>
      <c r="P12" s="14">
        <f t="shared" si="33"/>
        <v>0.80547727641405575</v>
      </c>
      <c r="Q12" s="22">
        <f t="shared" si="2"/>
        <v>4.6793858090430804</v>
      </c>
      <c r="R12" s="60">
        <f t="shared" si="0"/>
        <v>298.0127191423764</v>
      </c>
      <c r="S12" s="60">
        <f ca="1">AVERAGE(OFFSET($R$3,0,0,'Données projet'!$E$9+1,1))-AVERAGE(OFFSET($H$3,0,0,'Données projet'!$E$9+1,1))</f>
        <v>146.40889017442277</v>
      </c>
      <c r="T12" s="60">
        <f t="shared" si="34"/>
        <v>70.859031694091868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3.65</v>
      </c>
      <c r="AI12" s="14">
        <f>IF('Données projet'!$A$62&gt;35,AI11+AH12-AQ11,IF(A12&lt;'Données projet'!$A$62,$AF$205^A12,IF(A12='Données projet'!$A$62,'Données projet'!$B$62,AI11+AH12-AQ11)))</f>
        <v>6.8943811137639424</v>
      </c>
      <c r="AJ12" s="14">
        <f>AI12*VLOOKUP('Données projet'!$B$10,Paramètres!$A$1:$I$89,3,0)*VLOOKUP('Données projet'!$B$10,Paramètres!$A$1:$I$89,5,0)</f>
        <v>6.2380360317336141</v>
      </c>
      <c r="AK12" s="14">
        <f t="shared" si="35"/>
        <v>2.3230383034439352</v>
      </c>
      <c r="AL12" s="22">
        <f t="shared" si="4"/>
        <v>14.910537800434229</v>
      </c>
      <c r="AM12" s="60">
        <f t="shared" si="5"/>
        <v>308.24387113376753</v>
      </c>
      <c r="AN12" s="60">
        <f ca="1">AVERAGE(OFFSET($AM$3,0,0,'Données projet'!$E$10+1,1))-AVERAGE(OFFSET($H$3,0,0,'Données projet'!$E$10+1,1))</f>
        <v>404.14319681142746</v>
      </c>
      <c r="AO12" s="60">
        <f t="shared" si="36"/>
        <v>203.5274665601915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2.1</v>
      </c>
      <c r="BD12" s="13">
        <f>IF('Données projet'!$A$88&gt;35,BD11+BC12-BL11,IF(A12&lt;'Données projet'!$A$88,$BA$205^A12,IF(A12='Données projet'!$A$88,'Données projet'!$B$88,BD11+BC12-BL11)))</f>
        <v>5.3760361537574148</v>
      </c>
      <c r="BE12" s="14">
        <f>BD12*VLOOKUP('Données projet'!$B$11,Paramètres!$A$1:$I$89,3,0)*VLOOKUP('Données projet'!$B$11,Paramètres!$A$1:$I$89,5,0)</f>
        <v>5.4513006599100189</v>
      </c>
      <c r="BF12" s="14">
        <f t="shared" si="37"/>
        <v>2.062165822468125</v>
      </c>
      <c r="BG12" s="22">
        <f t="shared" si="7"/>
        <v>13.085954123475267</v>
      </c>
      <c r="BH12" s="60">
        <f t="shared" si="8"/>
        <v>306.4192874568086</v>
      </c>
      <c r="BI12" s="60">
        <f ca="1">AVERAGE(OFFSET($BH$3,0,0,'Données projet'!$E$11+1,1))-AVERAGE(OFFSET($H$3,0,0,'Données projet'!$E$11+1,1))</f>
        <v>350.3652766444938</v>
      </c>
      <c r="BJ12" s="60">
        <f t="shared" si="38"/>
        <v>197.04549436738586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2.1</v>
      </c>
      <c r="BY12" s="13">
        <f>IF('Données projet'!$A$114&gt;35,BY11+BX12-CG11,IF(A12&lt;'Données projet'!$A$114,$BV$205^A12,IF(A12='Données projet'!$A$114,'Données projet'!$B$114,BY11+BX12-CG11)))</f>
        <v>5.3760361537574148</v>
      </c>
      <c r="BZ12" s="14">
        <f>BY12*VLOOKUP('Données projet'!$B$12,Paramètres!$A$1:$I$89,3,0)*VLOOKUP('Données projet'!$B$12,Paramètres!$A$1:$I$89,5,0)</f>
        <v>5.1997021679141717</v>
      </c>
      <c r="CA12" s="14">
        <f t="shared" si="39"/>
        <v>1.977837649208241</v>
      </c>
      <c r="CB12" s="22">
        <f t="shared" si="10"/>
        <v>12.500881848154869</v>
      </c>
      <c r="CC12" s="60">
        <f t="shared" si="11"/>
        <v>305.83421518148816</v>
      </c>
      <c r="CD12" s="60">
        <f ca="1">AVERAGE(OFFSET($CC$3,0,0,'Données projet'!$E$12+1,1))-AVERAGE(OFFSET($H$3,0,0,'Données projet'!$E$12+1,1))</f>
        <v>330.39429528665841</v>
      </c>
      <c r="CE12" s="60">
        <f t="shared" si="40"/>
        <v>186.45728006007261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2.1</v>
      </c>
      <c r="CT12" s="13">
        <f>IF('Données projet'!$A$140&gt;35,CT11+CS12-DB11,IF(A12&lt;'Données projet'!$A$140,$CQ$205^A12,IF(A12='Données projet'!$A$140,'Données projet'!$B$140,CT11+CS12-DB11)))</f>
        <v>5.3760361537574148</v>
      </c>
      <c r="CU12" s="18">
        <f>CT12*VLOOKUP('Données projet'!$B$13,Paramètres!$A$1:$I$89,3,0)*VLOOKUP('Données projet'!$B$13,Paramètres!$A$1:$I$89,5,0)</f>
        <v>5.7867653159044812</v>
      </c>
      <c r="CV12" s="14">
        <f t="shared" si="41"/>
        <v>2.1739041889582755</v>
      </c>
      <c r="CW12" s="22">
        <f t="shared" si="13"/>
        <v>13.864832720969302</v>
      </c>
      <c r="CX12" s="60">
        <f t="shared" si="14"/>
        <v>307.19816605430259</v>
      </c>
      <c r="CY12" s="60">
        <f ca="1">AVERAGE(OFFSET($CX$3,0,0,'Données projet'!$E$13+1,1))-AVERAGE(OFFSET($H$3,0,0,'Données projet'!$E$13+1,1))</f>
        <v>376.96388721258387</v>
      </c>
      <c r="CZ12" s="60">
        <f t="shared" si="42"/>
        <v>211.14628470344377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3.3333333333333335</v>
      </c>
      <c r="DO12" s="13">
        <f>IF('Données projet'!$A$166&gt;35,DO11+DN12-DW11,IF(A12&lt;'Données projet'!$A$166,$DL$205^A12,IF(A12='Données projet'!$A$166,'Données projet'!$B$166,DO11+DN12-DW11)))</f>
        <v>10.456395525912733</v>
      </c>
      <c r="DP12" s="18">
        <f>DO12*VLOOKUP('Données projet'!$B$14,Paramètres!$A$1:$I$89,3,0)*VLOOKUP('Données projet'!$B$14,Paramètres!$A$1:$I$89,5,0)</f>
        <v>7.0141501187822621</v>
      </c>
      <c r="DQ12" s="14">
        <f t="shared" si="43"/>
        <v>2.5766511556462244</v>
      </c>
      <c r="DR12" s="22">
        <f t="shared" si="16"/>
        <v>16.70397888629628</v>
      </c>
      <c r="DS12" s="60">
        <f t="shared" si="17"/>
        <v>310.0373122196296</v>
      </c>
      <c r="DT12" s="60">
        <f ca="1">AVERAGE(OFFSET($DS$3,0,0,'Données projet'!$E$14+1,1))-AVERAGE(OFFSET($H$3,0,0,'Données projet'!$E$14+1,1))</f>
        <v>212.33913923444732</v>
      </c>
      <c r="DU12" s="60">
        <f t="shared" si="44"/>
        <v>183.51194426094372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0" t="e">
        <f t="shared" si="20"/>
        <v>#N/A</v>
      </c>
      <c r="EO12" s="60" t="e">
        <f ca="1">AVERAGE(OFFSET($EN$3,0,0,'Données projet'!$E$15+1,1))-AVERAGE(OFFSET($H$3,0,0,'Données projet'!$E$15+1,1))</f>
        <v>#N/A</v>
      </c>
      <c r="EP12" s="60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0" t="e">
        <f t="shared" si="23"/>
        <v>#N/A</v>
      </c>
      <c r="FJ12" s="60" t="e">
        <f ca="1">AVERAGE(OFFSET($FI$3,0,0,'Données projet'!$E$16+1,1))-AVERAGE(OFFSET($H$3,0,0,'Données projet'!$E$16+1,1))</f>
        <v>#N/A</v>
      </c>
      <c r="FK12" s="60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0" t="e">
        <f t="shared" si="26"/>
        <v>#N/A</v>
      </c>
      <c r="GE12" s="60" t="e">
        <f ca="1">AVERAGE(OFFSET($GD$3,0,0,'Données projet'!$E$17+1,1))-AVERAGE(OFFSET($H$3,0,0,'Données projet'!$E$17+1,1))</f>
        <v>#N/A</v>
      </c>
      <c r="GF12" s="60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0" t="e">
        <f t="shared" si="29"/>
        <v>#N/A</v>
      </c>
      <c r="GZ12" s="60" t="e">
        <f ca="1">AVERAGE(OFFSET($GY$3,0,0,'Données projet'!$E$18+1,1))-AVERAGE(OFFSET($H$3,0,0,'Données projet'!$E$18+1,1))</f>
        <v>#N/A</v>
      </c>
      <c r="HA12" s="60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5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2">
        <f t="shared" si="32"/>
        <v>2.0650733588092973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8">
        <f t="shared" si="1"/>
        <v>306.43950276659285</v>
      </c>
      <c r="I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3.4425641025641025</v>
      </c>
      <c r="N13" s="14">
        <f>IF('Données projet'!$A$36&gt;35,N12+M13-V12,IF(A13&lt;'Données projet'!$A$36,$K$205^A13,IF(A13='Données projet'!$A$36,'Données projet'!$B$36,N12+M13-V12)))</f>
        <v>4.6917453277627805</v>
      </c>
      <c r="O13" s="14">
        <f>N13*VLOOKUP('Données projet'!$B$9,Paramètres!$A$1:$I$89,3,0)*VLOOKUP('Données projet'!$B$9,Paramètres!$A$1:$I$89,5,0)</f>
        <v>2.1957368133929811</v>
      </c>
      <c r="P13" s="14">
        <f t="shared" si="33"/>
        <v>0.9233628621568436</v>
      </c>
      <c r="Q13" s="22">
        <f t="shared" si="2"/>
        <v>5.432431934915944</v>
      </c>
      <c r="R13" s="60">
        <f t="shared" si="0"/>
        <v>298.76576526824925</v>
      </c>
      <c r="S13" s="60">
        <f ca="1">AVERAGE(OFFSET($R$3,0,0,'Données projet'!$E$9+1,1))-AVERAGE(OFFSET($H$3,0,0,'Données projet'!$E$9+1,1))</f>
        <v>146.40889017442277</v>
      </c>
      <c r="T13" s="60">
        <f t="shared" si="34"/>
        <v>70.859031694091868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3.65</v>
      </c>
      <c r="AI13" s="14">
        <f>IF('Données projet'!$A$62&gt;35,AI12+AH13-AQ12,IF(A13&lt;'Données projet'!$A$62,$AF$205^A13,IF(A13='Données projet'!$A$62,'Données projet'!$B$62,AI12+AH13-AQ12)))</f>
        <v>8.5440037453175322</v>
      </c>
      <c r="AJ13" s="14">
        <f>AI13*VLOOKUP('Données projet'!$B$10,Paramètres!$A$1:$I$89,3,0)*VLOOKUP('Données projet'!$B$10,Paramètres!$A$1:$I$89,5,0)</f>
        <v>7.7306145887633031</v>
      </c>
      <c r="AK13" s="14">
        <f t="shared" si="35"/>
        <v>2.8078763226288115</v>
      </c>
      <c r="AL13" s="22">
        <f t="shared" si="4"/>
        <v>18.354538337341264</v>
      </c>
      <c r="AM13" s="60">
        <f t="shared" si="5"/>
        <v>311.68787167067455</v>
      </c>
      <c r="AN13" s="60">
        <f ca="1">AVERAGE(OFFSET($AM$3,0,0,'Données projet'!$E$10+1,1))-AVERAGE(OFFSET($H$3,0,0,'Données projet'!$E$10+1,1))</f>
        <v>404.14319681142746</v>
      </c>
      <c r="AO13" s="60">
        <f t="shared" si="36"/>
        <v>203.5274665601915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2.1</v>
      </c>
      <c r="BD13" s="13">
        <f>IF('Données projet'!$A$88&gt;35,BD12+BC13-BL12,IF(A13&lt;'Données projet'!$A$88,$BA$205^A13,IF(A13='Données projet'!$A$88,'Données projet'!$B$88,BD12+BC13-BL12)))</f>
        <v>6.4807406984078657</v>
      </c>
      <c r="BE13" s="14">
        <f>BD13*VLOOKUP('Données projet'!$B$11,Paramètres!$A$1:$I$89,3,0)*VLOOKUP('Données projet'!$B$11,Paramètres!$A$1:$I$89,5,0)</f>
        <v>6.5714710681855761</v>
      </c>
      <c r="BF13" s="14">
        <f t="shared" si="37"/>
        <v>2.4324209676242781</v>
      </c>
      <c r="BG13" s="22">
        <f t="shared" si="7"/>
        <v>15.681778629035497</v>
      </c>
      <c r="BH13" s="60">
        <f t="shared" si="8"/>
        <v>309.01511196236879</v>
      </c>
      <c r="BI13" s="60">
        <f ca="1">AVERAGE(OFFSET($BH$3,0,0,'Données projet'!$E$11+1,1))-AVERAGE(OFFSET($H$3,0,0,'Données projet'!$E$11+1,1))</f>
        <v>350.3652766444938</v>
      </c>
      <c r="BJ13" s="60">
        <f t="shared" si="38"/>
        <v>197.04549436738586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2.1</v>
      </c>
      <c r="BY13" s="13">
        <f>IF('Données projet'!$A$114&gt;35,BY12+BX13-CG12,IF(A13&lt;'Données projet'!$A$114,$BV$205^A13,IF(A13='Données projet'!$A$114,'Données projet'!$B$114,BY12+BX13-CG12)))</f>
        <v>6.4807406984078657</v>
      </c>
      <c r="BZ13" s="14">
        <f>BY13*VLOOKUP('Données projet'!$B$12,Paramètres!$A$1:$I$89,3,0)*VLOOKUP('Données projet'!$B$12,Paramètres!$A$1:$I$89,5,0)</f>
        <v>6.2681724035000874</v>
      </c>
      <c r="CA13" s="14">
        <f t="shared" si="39"/>
        <v>2.3329519459947301</v>
      </c>
      <c r="CB13" s="22">
        <f t="shared" si="10"/>
        <v>14.98029157537014</v>
      </c>
      <c r="CC13" s="60">
        <f t="shared" si="11"/>
        <v>308.31362490870345</v>
      </c>
      <c r="CD13" s="60">
        <f ca="1">AVERAGE(OFFSET($CC$3,0,0,'Données projet'!$E$12+1,1))-AVERAGE(OFFSET($H$3,0,0,'Données projet'!$E$12+1,1))</f>
        <v>330.39429528665841</v>
      </c>
      <c r="CE13" s="60">
        <f t="shared" si="40"/>
        <v>186.45728006007261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2.1</v>
      </c>
      <c r="CT13" s="13">
        <f>IF('Données projet'!$A$140&gt;35,CT12+CS13-DB12,IF(A13&lt;'Données projet'!$A$140,$CQ$205^A13,IF(A13='Données projet'!$A$140,'Données projet'!$B$140,CT12+CS13-DB12)))</f>
        <v>6.4807406984078657</v>
      </c>
      <c r="CU13" s="18">
        <f>CT13*VLOOKUP('Données projet'!$B$13,Paramètres!$A$1:$I$89,3,0)*VLOOKUP('Données projet'!$B$13,Paramètres!$A$1:$I$89,5,0)</f>
        <v>6.9758692877662263</v>
      </c>
      <c r="CV13" s="14">
        <f t="shared" si="41"/>
        <v>2.5642215932468222</v>
      </c>
      <c r="CW13" s="22">
        <f t="shared" si="13"/>
        <v>16.61565828443106</v>
      </c>
      <c r="CX13" s="60">
        <f t="shared" si="14"/>
        <v>309.94899161776436</v>
      </c>
      <c r="CY13" s="60">
        <f ca="1">AVERAGE(OFFSET($CX$3,0,0,'Données projet'!$E$13+1,1))-AVERAGE(OFFSET($H$3,0,0,'Données projet'!$E$13+1,1))</f>
        <v>376.96388721258387</v>
      </c>
      <c r="CZ13" s="60">
        <f t="shared" si="42"/>
        <v>211.14628470344377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3.3333333333333335</v>
      </c>
      <c r="DO13" s="13">
        <f>IF('Données projet'!$A$166&gt;35,DO12+DN13-DW12,IF(A13&lt;'Données projet'!$A$166,$DL$205^A13,IF(A13='Données projet'!$A$166,'Données projet'!$B$166,DO12+DN13-DW12)))</f>
        <v>13.572088082974533</v>
      </c>
      <c r="DP13" s="18">
        <f>DO13*VLOOKUP('Données projet'!$B$14,Paramètres!$A$1:$I$89,3,0)*VLOOKUP('Données projet'!$B$14,Paramètres!$A$1:$I$89,5,0)</f>
        <v>9.1041566860593175</v>
      </c>
      <c r="DQ13" s="14">
        <f t="shared" si="43"/>
        <v>3.2444141328681457</v>
      </c>
      <c r="DR13" s="22">
        <f t="shared" si="16"/>
        <v>21.507094176298665</v>
      </c>
      <c r="DS13" s="60">
        <f t="shared" si="17"/>
        <v>314.84042750963198</v>
      </c>
      <c r="DT13" s="60">
        <f ca="1">AVERAGE(OFFSET($DS$3,0,0,'Données projet'!$E$14+1,1))-AVERAGE(OFFSET($H$3,0,0,'Données projet'!$E$14+1,1))</f>
        <v>212.33913923444732</v>
      </c>
      <c r="DU13" s="60">
        <f t="shared" si="44"/>
        <v>183.51194426094372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0" t="e">
        <f t="shared" si="20"/>
        <v>#N/A</v>
      </c>
      <c r="EO13" s="60" t="e">
        <f ca="1">AVERAGE(OFFSET($EN$3,0,0,'Données projet'!$E$15+1,1))-AVERAGE(OFFSET($H$3,0,0,'Données projet'!$E$15+1,1))</f>
        <v>#N/A</v>
      </c>
      <c r="EP13" s="60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0" t="e">
        <f t="shared" si="23"/>
        <v>#N/A</v>
      </c>
      <c r="FJ13" s="60" t="e">
        <f ca="1">AVERAGE(OFFSET($FI$3,0,0,'Données projet'!$E$16+1,1))-AVERAGE(OFFSET($H$3,0,0,'Données projet'!$E$16+1,1))</f>
        <v>#N/A</v>
      </c>
      <c r="FK13" s="60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0" t="e">
        <f t="shared" si="26"/>
        <v>#N/A</v>
      </c>
      <c r="GE13" s="60" t="e">
        <f ca="1">AVERAGE(OFFSET($GD$3,0,0,'Données projet'!$E$17+1,1))-AVERAGE(OFFSET($H$3,0,0,'Données projet'!$E$17+1,1))</f>
        <v>#N/A</v>
      </c>
      <c r="GF13" s="60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0" t="e">
        <f t="shared" si="29"/>
        <v>#N/A</v>
      </c>
      <c r="GZ13" s="60" t="e">
        <f ca="1">AVERAGE(OFFSET($GY$3,0,0,'Données projet'!$E$18+1,1))-AVERAGE(OFFSET($H$3,0,0,'Données projet'!$E$18+1,1))</f>
        <v>#N/A</v>
      </c>
      <c r="HA13" s="60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5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2">
        <f t="shared" si="32"/>
        <v>2.2465188167092136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8">
        <f t="shared" si="1"/>
        <v>307.70647027243518</v>
      </c>
      <c r="I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3.4425641025641025</v>
      </c>
      <c r="N14" s="14">
        <f>IF('Données projet'!$A$36&gt;35,N13+M14-V13,IF(A14&lt;'Données projet'!$A$36,$K$205^A14,IF(A14='Données projet'!$A$36,'Données projet'!$B$36,N13+M14-V13)))</f>
        <v>5.4760559050775193</v>
      </c>
      <c r="O14" s="14">
        <f>N14*VLOOKUP('Données projet'!$B$9,Paramètres!$A$1:$I$89,3,0)*VLOOKUP('Données projet'!$B$9,Paramètres!$A$1:$I$89,5,0)</f>
        <v>2.562794163576279</v>
      </c>
      <c r="P14" s="14">
        <f t="shared" si="33"/>
        <v>1.0585015867936163</v>
      </c>
      <c r="Q14" s="22">
        <f t="shared" si="2"/>
        <v>6.3070900985608995</v>
      </c>
      <c r="R14" s="60">
        <f t="shared" si="0"/>
        <v>299.64042343189419</v>
      </c>
      <c r="S14" s="60">
        <f ca="1">AVERAGE(OFFSET($R$3,0,0,'Données projet'!$E$9+1,1))-AVERAGE(OFFSET($H$3,0,0,'Données projet'!$E$9+1,1))</f>
        <v>146.40889017442277</v>
      </c>
      <c r="T14" s="60">
        <f t="shared" si="34"/>
        <v>70.859031694091868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3.65</v>
      </c>
      <c r="AI14" s="14">
        <f>IF('Données projet'!$A$62&gt;35,AI13+AH14-AQ13,IF(A14&lt;'Données projet'!$A$62,$AF$205^A14,IF(A14='Données projet'!$A$62,'Données projet'!$B$62,AI13+AH14-AQ13)))</f>
        <v>10.588332555950936</v>
      </c>
      <c r="AJ14" s="14">
        <f>AI14*VLOOKUP('Données projet'!$B$10,Paramètres!$A$1:$I$89,3,0)*VLOOKUP('Données projet'!$B$10,Paramètres!$A$1:$I$89,5,0)</f>
        <v>9.5803232966244067</v>
      </c>
      <c r="AK14" s="14">
        <f t="shared" si="35"/>
        <v>3.3939041949894282</v>
      </c>
      <c r="AL14" s="22">
        <f t="shared" si="4"/>
        <v>22.596779547894098</v>
      </c>
      <c r="AM14" s="60">
        <f t="shared" si="5"/>
        <v>315.93011288122739</v>
      </c>
      <c r="AN14" s="60">
        <f ca="1">AVERAGE(OFFSET($AM$3,0,0,'Données projet'!$E$10+1,1))-AVERAGE(OFFSET($H$3,0,0,'Données projet'!$E$10+1,1))</f>
        <v>404.14319681142746</v>
      </c>
      <c r="AO14" s="60">
        <f t="shared" si="36"/>
        <v>203.5274665601915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2.1</v>
      </c>
      <c r="BD14" s="13">
        <f>IF('Données projet'!$A$88&gt;35,BD13+BC14-BL13,IF(A14&lt;'Données projet'!$A$88,$BA$205^A14,IF(A14='Données projet'!$A$88,'Données projet'!$B$88,BD13+BC14-BL13)))</f>
        <v>7.8124474610620815</v>
      </c>
      <c r="BE14" s="14">
        <f>BD14*VLOOKUP('Données projet'!$B$11,Paramètres!$A$1:$I$89,3,0)*VLOOKUP('Données projet'!$B$11,Paramètres!$A$1:$I$89,5,0)</f>
        <v>7.921821725516951</v>
      </c>
      <c r="BF14" s="14">
        <f t="shared" si="37"/>
        <v>2.869154216054651</v>
      </c>
      <c r="BG14" s="22">
        <f t="shared" si="7"/>
        <v>18.794283098237205</v>
      </c>
      <c r="BH14" s="60">
        <f t="shared" si="8"/>
        <v>312.12761643157052</v>
      </c>
      <c r="BI14" s="60">
        <f ca="1">AVERAGE(OFFSET($BH$3,0,0,'Données projet'!$E$11+1,1))-AVERAGE(OFFSET($H$3,0,0,'Données projet'!$E$11+1,1))</f>
        <v>350.3652766444938</v>
      </c>
      <c r="BJ14" s="60">
        <f t="shared" si="38"/>
        <v>197.04549436738586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2.1</v>
      </c>
      <c r="BY14" s="13">
        <f>IF('Données projet'!$A$114&gt;35,BY13+BX14-CG13,IF(A14&lt;'Données projet'!$A$114,$BV$205^A14,IF(A14='Données projet'!$A$114,'Données projet'!$B$114,BY13+BX14-CG13)))</f>
        <v>7.8124474610620815</v>
      </c>
      <c r="BZ14" s="14">
        <f>BY14*VLOOKUP('Données projet'!$B$12,Paramètres!$A$1:$I$89,3,0)*VLOOKUP('Données projet'!$B$12,Paramètres!$A$1:$I$89,5,0)</f>
        <v>7.5561991843392455</v>
      </c>
      <c r="CA14" s="14">
        <f t="shared" si="39"/>
        <v>2.7518258561310041</v>
      </c>
      <c r="CB14" s="22">
        <f t="shared" si="10"/>
        <v>17.953143612152349</v>
      </c>
      <c r="CC14" s="60">
        <f t="shared" si="11"/>
        <v>311.28647694548567</v>
      </c>
      <c r="CD14" s="60">
        <f ca="1">AVERAGE(OFFSET($CC$3,0,0,'Données projet'!$E$12+1,1))-AVERAGE(OFFSET($H$3,0,0,'Données projet'!$E$12+1,1))</f>
        <v>330.39429528665841</v>
      </c>
      <c r="CE14" s="60">
        <f t="shared" si="40"/>
        <v>186.45728006007261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2.1</v>
      </c>
      <c r="CT14" s="13">
        <f>IF('Données projet'!$A$140&gt;35,CT13+CS14-DB13,IF(A14&lt;'Données projet'!$A$140,$CQ$205^A14,IF(A14='Données projet'!$A$140,'Données projet'!$B$140,CT13+CS14-DB13)))</f>
        <v>7.8124474610620815</v>
      </c>
      <c r="CU14" s="18">
        <f>CT14*VLOOKUP('Données projet'!$B$13,Paramètres!$A$1:$I$89,3,0)*VLOOKUP('Données projet'!$B$13,Paramètres!$A$1:$I$89,5,0)</f>
        <v>8.4093184470872249</v>
      </c>
      <c r="CV14" s="14">
        <f t="shared" si="41"/>
        <v>3.0246192139792929</v>
      </c>
      <c r="CW14" s="22">
        <f t="shared" si="13"/>
        <v>19.914108093024186</v>
      </c>
      <c r="CX14" s="60">
        <f t="shared" si="14"/>
        <v>313.24744142635751</v>
      </c>
      <c r="CY14" s="60">
        <f ca="1">AVERAGE(OFFSET($CX$3,0,0,'Données projet'!$E$13+1,1))-AVERAGE(OFFSET($H$3,0,0,'Données projet'!$E$13+1,1))</f>
        <v>376.96388721258387</v>
      </c>
      <c r="CZ14" s="60">
        <f t="shared" si="42"/>
        <v>211.14628470344377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3.3333333333333335</v>
      </c>
      <c r="DO14" s="13">
        <f>IF('Données projet'!$A$166&gt;35,DO13+DN14-DW13,IF(A14&lt;'Données projet'!$A$166,$DL$205^A14,IF(A14='Données projet'!$A$166,'Données projet'!$B$166,DO13+DN14-DW13)))</f>
        <v>17.616163665149852</v>
      </c>
      <c r="DP14" s="18">
        <f>DO14*VLOOKUP('Données projet'!$B$14,Paramètres!$A$1:$I$89,3,0)*VLOOKUP('Données projet'!$B$14,Paramètres!$A$1:$I$89,5,0)</f>
        <v>11.816922586582521</v>
      </c>
      <c r="DQ14" s="14">
        <f t="shared" si="43"/>
        <v>4.0852340614632361</v>
      </c>
      <c r="DR14" s="22">
        <f t="shared" si="16"/>
        <v>27.696256162013025</v>
      </c>
      <c r="DS14" s="60">
        <f t="shared" si="17"/>
        <v>321.02958949534633</v>
      </c>
      <c r="DT14" s="60">
        <f ca="1">AVERAGE(OFFSET($DS$3,0,0,'Données projet'!$E$14+1,1))-AVERAGE(OFFSET($H$3,0,0,'Données projet'!$E$14+1,1))</f>
        <v>212.33913923444732</v>
      </c>
      <c r="DU14" s="60">
        <f t="shared" si="44"/>
        <v>183.51194426094372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0" t="e">
        <f t="shared" si="20"/>
        <v>#N/A</v>
      </c>
      <c r="EO14" s="60" t="e">
        <f ca="1">AVERAGE(OFFSET($EN$3,0,0,'Données projet'!$E$15+1,1))-AVERAGE(OFFSET($H$3,0,0,'Données projet'!$E$15+1,1))</f>
        <v>#N/A</v>
      </c>
      <c r="EP14" s="60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0" t="e">
        <f t="shared" si="23"/>
        <v>#N/A</v>
      </c>
      <c r="FJ14" s="60" t="e">
        <f ca="1">AVERAGE(OFFSET($FI$3,0,0,'Données projet'!$E$16+1,1))-AVERAGE(OFFSET($H$3,0,0,'Données projet'!$E$16+1,1))</f>
        <v>#N/A</v>
      </c>
      <c r="FK14" s="60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0" t="e">
        <f t="shared" si="26"/>
        <v>#N/A</v>
      </c>
      <c r="GE14" s="60" t="e">
        <f ca="1">AVERAGE(OFFSET($GD$3,0,0,'Données projet'!$E$17+1,1))-AVERAGE(OFFSET($H$3,0,0,'Données projet'!$E$17+1,1))</f>
        <v>#N/A</v>
      </c>
      <c r="GF14" s="60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0" t="e">
        <f t="shared" si="29"/>
        <v>#N/A</v>
      </c>
      <c r="GZ14" s="60" t="e">
        <f ca="1">AVERAGE(OFFSET($GY$3,0,0,'Données projet'!$E$18+1,1))-AVERAGE(OFFSET($H$3,0,0,'Données projet'!$E$18+1,1))</f>
        <v>#N/A</v>
      </c>
      <c r="HA14" s="60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5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2">
        <f t="shared" si="32"/>
        <v>2.4260515959655744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8">
        <f t="shared" si="1"/>
        <v>308.97010652964002</v>
      </c>
      <c r="I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3.4425641025641025</v>
      </c>
      <c r="N15" s="14">
        <f>IF('Données projet'!$A$36&gt;35,N14+M15-V14,IF(A15&lt;'Données projet'!$A$36,$K$205^A15,IF(A15='Données projet'!$A$36,'Données projet'!$B$36,N14+M15-V14)))</f>
        <v>6.3914782624899003</v>
      </c>
      <c r="O15" s="14">
        <f>N15*VLOOKUP('Données projet'!$B$9,Paramètres!$A$1:$I$89,3,0)*VLOOKUP('Données projet'!$B$9,Paramètres!$A$1:$I$89,5,0)</f>
        <v>2.9912118268452734</v>
      </c>
      <c r="P15" s="14">
        <f t="shared" si="33"/>
        <v>1.2134185325879896</v>
      </c>
      <c r="Q15" s="22">
        <f t="shared" si="2"/>
        <v>7.3230645426796004</v>
      </c>
      <c r="R15" s="60">
        <f t="shared" si="0"/>
        <v>300.65639787601293</v>
      </c>
      <c r="S15" s="60">
        <f ca="1">AVERAGE(OFFSET($R$3,0,0,'Données projet'!$E$9+1,1))-AVERAGE(OFFSET($H$3,0,0,'Données projet'!$E$9+1,1))</f>
        <v>146.40889017442277</v>
      </c>
      <c r="T15" s="60">
        <f t="shared" si="34"/>
        <v>70.859031694091868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3.65</v>
      </c>
      <c r="AI15" s="14">
        <f>IF('Données projet'!$A$62&gt;35,AI14+AH15-AQ14,IF(A15&lt;'Données projet'!$A$62,$AF$205^A15,IF(A15='Données projet'!$A$62,'Données projet'!$B$62,AI14+AH15-AQ14)))</f>
        <v>13.121809125710287</v>
      </c>
      <c r="AJ15" s="14">
        <f>AI15*VLOOKUP('Données projet'!$B$10,Paramètres!$A$1:$I$89,3,0)*VLOOKUP('Données projet'!$B$10,Paramètres!$A$1:$I$89,5,0)</f>
        <v>11.872612896942668</v>
      </c>
      <c r="AK15" s="14">
        <f t="shared" si="35"/>
        <v>4.1022411108131784</v>
      </c>
      <c r="AL15" s="22">
        <f t="shared" si="4"/>
        <v>27.822870730174767</v>
      </c>
      <c r="AM15" s="60">
        <f t="shared" si="5"/>
        <v>321.15620406350808</v>
      </c>
      <c r="AN15" s="60">
        <f ca="1">AVERAGE(OFFSET($AM$3,0,0,'Données projet'!$E$10+1,1))-AVERAGE(OFFSET($H$3,0,0,'Données projet'!$E$10+1,1))</f>
        <v>404.14319681142746</v>
      </c>
      <c r="AO15" s="60">
        <f t="shared" si="36"/>
        <v>203.5274665601915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2.1</v>
      </c>
      <c r="BD15" s="13">
        <f>IF('Données projet'!$A$88&gt;35,BD14+BC15-BL14,IF(A15&lt;'Données projet'!$A$88,$BA$205^A15,IF(A15='Données projet'!$A$88,'Données projet'!$B$88,BD14+BC15-BL14)))</f>
        <v>9.4178024044149407</v>
      </c>
      <c r="BE15" s="14">
        <f>BD15*VLOOKUP('Données projet'!$B$11,Paramètres!$A$1:$I$89,3,0)*VLOOKUP('Données projet'!$B$11,Paramètres!$A$1:$I$89,5,0)</f>
        <v>9.5496516380767513</v>
      </c>
      <c r="BF15" s="14">
        <f t="shared" si="37"/>
        <v>3.3843014943027487</v>
      </c>
      <c r="BG15" s="22">
        <f t="shared" si="7"/>
        <v>22.526635038894295</v>
      </c>
      <c r="BH15" s="60">
        <f t="shared" si="8"/>
        <v>315.85996837222763</v>
      </c>
      <c r="BI15" s="60">
        <f ca="1">AVERAGE(OFFSET($BH$3,0,0,'Données projet'!$E$11+1,1))-AVERAGE(OFFSET($H$3,0,0,'Données projet'!$E$11+1,1))</f>
        <v>350.3652766444938</v>
      </c>
      <c r="BJ15" s="60">
        <f t="shared" si="38"/>
        <v>197.04549436738586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2.1</v>
      </c>
      <c r="BY15" s="13">
        <f>IF('Données projet'!$A$114&gt;35,BY14+BX15-CG14,IF(A15&lt;'Données projet'!$A$114,$BV$205^A15,IF(A15='Données projet'!$A$114,'Données projet'!$B$114,BY14+BX15-CG14)))</f>
        <v>9.4178024044149407</v>
      </c>
      <c r="BZ15" s="14">
        <f>BY15*VLOOKUP('Données projet'!$B$12,Paramètres!$A$1:$I$89,3,0)*VLOOKUP('Données projet'!$B$12,Paramètres!$A$1:$I$89,5,0)</f>
        <v>9.1088984855501316</v>
      </c>
      <c r="CA15" s="14">
        <f t="shared" si="39"/>
        <v>3.2459072101643005</v>
      </c>
      <c r="CB15" s="22">
        <f t="shared" si="10"/>
        <v>21.517953253369303</v>
      </c>
      <c r="CC15" s="60">
        <f t="shared" si="11"/>
        <v>314.8512865867026</v>
      </c>
      <c r="CD15" s="60">
        <f ca="1">AVERAGE(OFFSET($CC$3,0,0,'Données projet'!$E$12+1,1))-AVERAGE(OFFSET($H$3,0,0,'Données projet'!$E$12+1,1))</f>
        <v>330.39429528665841</v>
      </c>
      <c r="CE15" s="60">
        <f t="shared" si="40"/>
        <v>186.45728006007261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2.1</v>
      </c>
      <c r="CT15" s="13">
        <f>IF('Données projet'!$A$140&gt;35,CT14+CS15-DB14,IF(A15&lt;'Données projet'!$A$140,$CQ$205^A15,IF(A15='Données projet'!$A$140,'Données projet'!$B$140,CT14+CS15-DB14)))</f>
        <v>9.4178024044149407</v>
      </c>
      <c r="CU15" s="18">
        <f>CT15*VLOOKUP('Données projet'!$B$13,Paramètres!$A$1:$I$89,3,0)*VLOOKUP('Données projet'!$B$13,Paramètres!$A$1:$I$89,5,0)</f>
        <v>10.137322508112241</v>
      </c>
      <c r="CV15" s="14">
        <f t="shared" si="41"/>
        <v>3.5676797253661268</v>
      </c>
      <c r="CW15" s="22">
        <f t="shared" si="13"/>
        <v>23.869545556641487</v>
      </c>
      <c r="CX15" s="60">
        <f t="shared" si="14"/>
        <v>317.20287888997478</v>
      </c>
      <c r="CY15" s="60">
        <f ca="1">AVERAGE(OFFSET($CX$3,0,0,'Données projet'!$E$13+1,1))-AVERAGE(OFFSET($H$3,0,0,'Données projet'!$E$13+1,1))</f>
        <v>376.96388721258387</v>
      </c>
      <c r="CZ15" s="60">
        <f t="shared" si="42"/>
        <v>211.14628470344377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3.3333333333333335</v>
      </c>
      <c r="DO15" s="13">
        <f>IF('Données projet'!$A$166&gt;35,DO14+DN15-DW14,IF(A15&lt;'Données projet'!$A$166,$DL$205^A15,IF(A15='Données projet'!$A$166,'Données projet'!$B$166,DO14+DN15-DW14)))</f>
        <v>22.865252596366318</v>
      </c>
      <c r="DP15" s="18">
        <f>DO15*VLOOKUP('Données projet'!$B$14,Paramètres!$A$1:$I$89,3,0)*VLOOKUP('Données projet'!$B$14,Paramètres!$A$1:$I$89,5,0)</f>
        <v>15.338011441642525</v>
      </c>
      <c r="DQ15" s="14">
        <f t="shared" si="43"/>
        <v>5.1439602509023024</v>
      </c>
      <c r="DR15" s="22">
        <f t="shared" si="16"/>
        <v>35.672767364515572</v>
      </c>
      <c r="DS15" s="60">
        <f t="shared" si="17"/>
        <v>329.00610069784886</v>
      </c>
      <c r="DT15" s="60">
        <f ca="1">AVERAGE(OFFSET($DS$3,0,0,'Données projet'!$E$14+1,1))-AVERAGE(OFFSET($H$3,0,0,'Données projet'!$E$14+1,1))</f>
        <v>212.33913923444732</v>
      </c>
      <c r="DU15" s="60">
        <f t="shared" si="44"/>
        <v>183.51194426094372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0" t="e">
        <f t="shared" si="20"/>
        <v>#N/A</v>
      </c>
      <c r="EO15" s="60" t="e">
        <f ca="1">AVERAGE(OFFSET($EN$3,0,0,'Données projet'!$E$15+1,1))-AVERAGE(OFFSET($H$3,0,0,'Données projet'!$E$15+1,1))</f>
        <v>#N/A</v>
      </c>
      <c r="EP15" s="60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0" t="e">
        <f t="shared" si="23"/>
        <v>#N/A</v>
      </c>
      <c r="FJ15" s="60" t="e">
        <f ca="1">AVERAGE(OFFSET($FI$3,0,0,'Données projet'!$E$16+1,1))-AVERAGE(OFFSET($H$3,0,0,'Données projet'!$E$16+1,1))</f>
        <v>#N/A</v>
      </c>
      <c r="FK15" s="60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0" t="e">
        <f t="shared" si="26"/>
        <v>#N/A</v>
      </c>
      <c r="GE15" s="60" t="e">
        <f ca="1">AVERAGE(OFFSET($GD$3,0,0,'Données projet'!$E$17+1,1))-AVERAGE(OFFSET($H$3,0,0,'Données projet'!$E$17+1,1))</f>
        <v>#N/A</v>
      </c>
      <c r="GF15" s="60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0" t="e">
        <f t="shared" si="29"/>
        <v>#N/A</v>
      </c>
      <c r="GZ15" s="60" t="e">
        <f ca="1">AVERAGE(OFFSET($GY$3,0,0,'Données projet'!$E$18+1,1))-AVERAGE(OFFSET($H$3,0,0,'Données projet'!$E$18+1,1))</f>
        <v>#N/A</v>
      </c>
      <c r="HA15" s="60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5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2">
        <f t="shared" si="32"/>
        <v>2.6038492076799815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8">
        <f t="shared" si="1"/>
        <v>310.23072070337594</v>
      </c>
      <c r="I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3.4425641025641025</v>
      </c>
      <c r="N16" s="14">
        <f>IF('Données projet'!$A$36&gt;35,N15+M16-V15,IF(A16&lt;'Données projet'!$A$36,$K$205^A16,IF(A16='Données projet'!$A$36,'Données projet'!$B$36,N15+M16-V15)))</f>
        <v>7.459930119048451</v>
      </c>
      <c r="O16" s="14">
        <f>N16*VLOOKUP('Données projet'!$B$9,Paramètres!$A$1:$I$89,3,0)*VLOOKUP('Données projet'!$B$9,Paramètres!$A$1:$I$89,5,0)</f>
        <v>3.4912472957146754</v>
      </c>
      <c r="P16" s="14">
        <f t="shared" si="33"/>
        <v>1.3910083400895945</v>
      </c>
      <c r="Q16" s="22">
        <f t="shared" si="2"/>
        <v>8.5032618990257713</v>
      </c>
      <c r="R16" s="60">
        <f t="shared" si="0"/>
        <v>301.83659523235906</v>
      </c>
      <c r="S16" s="60">
        <f ca="1">AVERAGE(OFFSET($R$3,0,0,'Données projet'!$E$9+1,1))-AVERAGE(OFFSET($H$3,0,0,'Données projet'!$E$9+1,1))</f>
        <v>146.40889017442277</v>
      </c>
      <c r="T16" s="60">
        <f t="shared" si="34"/>
        <v>70.859031694091868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3.65</v>
      </c>
      <c r="AI16" s="14">
        <f>IF('Données projet'!$A$62&gt;35,AI15+AH16-AQ15,IF(A16&lt;'Données projet'!$A$62,$AF$205^A16,IF(A16='Données projet'!$A$62,'Données projet'!$B$62,AI15+AH16-AQ15)))</f>
        <v>16.261472127148366</v>
      </c>
      <c r="AJ16" s="14">
        <f>AI16*VLOOKUP('Données projet'!$B$10,Paramètres!$A$1:$I$89,3,0)*VLOOKUP('Données projet'!$B$10,Paramètres!$A$1:$I$89,5,0)</f>
        <v>14.713379980643843</v>
      </c>
      <c r="AK16" s="14">
        <f t="shared" si="35"/>
        <v>4.9584140165447881</v>
      </c>
      <c r="AL16" s="22">
        <f t="shared" si="4"/>
        <v>34.261707878436859</v>
      </c>
      <c r="AM16" s="60">
        <f t="shared" si="5"/>
        <v>327.59504121177019</v>
      </c>
      <c r="AN16" s="60">
        <f ca="1">AVERAGE(OFFSET($AM$3,0,0,'Données projet'!$E$10+1,1))-AVERAGE(OFFSET($H$3,0,0,'Données projet'!$E$10+1,1))</f>
        <v>404.14319681142746</v>
      </c>
      <c r="AO16" s="60">
        <f t="shared" si="36"/>
        <v>203.5274665601915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2.1</v>
      </c>
      <c r="BD16" s="13">
        <f>IF('Données projet'!$A$88&gt;35,BD15+BC16-BL15,IF(A16&lt;'Données projet'!$A$88,$BA$205^A16,IF(A16='Données projet'!$A$88,'Données projet'!$B$88,BD15+BC16-BL15)))</f>
        <v>11.35303662145153</v>
      </c>
      <c r="BE16" s="14">
        <f>BD16*VLOOKUP('Données projet'!$B$11,Paramètres!$A$1:$I$89,3,0)*VLOOKUP('Données projet'!$B$11,Paramètres!$A$1:$I$89,5,0)</f>
        <v>11.511979134151852</v>
      </c>
      <c r="BF16" s="14">
        <f t="shared" si="37"/>
        <v>3.9919417855793822</v>
      </c>
      <c r="BG16" s="22">
        <f t="shared" si="7"/>
        <v>27.002662268531896</v>
      </c>
      <c r="BH16" s="60">
        <f t="shared" si="8"/>
        <v>320.33599560186519</v>
      </c>
      <c r="BI16" s="60">
        <f ca="1">AVERAGE(OFFSET($BH$3,0,0,'Données projet'!$E$11+1,1))-AVERAGE(OFFSET($H$3,0,0,'Données projet'!$E$11+1,1))</f>
        <v>350.3652766444938</v>
      </c>
      <c r="BJ16" s="60">
        <f t="shared" si="38"/>
        <v>197.04549436738586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2.1</v>
      </c>
      <c r="BY16" s="13">
        <f>IF('Données projet'!$A$114&gt;35,BY15+BX16-CG15,IF(A16&lt;'Données projet'!$A$114,$BV$205^A16,IF(A16='Données projet'!$A$114,'Données projet'!$B$114,BY15+BX16-CG15)))</f>
        <v>11.35303662145153</v>
      </c>
      <c r="BZ16" s="14">
        <f>BY16*VLOOKUP('Données projet'!$B$12,Paramètres!$A$1:$I$89,3,0)*VLOOKUP('Données projet'!$B$12,Paramètres!$A$1:$I$89,5,0)</f>
        <v>10.98065702026792</v>
      </c>
      <c r="CA16" s="14">
        <f t="shared" si="39"/>
        <v>3.8286992592655618</v>
      </c>
      <c r="CB16" s="22">
        <f t="shared" si="10"/>
        <v>25.792962186854144</v>
      </c>
      <c r="CC16" s="60">
        <f t="shared" si="11"/>
        <v>319.12629552018745</v>
      </c>
      <c r="CD16" s="60">
        <f ca="1">AVERAGE(OFFSET($CC$3,0,0,'Données projet'!$E$12+1,1))-AVERAGE(OFFSET($H$3,0,0,'Données projet'!$E$12+1,1))</f>
        <v>330.39429528665841</v>
      </c>
      <c r="CE16" s="60">
        <f t="shared" si="40"/>
        <v>186.45728006007261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2.1</v>
      </c>
      <c r="CT16" s="13">
        <f>IF('Données projet'!$A$140&gt;35,CT15+CS16-DB15,IF(A16&lt;'Données projet'!$A$140,$CQ$205^A16,IF(A16='Données projet'!$A$140,'Données projet'!$B$140,CT15+CS16-DB15)))</f>
        <v>11.35303662145153</v>
      </c>
      <c r="CU16" s="18">
        <f>CT16*VLOOKUP('Données projet'!$B$13,Paramètres!$A$1:$I$89,3,0)*VLOOKUP('Données projet'!$B$13,Paramètres!$A$1:$I$89,5,0)</f>
        <v>12.220408619330426</v>
      </c>
      <c r="CV16" s="14">
        <f t="shared" si="41"/>
        <v>4.2082449797185175</v>
      </c>
      <c r="CW16" s="22">
        <f t="shared" si="13"/>
        <v>28.613238351676909</v>
      </c>
      <c r="CX16" s="60">
        <f t="shared" si="14"/>
        <v>321.94657168501021</v>
      </c>
      <c r="CY16" s="60">
        <f ca="1">AVERAGE(OFFSET($CX$3,0,0,'Données projet'!$E$13+1,1))-AVERAGE(OFFSET($H$3,0,0,'Données projet'!$E$13+1,1))</f>
        <v>376.96388721258387</v>
      </c>
      <c r="CZ16" s="60">
        <f t="shared" si="42"/>
        <v>211.14628470344377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3.3333333333333335</v>
      </c>
      <c r="DO16" s="13">
        <f>IF('Données projet'!$A$166&gt;35,DO15+DN16-DW15,IF(A16&lt;'Données projet'!$A$166,$DL$205^A16,IF(A16='Données projet'!$A$166,'Données projet'!$B$166,DO15+DN16-DW15)))</f>
        <v>29.678412748283769</v>
      </c>
      <c r="DP16" s="18">
        <f>DO16*VLOOKUP('Données projet'!$B$14,Paramètres!$A$1:$I$89,3,0)*VLOOKUP('Données projet'!$B$14,Paramètres!$A$1:$I$89,5,0)</f>
        <v>19.90827927154875</v>
      </c>
      <c r="DQ16" s="14">
        <f t="shared" si="43"/>
        <v>6.4770651239957129</v>
      </c>
      <c r="DR16" s="22">
        <f t="shared" si="16"/>
        <v>45.954474822239945</v>
      </c>
      <c r="DS16" s="60">
        <f t="shared" si="17"/>
        <v>339.28780815557326</v>
      </c>
      <c r="DT16" s="60">
        <f ca="1">AVERAGE(OFFSET($DS$3,0,0,'Données projet'!$E$14+1,1))-AVERAGE(OFFSET($H$3,0,0,'Données projet'!$E$14+1,1))</f>
        <v>212.33913923444732</v>
      </c>
      <c r="DU16" s="60">
        <f t="shared" si="44"/>
        <v>183.51194426094372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0" t="e">
        <f t="shared" si="20"/>
        <v>#N/A</v>
      </c>
      <c r="EO16" s="60" t="e">
        <f ca="1">AVERAGE(OFFSET($EN$3,0,0,'Données projet'!$E$15+1,1))-AVERAGE(OFFSET($H$3,0,0,'Données projet'!$E$15+1,1))</f>
        <v>#N/A</v>
      </c>
      <c r="EP16" s="60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0" t="e">
        <f t="shared" si="23"/>
        <v>#N/A</v>
      </c>
      <c r="FJ16" s="60" t="e">
        <f ca="1">AVERAGE(OFFSET($FI$3,0,0,'Données projet'!$E$16+1,1))-AVERAGE(OFFSET($H$3,0,0,'Données projet'!$E$16+1,1))</f>
        <v>#N/A</v>
      </c>
      <c r="FK16" s="60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0" t="e">
        <f t="shared" si="26"/>
        <v>#N/A</v>
      </c>
      <c r="GE16" s="60" t="e">
        <f ca="1">AVERAGE(OFFSET($GD$3,0,0,'Données projet'!$E$17+1,1))-AVERAGE(OFFSET($H$3,0,0,'Données projet'!$E$17+1,1))</f>
        <v>#N/A</v>
      </c>
      <c r="GF16" s="60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0" t="e">
        <f t="shared" si="29"/>
        <v>#N/A</v>
      </c>
      <c r="GZ16" s="60" t="e">
        <f ca="1">AVERAGE(OFFSET($GY$3,0,0,'Données projet'!$E$18+1,1))-AVERAGE(OFFSET($H$3,0,0,'Données projet'!$E$18+1,1))</f>
        <v>#N/A</v>
      </c>
      <c r="HA16" s="60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5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2">
        <f t="shared" si="32"/>
        <v>2.7800603022041317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8">
        <f t="shared" si="1"/>
        <v>311.4885716930055</v>
      </c>
      <c r="I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3.4425641025641025</v>
      </c>
      <c r="N17" s="14">
        <f>IF('Données projet'!$A$36&gt;35,N16+M17-V16,IF(A17&lt;'Données projet'!$A$36,$K$205^A17,IF(A17='Données projet'!$A$36,'Données projet'!$B$36,N16+M17-V16)))</f>
        <v>8.7069931392376674</v>
      </c>
      <c r="O17" s="14">
        <f>N17*VLOOKUP('Données projet'!$B$9,Paramètres!$A$1:$I$89,3,0)*VLOOKUP('Données projet'!$B$9,Paramètres!$A$1:$I$89,5,0)</f>
        <v>4.0748727891632281</v>
      </c>
      <c r="P17" s="14">
        <f t="shared" si="33"/>
        <v>1.5945892948181934</v>
      </c>
      <c r="Q17" s="22">
        <f t="shared" si="2"/>
        <v>9.8743131296009761</v>
      </c>
      <c r="R17" s="60">
        <f t="shared" si="0"/>
        <v>303.20764646293429</v>
      </c>
      <c r="S17" s="60">
        <f ca="1">AVERAGE(OFFSET($R$3,0,0,'Données projet'!$E$9+1,1))-AVERAGE(OFFSET($H$3,0,0,'Données projet'!$E$9+1,1))</f>
        <v>146.40889017442277</v>
      </c>
      <c r="T17" s="60">
        <f t="shared" si="34"/>
        <v>70.859031694091868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3.65</v>
      </c>
      <c r="AI17" s="14">
        <f>IF('Données projet'!$A$62&gt;35,AI16+AH17-AQ16,IF(A17&lt;'Données projet'!$A$62,$AF$205^A17,IF(A17='Données projet'!$A$62,'Données projet'!$B$62,AI16+AH17-AQ16)))</f>
        <v>20.152364144963837</v>
      </c>
      <c r="AJ17" s="14">
        <f>AI17*VLOOKUP('Données projet'!$B$10,Paramètres!$A$1:$I$89,3,0)*VLOOKUP('Données projet'!$B$10,Paramètres!$A$1:$I$89,5,0)</f>
        <v>18.233859078363277</v>
      </c>
      <c r="AK17" s="14">
        <f t="shared" si="35"/>
        <v>5.9932775513027368</v>
      </c>
      <c r="AL17" s="22">
        <f t="shared" si="4"/>
        <v>42.195596296668306</v>
      </c>
      <c r="AM17" s="60">
        <f t="shared" si="5"/>
        <v>335.52892963000164</v>
      </c>
      <c r="AN17" s="60">
        <f ca="1">AVERAGE(OFFSET($AM$3,0,0,'Données projet'!$E$10+1,1))-AVERAGE(OFFSET($H$3,0,0,'Données projet'!$E$10+1,1))</f>
        <v>404.14319681142746</v>
      </c>
      <c r="AO17" s="60">
        <f t="shared" si="36"/>
        <v>203.5274665601915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2.1</v>
      </c>
      <c r="BD17" s="13">
        <f>IF('Données projet'!$A$88&gt;35,BD16+BC17-BL16,IF(A17&lt;'Données projet'!$A$88,$BA$205^A17,IF(A17='Données projet'!$A$88,'Données projet'!$B$88,BD16+BC17-BL16)))</f>
        <v>13.685935953338433</v>
      </c>
      <c r="BE17" s="14">
        <f>BD17*VLOOKUP('Données projet'!$B$11,Paramètres!$A$1:$I$89,3,0)*VLOOKUP('Données projet'!$B$11,Paramètres!$A$1:$I$89,5,0)</f>
        <v>13.877539056685173</v>
      </c>
      <c r="BF17" s="14">
        <f t="shared" si="37"/>
        <v>4.7086819085950955</v>
      </c>
      <c r="BG17" s="22">
        <f t="shared" si="7"/>
        <v>32.371001514529802</v>
      </c>
      <c r="BH17" s="60">
        <f t="shared" si="8"/>
        <v>325.70433484786309</v>
      </c>
      <c r="BI17" s="60">
        <f ca="1">AVERAGE(OFFSET($BH$3,0,0,'Données projet'!$E$11+1,1))-AVERAGE(OFFSET($H$3,0,0,'Données projet'!$E$11+1,1))</f>
        <v>350.3652766444938</v>
      </c>
      <c r="BJ17" s="60">
        <f t="shared" si="38"/>
        <v>197.04549436738586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2.1</v>
      </c>
      <c r="BY17" s="13">
        <f>IF('Données projet'!$A$114&gt;35,BY16+BX17-CG16,IF(A17&lt;'Données projet'!$A$114,$BV$205^A17,IF(A17='Données projet'!$A$114,'Données projet'!$B$114,BY16+BX17-CG16)))</f>
        <v>13.685935953338433</v>
      </c>
      <c r="BZ17" s="14">
        <f>BY17*VLOOKUP('Données projet'!$B$12,Paramètres!$A$1:$I$89,3,0)*VLOOKUP('Données projet'!$B$12,Paramètres!$A$1:$I$89,5,0)</f>
        <v>13.237037254068934</v>
      </c>
      <c r="CA17" s="14">
        <f t="shared" si="39"/>
        <v>4.5161297192961545</v>
      </c>
      <c r="CB17" s="22">
        <f t="shared" si="10"/>
        <v>30.920099145277529</v>
      </c>
      <c r="CC17" s="60">
        <f t="shared" si="11"/>
        <v>324.25343247861082</v>
      </c>
      <c r="CD17" s="60">
        <f ca="1">AVERAGE(OFFSET($CC$3,0,0,'Données projet'!$E$12+1,1))-AVERAGE(OFFSET($H$3,0,0,'Données projet'!$E$12+1,1))</f>
        <v>330.39429528665841</v>
      </c>
      <c r="CE17" s="60">
        <f t="shared" si="40"/>
        <v>186.45728006007261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2.1</v>
      </c>
      <c r="CT17" s="13">
        <f>IF('Données projet'!$A$140&gt;35,CT16+CS17-DB16,IF(A17&lt;'Données projet'!$A$140,$CQ$205^A17,IF(A17='Données projet'!$A$140,'Données projet'!$B$140,CT16+CS17-DB16)))</f>
        <v>13.685935953338433</v>
      </c>
      <c r="CU17" s="18">
        <f>CT17*VLOOKUP('Données projet'!$B$13,Paramètres!$A$1:$I$89,3,0)*VLOOKUP('Données projet'!$B$13,Paramètres!$A$1:$I$89,5,0)</f>
        <v>14.731541460173487</v>
      </c>
      <c r="CV17" s="14">
        <f t="shared" si="41"/>
        <v>4.9638216355053304</v>
      </c>
      <c r="CW17" s="22">
        <f t="shared" si="13"/>
        <v>34.302757391640604</v>
      </c>
      <c r="CX17" s="60">
        <f t="shared" si="14"/>
        <v>327.63609072497394</v>
      </c>
      <c r="CY17" s="60">
        <f ca="1">AVERAGE(OFFSET($CX$3,0,0,'Données projet'!$E$13+1,1))-AVERAGE(OFFSET($H$3,0,0,'Données projet'!$E$13+1,1))</f>
        <v>376.96388721258387</v>
      </c>
      <c r="CZ17" s="60">
        <f t="shared" si="42"/>
        <v>211.14628470344377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3.3333333333333335</v>
      </c>
      <c r="DO17" s="13">
        <f>IF('Données projet'!$A$166&gt;35,DO16+DN17-DW16,IF(A17&lt;'Données projet'!$A$166,$DL$205^A17,IF(A17='Données projet'!$A$166,'Données projet'!$B$166,DO16+DN17-DW16)))</f>
        <v>38.521690479704915</v>
      </c>
      <c r="DP17" s="18">
        <f>DO17*VLOOKUP('Données projet'!$B$14,Paramètres!$A$1:$I$89,3,0)*VLOOKUP('Données projet'!$B$14,Paramètres!$A$1:$I$89,5,0)</f>
        <v>25.840349973786058</v>
      </c>
      <c r="DQ17" s="14">
        <f t="shared" si="43"/>
        <v>8.1556564542120462</v>
      </c>
      <c r="DR17" s="22">
        <f t="shared" si="16"/>
        <v>59.209711195430032</v>
      </c>
      <c r="DS17" s="60">
        <f t="shared" si="17"/>
        <v>352.54304452876335</v>
      </c>
      <c r="DT17" s="60">
        <f ca="1">AVERAGE(OFFSET($DS$3,0,0,'Données projet'!$E$14+1,1))-AVERAGE(OFFSET($H$3,0,0,'Données projet'!$E$14+1,1))</f>
        <v>212.33913923444732</v>
      </c>
      <c r="DU17" s="60">
        <f t="shared" si="44"/>
        <v>183.51194426094372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0" t="e">
        <f t="shared" si="20"/>
        <v>#N/A</v>
      </c>
      <c r="EO17" s="60" t="e">
        <f ca="1">AVERAGE(OFFSET($EN$3,0,0,'Données projet'!$E$15+1,1))-AVERAGE(OFFSET($H$3,0,0,'Données projet'!$E$15+1,1))</f>
        <v>#N/A</v>
      </c>
      <c r="EP17" s="60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0" t="e">
        <f t="shared" si="23"/>
        <v>#N/A</v>
      </c>
      <c r="FJ17" s="60" t="e">
        <f ca="1">AVERAGE(OFFSET($FI$3,0,0,'Données projet'!$E$16+1,1))-AVERAGE(OFFSET($H$3,0,0,'Données projet'!$E$16+1,1))</f>
        <v>#N/A</v>
      </c>
      <c r="FK17" s="60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0" t="e">
        <f t="shared" si="26"/>
        <v>#N/A</v>
      </c>
      <c r="GE17" s="60" t="e">
        <f ca="1">AVERAGE(OFFSET($GD$3,0,0,'Données projet'!$E$17+1,1))-AVERAGE(OFFSET($H$3,0,0,'Données projet'!$E$17+1,1))</f>
        <v>#N/A</v>
      </c>
      <c r="GF17" s="60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0" t="e">
        <f t="shared" si="29"/>
        <v>#N/A</v>
      </c>
      <c r="GZ17" s="60" t="e">
        <f ca="1">AVERAGE(OFFSET($GY$3,0,0,'Données projet'!$E$18+1,1))-AVERAGE(OFFSET($H$3,0,0,'Données projet'!$E$18+1,1))</f>
        <v>#N/A</v>
      </c>
      <c r="HA17" s="60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5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2">
        <f t="shared" si="32"/>
        <v>2.9548110908066194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8">
        <f t="shared" si="1"/>
        <v>312.74387931648818</v>
      </c>
      <c r="I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3.4425641025641025</v>
      </c>
      <c r="N18" s="14">
        <f>IF('Données projet'!$A$36&gt;35,N17+M18-V17,IF(A18&lt;'Données projet'!$A$36,$K$205^A18,IF(A18='Données projet'!$A$36,'Données projet'!$B$36,N17+M18-V17)))</f>
        <v>10.162525428107084</v>
      </c>
      <c r="O18" s="14">
        <f>N18*VLOOKUP('Données projet'!$B$9,Paramètres!$A$1:$I$89,3,0)*VLOOKUP('Données projet'!$B$9,Paramètres!$A$1:$I$89,5,0)</f>
        <v>4.7560619003541156</v>
      </c>
      <c r="P18" s="14">
        <f t="shared" si="33"/>
        <v>1.8279653298016947</v>
      </c>
      <c r="Q18" s="22">
        <f t="shared" si="2"/>
        <v>11.467180759188034</v>
      </c>
      <c r="R18" s="60">
        <f t="shared" si="0"/>
        <v>304.80051409252133</v>
      </c>
      <c r="S18" s="60">
        <f ca="1">AVERAGE(OFFSET($R$3,0,0,'Données projet'!$E$9+1,1))-AVERAGE(OFFSET($H$3,0,0,'Données projet'!$E$9+1,1))</f>
        <v>146.40889017442277</v>
      </c>
      <c r="T18" s="60">
        <f t="shared" si="34"/>
        <v>70.859031694091868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3.65</v>
      </c>
      <c r="AI18" s="14">
        <f>IF('Données projet'!$A$62&gt;35,AI17+AH18-AQ17,IF(A18&lt;'Données projet'!$A$62,$AF$205^A18,IF(A18='Données projet'!$A$62,'Données projet'!$B$62,AI17+AH18-AQ17)))</f>
        <v>24.974232188561476</v>
      </c>
      <c r="AJ18" s="14">
        <f>AI18*VLOOKUP('Données projet'!$B$10,Paramètres!$A$1:$I$89,3,0)*VLOOKUP('Données projet'!$B$10,Paramètres!$A$1:$I$89,5,0)</f>
        <v>22.596685284210423</v>
      </c>
      <c r="AK18" s="14">
        <f t="shared" si="35"/>
        <v>7.2441259820371586</v>
      </c>
      <c r="AL18" s="22">
        <f t="shared" si="4"/>
        <v>51.972746288714539</v>
      </c>
      <c r="AM18" s="60">
        <f t="shared" si="5"/>
        <v>345.30607962204783</v>
      </c>
      <c r="AN18" s="60">
        <f ca="1">AVERAGE(OFFSET($AM$3,0,0,'Données projet'!$E$10+1,1))-AVERAGE(OFFSET($H$3,0,0,'Données projet'!$E$10+1,1))</f>
        <v>404.14319681142746</v>
      </c>
      <c r="AO18" s="60">
        <f t="shared" si="36"/>
        <v>203.5274665601915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2.1</v>
      </c>
      <c r="BD18" s="13">
        <f>IF('Données projet'!$A$88&gt;35,BD17+BC18-BL17,IF(A18&lt;'Données projet'!$A$88,$BA$205^A18,IF(A18='Données projet'!$A$88,'Données projet'!$B$88,BD17+BC18-BL17)))</f>
        <v>16.498215337821566</v>
      </c>
      <c r="BE18" s="14">
        <f>BD18*VLOOKUP('Données projet'!$B$11,Paramètres!$A$1:$I$89,3,0)*VLOOKUP('Données projet'!$B$11,Paramètres!$A$1:$I$89,5,0)</f>
        <v>16.729190352551068</v>
      </c>
      <c r="BF18" s="14">
        <f t="shared" si="37"/>
        <v>5.5541103821765283</v>
      </c>
      <c r="BG18" s="22">
        <f t="shared" si="7"/>
        <v>38.810082112983899</v>
      </c>
      <c r="BH18" s="60">
        <f t="shared" si="8"/>
        <v>332.14341544631719</v>
      </c>
      <c r="BI18" s="60">
        <f ca="1">AVERAGE(OFFSET($BH$3,0,0,'Données projet'!$E$11+1,1))-AVERAGE(OFFSET($H$3,0,0,'Données projet'!$E$11+1,1))</f>
        <v>350.3652766444938</v>
      </c>
      <c r="BJ18" s="60">
        <f t="shared" si="38"/>
        <v>197.04549436738586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2.1</v>
      </c>
      <c r="BY18" s="13">
        <f>IF('Données projet'!$A$114&gt;35,BY17+BX18-CG17,IF(A18&lt;'Données projet'!$A$114,$BV$205^A18,IF(A18='Données projet'!$A$114,'Données projet'!$B$114,BY17+BX18-CG17)))</f>
        <v>16.498215337821566</v>
      </c>
      <c r="BZ18" s="14">
        <f>BY18*VLOOKUP('Données projet'!$B$12,Paramètres!$A$1:$I$89,3,0)*VLOOKUP('Données projet'!$B$12,Paramètres!$A$1:$I$89,5,0)</f>
        <v>15.957073874741019</v>
      </c>
      <c r="CA18" s="14">
        <f t="shared" si="39"/>
        <v>5.3269860755326848</v>
      </c>
      <c r="CB18" s="22">
        <f t="shared" si="10"/>
        <v>37.069737746726702</v>
      </c>
      <c r="CC18" s="60">
        <f t="shared" si="11"/>
        <v>330.40307108006004</v>
      </c>
      <c r="CD18" s="60">
        <f ca="1">AVERAGE(OFFSET($CC$3,0,0,'Données projet'!$E$12+1,1))-AVERAGE(OFFSET($H$3,0,0,'Données projet'!$E$12+1,1))</f>
        <v>330.39429528665841</v>
      </c>
      <c r="CE18" s="60">
        <f t="shared" si="40"/>
        <v>186.45728006007261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2.1</v>
      </c>
      <c r="CT18" s="13">
        <f>IF('Données projet'!$A$140&gt;35,CT17+CS18-DB17,IF(A18&lt;'Données projet'!$A$140,$CQ$205^A18,IF(A18='Données projet'!$A$140,'Données projet'!$B$140,CT17+CS18-DB17)))</f>
        <v>16.498215337821566</v>
      </c>
      <c r="CU18" s="18">
        <f>CT18*VLOOKUP('Données projet'!$B$13,Paramètres!$A$1:$I$89,3,0)*VLOOKUP('Données projet'!$B$13,Paramètres!$A$1:$I$89,5,0)</f>
        <v>17.758678989631132</v>
      </c>
      <c r="CV18" s="14">
        <f t="shared" si="41"/>
        <v>5.8550596146042126</v>
      </c>
      <c r="CW18" s="22">
        <f t="shared" si="13"/>
        <v>41.127261402376554</v>
      </c>
      <c r="CX18" s="60">
        <f t="shared" si="14"/>
        <v>334.46059473570989</v>
      </c>
      <c r="CY18" s="60">
        <f ca="1">AVERAGE(OFFSET($CX$3,0,0,'Données projet'!$E$13+1,1))-AVERAGE(OFFSET($H$3,0,0,'Données projet'!$E$13+1,1))</f>
        <v>376.96388721258387</v>
      </c>
      <c r="CZ18" s="60">
        <f t="shared" si="42"/>
        <v>211.14628470344377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>
        <f>VLOOKUP(A18,'Données projet'!$A$165:$I$185,2,0)</f>
        <v>50</v>
      </c>
      <c r="DM18" s="13">
        <f>VLOOKUP(A18,'Données projet'!$A$165:$I$185,9,0)</f>
        <v>3.3333333333333335</v>
      </c>
      <c r="DN18" s="13">
        <f t="array" ref="DN18">INDEX(DM:DM,MIN(IF(ISNUMBER(DM18:DM214),ROW(DM18:DM214),"")))</f>
        <v>3.3333333333333335</v>
      </c>
      <c r="DO18" s="13">
        <f>IF('Données projet'!$A$166&gt;35,DO17+DN18-DW17,IF(A18&lt;'Données projet'!$A$166,$DL$205^A18,IF(A18='Données projet'!$A$166,'Données projet'!$B$166,DO17+DN18-DW17)))</f>
        <v>50</v>
      </c>
      <c r="DP18" s="18">
        <f>DO18*VLOOKUP('Données projet'!$B$14,Paramètres!$A$1:$I$89,3,0)*VLOOKUP('Données projet'!$B$14,Paramètres!$A$1:$I$89,5,0)</f>
        <v>33.54</v>
      </c>
      <c r="DQ18" s="14">
        <f t="shared" si="43"/>
        <v>10.269270252156668</v>
      </c>
      <c r="DR18" s="22">
        <f t="shared" si="16"/>
        <v>76.301145689172856</v>
      </c>
      <c r="DS18" s="60">
        <f t="shared" si="17"/>
        <v>369.63447902250618</v>
      </c>
      <c r="DT18" s="60">
        <f ca="1">AVERAGE(OFFSET($DS$3,0,0,'Données projet'!$E$14+1,1))-AVERAGE(OFFSET($H$3,0,0,'Données projet'!$E$14+1,1))</f>
        <v>212.33913923444732</v>
      </c>
      <c r="DU18" s="60">
        <f t="shared" si="44"/>
        <v>183.51194426094372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0" t="e">
        <f t="shared" si="20"/>
        <v>#N/A</v>
      </c>
      <c r="EO18" s="60" t="e">
        <f ca="1">AVERAGE(OFFSET($EN$3,0,0,'Données projet'!$E$15+1,1))-AVERAGE(OFFSET($H$3,0,0,'Données projet'!$E$15+1,1))</f>
        <v>#N/A</v>
      </c>
      <c r="EP18" s="60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0" t="e">
        <f t="shared" si="23"/>
        <v>#N/A</v>
      </c>
      <c r="FJ18" s="60" t="e">
        <f ca="1">AVERAGE(OFFSET($FI$3,0,0,'Données projet'!$E$16+1,1))-AVERAGE(OFFSET($H$3,0,0,'Données projet'!$E$16+1,1))</f>
        <v>#N/A</v>
      </c>
      <c r="FK18" s="60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0" t="e">
        <f t="shared" si="26"/>
        <v>#N/A</v>
      </c>
      <c r="GE18" s="60" t="e">
        <f ca="1">AVERAGE(OFFSET($GD$3,0,0,'Données projet'!$E$17+1,1))-AVERAGE(OFFSET($H$3,0,0,'Données projet'!$E$17+1,1))</f>
        <v>#N/A</v>
      </c>
      <c r="GF18" s="60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0" t="e">
        <f t="shared" si="29"/>
        <v>#N/A</v>
      </c>
      <c r="GZ18" s="60" t="e">
        <f ca="1">AVERAGE(OFFSET($GY$3,0,0,'Données projet'!$E$18+1,1))-AVERAGE(OFFSET($H$3,0,0,'Données projet'!$E$18+1,1))</f>
        <v>#N/A</v>
      </c>
      <c r="HA18" s="60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5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2">
        <f t="shared" si="32"/>
        <v>3.1282100045396777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8">
        <f t="shared" si="1"/>
        <v>313.99683242457326</v>
      </c>
      <c r="I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3.4425641025641025</v>
      </c>
      <c r="N19" s="14">
        <f>IF('Données projet'!$A$36&gt;35,N18+M19-V18,IF(A19&lt;'Données projet'!$A$36,$K$205^A19,IF(A19='Données projet'!$A$36,'Données projet'!$B$36,N18+M19-V18)))</f>
        <v>11.861376416102864</v>
      </c>
      <c r="O19" s="14">
        <f>N19*VLOOKUP('Données projet'!$B$9,Paramètres!$A$1:$I$89,3,0)*VLOOKUP('Données projet'!$B$9,Paramètres!$A$1:$I$89,5,0)</f>
        <v>5.5511241627361398</v>
      </c>
      <c r="P19" s="14">
        <f t="shared" si="33"/>
        <v>2.0954971024924585</v>
      </c>
      <c r="Q19" s="22">
        <f t="shared" si="2"/>
        <v>13.31786537027314</v>
      </c>
      <c r="R19" s="60">
        <f t="shared" si="0"/>
        <v>306.65119870360644</v>
      </c>
      <c r="S19" s="60">
        <f ca="1">AVERAGE(OFFSET($R$3,0,0,'Données projet'!$E$9+1,1))-AVERAGE(OFFSET($H$3,0,0,'Données projet'!$E$9+1,1))</f>
        <v>146.40889017442277</v>
      </c>
      <c r="T19" s="60">
        <f t="shared" si="34"/>
        <v>70.859031694091868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3.65</v>
      </c>
      <c r="AI19" s="14">
        <f>IF('Données projet'!$A$62&gt;35,AI18+AH19-AQ18,IF(A19&lt;'Données projet'!$A$62,$AF$205^A19,IF(A19='Données projet'!$A$62,'Données projet'!$B$62,AI18+AH19-AQ18)))</f>
        <v>30.949831440200953</v>
      </c>
      <c r="AJ19" s="14">
        <f>AI19*VLOOKUP('Données projet'!$B$10,Paramètres!$A$1:$I$89,3,0)*VLOOKUP('Données projet'!$B$10,Paramètres!$A$1:$I$89,5,0)</f>
        <v>28.003407487093821</v>
      </c>
      <c r="AK19" s="14">
        <f t="shared" si="35"/>
        <v>8.7560372090925433</v>
      </c>
      <c r="AL19" s="22">
        <f t="shared" si="4"/>
        <v>64.022699512524582</v>
      </c>
      <c r="AM19" s="60">
        <f t="shared" si="5"/>
        <v>357.3560328458579</v>
      </c>
      <c r="AN19" s="60">
        <f ca="1">AVERAGE(OFFSET($AM$3,0,0,'Données projet'!$E$10+1,1))-AVERAGE(OFFSET($H$3,0,0,'Données projet'!$E$10+1,1))</f>
        <v>404.14319681142746</v>
      </c>
      <c r="AO19" s="60">
        <f t="shared" si="36"/>
        <v>203.5274665601915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2.1</v>
      </c>
      <c r="BD19" s="13">
        <f>IF('Données projet'!$A$88&gt;35,BD18+BC19-BL18,IF(A19&lt;'Données projet'!$A$88,$BA$205^A19,IF(A19='Données projet'!$A$88,'Données projet'!$B$88,BD18+BC19-BL18)))</f>
        <v>19.888381054913147</v>
      </c>
      <c r="BE19" s="14">
        <f>BD19*VLOOKUP('Données projet'!$B$11,Paramètres!$A$1:$I$89,3,0)*VLOOKUP('Données projet'!$B$11,Paramètres!$A$1:$I$89,5,0)</f>
        <v>20.166818389681932</v>
      </c>
      <c r="BF19" s="14">
        <f t="shared" si="37"/>
        <v>6.5513327797938032</v>
      </c>
      <c r="BG19" s="22">
        <f t="shared" si="7"/>
        <v>46.534113286836906</v>
      </c>
      <c r="BH19" s="60">
        <f t="shared" si="8"/>
        <v>339.8674466201702</v>
      </c>
      <c r="BI19" s="60">
        <f ca="1">AVERAGE(OFFSET($BH$3,0,0,'Données projet'!$E$11+1,1))-AVERAGE(OFFSET($H$3,0,0,'Données projet'!$E$11+1,1))</f>
        <v>350.3652766444938</v>
      </c>
      <c r="BJ19" s="60">
        <f t="shared" si="38"/>
        <v>197.04549436738586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2.1</v>
      </c>
      <c r="BY19" s="13">
        <f>IF('Données projet'!$A$114&gt;35,BY18+BX19-CG18,IF(A19&lt;'Données projet'!$A$114,$BV$205^A19,IF(A19='Données projet'!$A$114,'Données projet'!$B$114,BY18+BX19-CG18)))</f>
        <v>19.888381054913147</v>
      </c>
      <c r="BZ19" s="14">
        <f>BY19*VLOOKUP('Données projet'!$B$12,Paramètres!$A$1:$I$89,3,0)*VLOOKUP('Données projet'!$B$12,Paramètres!$A$1:$I$89,5,0)</f>
        <v>19.236042156311996</v>
      </c>
      <c r="CA19" s="14">
        <f t="shared" si="39"/>
        <v>6.2834290449348904</v>
      </c>
      <c r="CB19" s="22">
        <f t="shared" si="10"/>
        <v>44.446412342171662</v>
      </c>
      <c r="CC19" s="60">
        <f t="shared" si="11"/>
        <v>337.77974567550496</v>
      </c>
      <c r="CD19" s="60">
        <f ca="1">AVERAGE(OFFSET($CC$3,0,0,'Données projet'!$E$12+1,1))-AVERAGE(OFFSET($H$3,0,0,'Données projet'!$E$12+1,1))</f>
        <v>330.39429528665841</v>
      </c>
      <c r="CE19" s="60">
        <f t="shared" si="40"/>
        <v>186.45728006007261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2.1</v>
      </c>
      <c r="CT19" s="13">
        <f>IF('Données projet'!$A$140&gt;35,CT18+CS19-DB18,IF(A19&lt;'Données projet'!$A$140,$CQ$205^A19,IF(A19='Données projet'!$A$140,'Données projet'!$B$140,CT18+CS19-DB18)))</f>
        <v>19.888381054913147</v>
      </c>
      <c r="CU19" s="18">
        <f>CT19*VLOOKUP('Données projet'!$B$13,Paramètres!$A$1:$I$89,3,0)*VLOOKUP('Données projet'!$B$13,Paramètres!$A$1:$I$89,5,0)</f>
        <v>21.407853367508512</v>
      </c>
      <c r="CV19" s="14">
        <f t="shared" si="41"/>
        <v>6.906316464991046</v>
      </c>
      <c r="CW19" s="22">
        <f t="shared" si="13"/>
        <v>49.313845791603399</v>
      </c>
      <c r="CX19" s="60">
        <f t="shared" si="14"/>
        <v>342.64717912493671</v>
      </c>
      <c r="CY19" s="60">
        <f ca="1">AVERAGE(OFFSET($CX$3,0,0,'Données projet'!$E$13+1,1))-AVERAGE(OFFSET($H$3,0,0,'Données projet'!$E$13+1,1))</f>
        <v>376.96388721258387</v>
      </c>
      <c r="CZ19" s="60">
        <f t="shared" si="42"/>
        <v>211.14628470344377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8.2051282051282044</v>
      </c>
      <c r="DO19" s="13">
        <f>IF('Données projet'!$A$166&gt;35,DO18+DN19-DW18,IF(A19&lt;'Données projet'!$A$166,$DL$205^A19,IF(A19='Données projet'!$A$166,'Données projet'!$B$166,DO18+DN19-DW18)))</f>
        <v>58.205128205128204</v>
      </c>
      <c r="DP19" s="18">
        <f>DO19*VLOOKUP('Données projet'!$B$14,Paramètres!$A$1:$I$89,3,0)*VLOOKUP('Données projet'!$B$14,Paramètres!$A$1:$I$89,5,0)</f>
        <v>39.043999999999997</v>
      </c>
      <c r="DQ19" s="14">
        <f t="shared" si="43"/>
        <v>11.744903368873258</v>
      </c>
      <c r="DR19" s="22">
        <f t="shared" si="16"/>
        <v>88.457340034120918</v>
      </c>
      <c r="DS19" s="60">
        <f t="shared" si="17"/>
        <v>381.79067336745425</v>
      </c>
      <c r="DT19" s="60">
        <f ca="1">AVERAGE(OFFSET($DS$3,0,0,'Données projet'!$E$14+1,1))-AVERAGE(OFFSET($H$3,0,0,'Données projet'!$E$14+1,1))</f>
        <v>212.33913923444732</v>
      </c>
      <c r="DU19" s="60">
        <f t="shared" si="44"/>
        <v>183.51194426094372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0" t="e">
        <f t="shared" si="20"/>
        <v>#N/A</v>
      </c>
      <c r="EO19" s="60" t="e">
        <f ca="1">AVERAGE(OFFSET($EN$3,0,0,'Données projet'!$E$15+1,1))-AVERAGE(OFFSET($H$3,0,0,'Données projet'!$E$15+1,1))</f>
        <v>#N/A</v>
      </c>
      <c r="EP19" s="60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0" t="e">
        <f t="shared" si="23"/>
        <v>#N/A</v>
      </c>
      <c r="FJ19" s="60" t="e">
        <f ca="1">AVERAGE(OFFSET($FI$3,0,0,'Données projet'!$E$16+1,1))-AVERAGE(OFFSET($H$3,0,0,'Données projet'!$E$16+1,1))</f>
        <v>#N/A</v>
      </c>
      <c r="FK19" s="60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0" t="e">
        <f t="shared" si="26"/>
        <v>#N/A</v>
      </c>
      <c r="GE19" s="60" t="e">
        <f ca="1">AVERAGE(OFFSET($GD$3,0,0,'Données projet'!$E$17+1,1))-AVERAGE(OFFSET($H$3,0,0,'Données projet'!$E$17+1,1))</f>
        <v>#N/A</v>
      </c>
      <c r="GF19" s="60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0" t="e">
        <f t="shared" si="29"/>
        <v>#N/A</v>
      </c>
      <c r="GZ19" s="60" t="e">
        <f ca="1">AVERAGE(OFFSET($GY$3,0,0,'Données projet'!$E$18+1,1))-AVERAGE(OFFSET($H$3,0,0,'Données projet'!$E$18+1,1))</f>
        <v>#N/A</v>
      </c>
      <c r="HA19" s="60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5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2">
        <f t="shared" si="32"/>
        <v>3.3003511545061563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8">
        <f t="shared" si="1"/>
        <v>315.24759492743152</v>
      </c>
      <c r="I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3.4425641025641025</v>
      </c>
      <c r="N20" s="14">
        <f>IF('Données projet'!$A$36&gt;35,N19+M20-V19,IF(A20&lt;'Données projet'!$A$36,$K$205^A20,IF(A20='Données projet'!$A$36,'Données projet'!$B$36,N19+M20-V19)))</f>
        <v>13.84422124990315</v>
      </c>
      <c r="O20" s="14">
        <f>N20*VLOOKUP('Données projet'!$B$9,Paramètres!$A$1:$I$89,3,0)*VLOOKUP('Données projet'!$B$9,Paramètres!$A$1:$I$89,5,0)</f>
        <v>6.4790955449546734</v>
      </c>
      <c r="P20" s="14">
        <f t="shared" si="33"/>
        <v>2.4021834741420709</v>
      </c>
      <c r="Q20" s="22">
        <f t="shared" si="2"/>
        <v>15.468227624926827</v>
      </c>
      <c r="R20" s="60">
        <f t="shared" si="0"/>
        <v>308.80156095826015</v>
      </c>
      <c r="S20" s="60">
        <f ca="1">AVERAGE(OFFSET($R$3,0,0,'Données projet'!$E$9+1,1))-AVERAGE(OFFSET($H$3,0,0,'Données projet'!$E$9+1,1))</f>
        <v>146.40889017442277</v>
      </c>
      <c r="T20" s="60">
        <f t="shared" si="34"/>
        <v>70.859031694091868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3.65</v>
      </c>
      <c r="AI20" s="14">
        <f>IF('Données projet'!$A$62&gt;35,AI19+AH20-AQ19,IF(A20&lt;'Données projet'!$A$62,$AF$205^A20,IF(A20='Données projet'!$A$62,'Données projet'!$B$62,AI19+AH20-AQ19)))</f>
        <v>38.355215845858055</v>
      </c>
      <c r="AJ20" s="14">
        <f>AI20*VLOOKUP('Données projet'!$B$10,Paramètres!$A$1:$I$89,3,0)*VLOOKUP('Données projet'!$B$10,Paramètres!$A$1:$I$89,5,0)</f>
        <v>34.703799297332367</v>
      </c>
      <c r="AK20" s="14">
        <f t="shared" si="35"/>
        <v>10.583497277259243</v>
      </c>
      <c r="AL20" s="22">
        <f t="shared" si="4"/>
        <v>78.875374867413711</v>
      </c>
      <c r="AM20" s="60">
        <f t="shared" si="5"/>
        <v>372.20870820074703</v>
      </c>
      <c r="AN20" s="60">
        <f ca="1">AVERAGE(OFFSET($AM$3,0,0,'Données projet'!$E$10+1,1))-AVERAGE(OFFSET($H$3,0,0,'Données projet'!$E$10+1,1))</f>
        <v>404.14319681142746</v>
      </c>
      <c r="AO20" s="60">
        <f t="shared" si="36"/>
        <v>203.5274665601915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2.1</v>
      </c>
      <c r="BD20" s="13">
        <f>IF('Données projet'!$A$88&gt;35,BD19+BC20-BL19,IF(A20&lt;'Données projet'!$A$88,$BA$205^A20,IF(A20='Données projet'!$A$88,'Données projet'!$B$88,BD19+BC20-BL19)))</f>
        <v>23.975181126327602</v>
      </c>
      <c r="BE20" s="14">
        <f>BD20*VLOOKUP('Données projet'!$B$11,Paramètres!$A$1:$I$89,3,0)*VLOOKUP('Données projet'!$B$11,Paramètres!$A$1:$I$89,5,0)</f>
        <v>24.31083366209619</v>
      </c>
      <c r="BF20" s="14">
        <f t="shared" si="37"/>
        <v>7.7276032052466093</v>
      </c>
      <c r="BG20" s="22">
        <f t="shared" si="7"/>
        <v>55.800277543955367</v>
      </c>
      <c r="BH20" s="60">
        <f t="shared" si="8"/>
        <v>349.13361087728867</v>
      </c>
      <c r="BI20" s="60">
        <f ca="1">AVERAGE(OFFSET($BH$3,0,0,'Données projet'!$E$11+1,1))-AVERAGE(OFFSET($H$3,0,0,'Données projet'!$E$11+1,1))</f>
        <v>350.3652766444938</v>
      </c>
      <c r="BJ20" s="60">
        <f t="shared" si="38"/>
        <v>197.04549436738586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2.1</v>
      </c>
      <c r="BY20" s="13">
        <f>IF('Données projet'!$A$114&gt;35,BY19+BX20-CG19,IF(A20&lt;'Données projet'!$A$114,$BV$205^A20,IF(A20='Données projet'!$A$114,'Données projet'!$B$114,BY19+BX20-CG19)))</f>
        <v>23.975181126327602</v>
      </c>
      <c r="BZ20" s="14">
        <f>BY20*VLOOKUP('Données projet'!$B$12,Paramètres!$A$1:$I$89,3,0)*VLOOKUP('Données projet'!$B$12,Paramètres!$A$1:$I$89,5,0)</f>
        <v>23.188795185384055</v>
      </c>
      <c r="CA20" s="14">
        <f t="shared" si="39"/>
        <v>7.4115982288884323</v>
      </c>
      <c r="CB20" s="22">
        <f t="shared" si="10"/>
        <v>53.29568519652458</v>
      </c>
      <c r="CC20" s="60">
        <f t="shared" si="11"/>
        <v>346.62901852985789</v>
      </c>
      <c r="CD20" s="60">
        <f ca="1">AVERAGE(OFFSET($CC$3,0,0,'Données projet'!$E$12+1,1))-AVERAGE(OFFSET($H$3,0,0,'Données projet'!$E$12+1,1))</f>
        <v>330.39429528665841</v>
      </c>
      <c r="CE20" s="60">
        <f t="shared" si="40"/>
        <v>186.45728006007261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2.1</v>
      </c>
      <c r="CT20" s="13">
        <f>IF('Données projet'!$A$140&gt;35,CT19+CS20-DB19,IF(A20&lt;'Données projet'!$A$140,$CQ$205^A20,IF(A20='Données projet'!$A$140,'Données projet'!$B$140,CT19+CS20-DB19)))</f>
        <v>23.975181126327602</v>
      </c>
      <c r="CU20" s="18">
        <f>CT20*VLOOKUP('Données projet'!$B$13,Paramètres!$A$1:$I$89,3,0)*VLOOKUP('Données projet'!$B$13,Paramètres!$A$1:$I$89,5,0)</f>
        <v>25.80688496437903</v>
      </c>
      <c r="CV20" s="14">
        <f t="shared" si="41"/>
        <v>8.146323052908933</v>
      </c>
      <c r="CW20" s="22">
        <f t="shared" si="13"/>
        <v>59.135170630109862</v>
      </c>
      <c r="CX20" s="60">
        <f t="shared" si="14"/>
        <v>352.4685039634432</v>
      </c>
      <c r="CY20" s="60">
        <f ca="1">AVERAGE(OFFSET($CX$3,0,0,'Données projet'!$E$13+1,1))-AVERAGE(OFFSET($H$3,0,0,'Données projet'!$E$13+1,1))</f>
        <v>376.96388721258387</v>
      </c>
      <c r="CZ20" s="60">
        <f t="shared" si="42"/>
        <v>211.14628470344377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8.2051282051282044</v>
      </c>
      <c r="DO20" s="13">
        <f>IF('Données projet'!$A$166&gt;35,DO19+DN20-DW19,IF(A20&lt;'Données projet'!$A$166,$DL$205^A20,IF(A20='Données projet'!$A$166,'Données projet'!$B$166,DO19+DN20-DW19)))</f>
        <v>66.410256410256409</v>
      </c>
      <c r="DP20" s="18">
        <f>DO20*VLOOKUP('Données projet'!$B$14,Paramètres!$A$1:$I$89,3,0)*VLOOKUP('Données projet'!$B$14,Paramètres!$A$1:$I$89,5,0)</f>
        <v>44.548000000000002</v>
      </c>
      <c r="DQ20" s="14">
        <f t="shared" si="43"/>
        <v>13.196436493358</v>
      </c>
      <c r="DR20" s="22">
        <f t="shared" si="16"/>
        <v>100.57156022593183</v>
      </c>
      <c r="DS20" s="60">
        <f t="shared" si="17"/>
        <v>393.90489355926513</v>
      </c>
      <c r="DT20" s="60">
        <f ca="1">AVERAGE(OFFSET($DS$3,0,0,'Données projet'!$E$14+1,1))-AVERAGE(OFFSET($H$3,0,0,'Données projet'!$E$14+1,1))</f>
        <v>212.33913923444732</v>
      </c>
      <c r="DU20" s="60">
        <f t="shared" si="44"/>
        <v>183.51194426094372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0" t="e">
        <f t="shared" si="20"/>
        <v>#N/A</v>
      </c>
      <c r="EO20" s="60" t="e">
        <f ca="1">AVERAGE(OFFSET($EN$3,0,0,'Données projet'!$E$15+1,1))-AVERAGE(OFFSET($H$3,0,0,'Données projet'!$E$15+1,1))</f>
        <v>#N/A</v>
      </c>
      <c r="EP20" s="60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0" t="e">
        <f t="shared" si="23"/>
        <v>#N/A</v>
      </c>
      <c r="FJ20" s="60" t="e">
        <f ca="1">AVERAGE(OFFSET($FI$3,0,0,'Données projet'!$E$16+1,1))-AVERAGE(OFFSET($H$3,0,0,'Données projet'!$E$16+1,1))</f>
        <v>#N/A</v>
      </c>
      <c r="FK20" s="60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0" t="e">
        <f t="shared" si="26"/>
        <v>#N/A</v>
      </c>
      <c r="GE20" s="60" t="e">
        <f ca="1">AVERAGE(OFFSET($GD$3,0,0,'Données projet'!$E$17+1,1))-AVERAGE(OFFSET($H$3,0,0,'Données projet'!$E$17+1,1))</f>
        <v>#N/A</v>
      </c>
      <c r="GF20" s="60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0" t="e">
        <f t="shared" si="29"/>
        <v>#N/A</v>
      </c>
      <c r="GZ20" s="60" t="e">
        <f ca="1">AVERAGE(OFFSET($GY$3,0,0,'Données projet'!$E$18+1,1))-AVERAGE(OFFSET($H$3,0,0,'Données projet'!$E$18+1,1))</f>
        <v>#N/A</v>
      </c>
      <c r="HA20" s="60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5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2">
        <f t="shared" si="32"/>
        <v>3.4713169544550633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8">
        <f t="shared" si="1"/>
        <v>316.49631036234257</v>
      </c>
      <c r="I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3.4425641025641025</v>
      </c>
      <c r="N21" s="14">
        <f>IF('Données projet'!$A$36&gt;35,N20+M21-V20,IF(A21&lt;'Données projet'!$A$36,$K$205^A21,IF(A21='Données projet'!$A$36,'Données projet'!$B$36,N20+M21-V20)))</f>
        <v>16.158534666859676</v>
      </c>
      <c r="O21" s="14">
        <f>N21*VLOOKUP('Données projet'!$B$9,Paramètres!$A$1:$I$89,3,0)*VLOOKUP('Données projet'!$B$9,Paramètres!$A$1:$I$89,5,0)</f>
        <v>7.5621942240903284</v>
      </c>
      <c r="P21" s="14">
        <f t="shared" si="33"/>
        <v>2.7537549140858508</v>
      </c>
      <c r="Q21" s="22">
        <f t="shared" si="2"/>
        <v>17.96694474899018</v>
      </c>
      <c r="R21" s="60">
        <f t="shared" si="0"/>
        <v>311.30027808232347</v>
      </c>
      <c r="S21" s="60">
        <f ca="1">AVERAGE(OFFSET($R$3,0,0,'Données projet'!$E$9+1,1))-AVERAGE(OFFSET($H$3,0,0,'Données projet'!$E$9+1,1))</f>
        <v>146.40889017442277</v>
      </c>
      <c r="T21" s="60">
        <f t="shared" si="34"/>
        <v>70.859031694091868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3.65</v>
      </c>
      <c r="AI21" s="14">
        <f>IF('Données projet'!$A$62&gt;35,AI20+AH21-AQ20,IF(A21&lt;'Données projet'!$A$62,$AF$205^A21,IF(A21='Données projet'!$A$62,'Données projet'!$B$62,AI20+AH21-AQ20)))</f>
        <v>47.532490941824946</v>
      </c>
      <c r="AJ21" s="14">
        <f>AI21*VLOOKUP('Données projet'!$B$10,Paramètres!$A$1:$I$89,3,0)*VLOOKUP('Données projet'!$B$10,Paramètres!$A$1:$I$89,5,0)</f>
        <v>43.007397804163212</v>
      </c>
      <c r="AK21" s="14">
        <f t="shared" si="35"/>
        <v>12.792363936215189</v>
      </c>
      <c r="AL21" s="22">
        <f t="shared" si="4"/>
        <v>97.184585031159045</v>
      </c>
      <c r="AM21" s="60">
        <f t="shared" si="5"/>
        <v>390.51791836449235</v>
      </c>
      <c r="AN21" s="60">
        <f ca="1">AVERAGE(OFFSET($AM$3,0,0,'Données projet'!$E$10+1,1))-AVERAGE(OFFSET($H$3,0,0,'Données projet'!$E$10+1,1))</f>
        <v>404.14319681142746</v>
      </c>
      <c r="AO21" s="60">
        <f t="shared" si="36"/>
        <v>203.5274665601915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2.1</v>
      </c>
      <c r="BD21" s="13">
        <f>IF('Données projet'!$A$88&gt;35,BD20+BC21-BL20,IF(A21&lt;'Données projet'!$A$88,$BA$205^A21,IF(A21='Données projet'!$A$88,'Données projet'!$B$88,BD20+BC21-BL20)))</f>
        <v>28.901764726506816</v>
      </c>
      <c r="BE21" s="14">
        <f>BD21*VLOOKUP('Données projet'!$B$11,Paramètres!$A$1:$I$89,3,0)*VLOOKUP('Données projet'!$B$11,Paramètres!$A$1:$I$89,5,0)</f>
        <v>29.306389432677911</v>
      </c>
      <c r="BF21" s="14">
        <f t="shared" si="37"/>
        <v>9.1150691477493808</v>
      </c>
      <c r="BG21" s="22">
        <f t="shared" si="7"/>
        <v>66.917373694244205</v>
      </c>
      <c r="BH21" s="60">
        <f t="shared" si="8"/>
        <v>360.2507070275775</v>
      </c>
      <c r="BI21" s="60">
        <f ca="1">AVERAGE(OFFSET($BH$3,0,0,'Données projet'!$E$11+1,1))-AVERAGE(OFFSET($H$3,0,0,'Données projet'!$E$11+1,1))</f>
        <v>350.3652766444938</v>
      </c>
      <c r="BJ21" s="60">
        <f t="shared" si="38"/>
        <v>197.04549436738586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2.1</v>
      </c>
      <c r="BY21" s="13">
        <f>IF('Données projet'!$A$114&gt;35,BY20+BX21-CG20,IF(A21&lt;'Données projet'!$A$114,$BV$205^A21,IF(A21='Données projet'!$A$114,'Données projet'!$B$114,BY20+BX21-CG20)))</f>
        <v>28.901764726506816</v>
      </c>
      <c r="BZ21" s="14">
        <f>BY21*VLOOKUP('Données projet'!$B$12,Paramètres!$A$1:$I$89,3,0)*VLOOKUP('Données projet'!$B$12,Paramètres!$A$1:$I$89,5,0)</f>
        <v>27.953786843477392</v>
      </c>
      <c r="CA21" s="14">
        <f t="shared" si="39"/>
        <v>8.7423265089215931</v>
      </c>
      <c r="CB21" s="22">
        <f t="shared" si="10"/>
        <v>63.912397422094891</v>
      </c>
      <c r="CC21" s="60">
        <f t="shared" si="11"/>
        <v>357.24573075542821</v>
      </c>
      <c r="CD21" s="60">
        <f ca="1">AVERAGE(OFFSET($CC$3,0,0,'Données projet'!$E$12+1,1))-AVERAGE(OFFSET($H$3,0,0,'Données projet'!$E$12+1,1))</f>
        <v>330.39429528665841</v>
      </c>
      <c r="CE21" s="60">
        <f t="shared" si="40"/>
        <v>186.45728006007261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2.1</v>
      </c>
      <c r="CT21" s="13">
        <f>IF('Données projet'!$A$140&gt;35,CT20+CS21-DB20,IF(A21&lt;'Données projet'!$A$140,$CQ$205^A21,IF(A21='Données projet'!$A$140,'Données projet'!$B$140,CT20+CS21-DB20)))</f>
        <v>28.901764726506816</v>
      </c>
      <c r="CU21" s="18">
        <f>CT21*VLOOKUP('Données projet'!$B$13,Paramètres!$A$1:$I$89,3,0)*VLOOKUP('Données projet'!$B$13,Paramètres!$A$1:$I$89,5,0)</f>
        <v>31.109859551611933</v>
      </c>
      <c r="CV21" s="14">
        <f t="shared" si="41"/>
        <v>9.6089687778941872</v>
      </c>
      <c r="CW21" s="22">
        <f t="shared" si="13"/>
        <v>70.918626007223153</v>
      </c>
      <c r="CX21" s="60">
        <f t="shared" si="14"/>
        <v>364.25195934055648</v>
      </c>
      <c r="CY21" s="60">
        <f ca="1">AVERAGE(OFFSET($CX$3,0,0,'Données projet'!$E$13+1,1))-AVERAGE(OFFSET($H$3,0,0,'Données projet'!$E$13+1,1))</f>
        <v>376.96388721258387</v>
      </c>
      <c r="CZ21" s="60">
        <f t="shared" si="42"/>
        <v>211.14628470344377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8.2051282051282044</v>
      </c>
      <c r="DO21" s="13">
        <f>IF('Données projet'!$A$166&gt;35,DO20+DN21-DW20,IF(A21&lt;'Données projet'!$A$166,$DL$205^A21,IF(A21='Données projet'!$A$166,'Données projet'!$B$166,DO20+DN21-DW20)))</f>
        <v>74.615384615384613</v>
      </c>
      <c r="DP21" s="18">
        <f>DO21*VLOOKUP('Données projet'!$B$14,Paramètres!$A$1:$I$89,3,0)*VLOOKUP('Données projet'!$B$14,Paramètres!$A$1:$I$89,5,0)</f>
        <v>50.052</v>
      </c>
      <c r="DQ21" s="14">
        <f t="shared" si="43"/>
        <v>14.62718807768414</v>
      </c>
      <c r="DR21" s="22">
        <f t="shared" si="16"/>
        <v>112.64958590196655</v>
      </c>
      <c r="DS21" s="60">
        <f t="shared" si="17"/>
        <v>405.98291923529985</v>
      </c>
      <c r="DT21" s="60">
        <f ca="1">AVERAGE(OFFSET($DS$3,0,0,'Données projet'!$E$14+1,1))-AVERAGE(OFFSET($H$3,0,0,'Données projet'!$E$14+1,1))</f>
        <v>212.33913923444732</v>
      </c>
      <c r="DU21" s="60">
        <f t="shared" si="44"/>
        <v>183.51194426094372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0" t="e">
        <f t="shared" si="20"/>
        <v>#N/A</v>
      </c>
      <c r="EO21" s="60" t="e">
        <f ca="1">AVERAGE(OFFSET($EN$3,0,0,'Données projet'!$E$15+1,1))-AVERAGE(OFFSET($H$3,0,0,'Données projet'!$E$15+1,1))</f>
        <v>#N/A</v>
      </c>
      <c r="EP21" s="60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0" t="e">
        <f t="shared" si="23"/>
        <v>#N/A</v>
      </c>
      <c r="FJ21" s="60" t="e">
        <f ca="1">AVERAGE(OFFSET($FI$3,0,0,'Données projet'!$E$16+1,1))-AVERAGE(OFFSET($H$3,0,0,'Données projet'!$E$16+1,1))</f>
        <v>#N/A</v>
      </c>
      <c r="FK21" s="60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0" t="e">
        <f t="shared" si="26"/>
        <v>#N/A</v>
      </c>
      <c r="GE21" s="60" t="e">
        <f ca="1">AVERAGE(OFFSET($GD$3,0,0,'Données projet'!$E$17+1,1))-AVERAGE(OFFSET($H$3,0,0,'Données projet'!$E$17+1,1))</f>
        <v>#N/A</v>
      </c>
      <c r="GF21" s="60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0" t="e">
        <f t="shared" si="29"/>
        <v>#N/A</v>
      </c>
      <c r="GZ21" s="60" t="e">
        <f ca="1">AVERAGE(OFFSET($GY$3,0,0,'Données projet'!$E$18+1,1))-AVERAGE(OFFSET($H$3,0,0,'Données projet'!$E$18+1,1))</f>
        <v>#N/A</v>
      </c>
      <c r="HA21" s="60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5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2">
        <f t="shared" si="32"/>
        <v>3.6411801438697724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8">
        <f t="shared" si="1"/>
        <v>317.74310541723986</v>
      </c>
      <c r="I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3.4425641025641025</v>
      </c>
      <c r="N22" s="14">
        <f>IF('Données projet'!$A$36&gt;35,N21+M22-V21,IF(A22&lt;'Données projet'!$A$36,$K$205^A22,IF(A22='Données projet'!$A$36,'Données projet'!$B$36,N21+M22-V21)))</f>
        <v>18.859727670267663</v>
      </c>
      <c r="O22" s="14">
        <f>N22*VLOOKUP('Données projet'!$B$9,Paramètres!$A$1:$I$89,3,0)*VLOOKUP('Données projet'!$B$9,Paramètres!$A$1:$I$89,5,0)</f>
        <v>8.8263525496852662</v>
      </c>
      <c r="P22" s="14">
        <f t="shared" si="33"/>
        <v>3.1567805742066648</v>
      </c>
      <c r="Q22" s="22">
        <f t="shared" si="2"/>
        <v>20.870623524111782</v>
      </c>
      <c r="R22" s="60">
        <f t="shared" si="0"/>
        <v>314.20395685744512</v>
      </c>
      <c r="S22" s="60">
        <f ca="1">AVERAGE(OFFSET($R$3,0,0,'Données projet'!$E$9+1,1))-AVERAGE(OFFSET($H$3,0,0,'Données projet'!$E$9+1,1))</f>
        <v>146.40889017442277</v>
      </c>
      <c r="T22" s="60">
        <f t="shared" si="34"/>
        <v>70.859031694091868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3.65</v>
      </c>
      <c r="AI22" s="14">
        <f>IF('Données projet'!$A$62&gt;35,AI21+AH22-AQ21,IF(A22&lt;'Données projet'!$A$62,$AF$205^A22,IF(A22='Données projet'!$A$62,'Données projet'!$B$62,AI21+AH22-AQ21)))</f>
        <v>58.90561805764559</v>
      </c>
      <c r="AJ22" s="14">
        <f>AI22*VLOOKUP('Données projet'!$B$10,Paramètres!$A$1:$I$89,3,0)*VLOOKUP('Données projet'!$B$10,Paramètres!$A$1:$I$89,5,0)</f>
        <v>53.297803218557732</v>
      </c>
      <c r="AK22" s="14">
        <f t="shared" si="35"/>
        <v>15.462240012873817</v>
      </c>
      <c r="AL22" s="22">
        <f t="shared" si="4"/>
        <v>119.75707529474329</v>
      </c>
      <c r="AM22" s="60">
        <f t="shared" si="5"/>
        <v>413.0904086280766</v>
      </c>
      <c r="AN22" s="60">
        <f ca="1">AVERAGE(OFFSET($AM$3,0,0,'Données projet'!$E$10+1,1))-AVERAGE(OFFSET($H$3,0,0,'Données projet'!$E$10+1,1))</f>
        <v>404.14319681142746</v>
      </c>
      <c r="AO22" s="60">
        <f t="shared" si="36"/>
        <v>203.5274665601915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2.1</v>
      </c>
      <c r="BD22" s="13">
        <f>IF('Données projet'!$A$88&gt;35,BD21+BC22-BL21,IF(A22&lt;'Données projet'!$A$88,$BA$205^A22,IF(A22='Données projet'!$A$88,'Données projet'!$B$88,BD21+BC22-BL21)))</f>
        <v>34.840696297767764</v>
      </c>
      <c r="BE22" s="14">
        <f>BD22*VLOOKUP('Données projet'!$B$11,Paramètres!$A$1:$I$89,3,0)*VLOOKUP('Données projet'!$B$11,Paramètres!$A$1:$I$89,5,0)</f>
        <v>35.328466045936516</v>
      </c>
      <c r="BF22" s="14">
        <f t="shared" si="37"/>
        <v>10.751650073316766</v>
      </c>
      <c r="BG22" s="22">
        <f t="shared" si="7"/>
        <v>80.256202241032796</v>
      </c>
      <c r="BH22" s="60">
        <f t="shared" si="8"/>
        <v>373.5895355743661</v>
      </c>
      <c r="BI22" s="60">
        <f ca="1">AVERAGE(OFFSET($BH$3,0,0,'Données projet'!$E$11+1,1))-AVERAGE(OFFSET($H$3,0,0,'Données projet'!$E$11+1,1))</f>
        <v>350.3652766444938</v>
      </c>
      <c r="BJ22" s="60">
        <f t="shared" si="38"/>
        <v>197.04549436738586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2.1</v>
      </c>
      <c r="BY22" s="13">
        <f>IF('Données projet'!$A$114&gt;35,BY21+BX22-CG21,IF(A22&lt;'Données projet'!$A$114,$BV$205^A22,IF(A22='Données projet'!$A$114,'Données projet'!$B$114,BY21+BX22-CG21)))</f>
        <v>34.840696297767764</v>
      </c>
      <c r="BZ22" s="14">
        <f>BY22*VLOOKUP('Données projet'!$B$12,Paramètres!$A$1:$I$89,3,0)*VLOOKUP('Données projet'!$B$12,Paramètres!$A$1:$I$89,5,0)</f>
        <v>33.697921459200977</v>
      </c>
      <c r="CA22" s="14">
        <f t="shared" si="39"/>
        <v>10.31198270984201</v>
      </c>
      <c r="CB22" s="22">
        <f t="shared" si="10"/>
        <v>76.650583094416518</v>
      </c>
      <c r="CC22" s="60">
        <f t="shared" si="11"/>
        <v>369.98391642774982</v>
      </c>
      <c r="CD22" s="60">
        <f ca="1">AVERAGE(OFFSET($CC$3,0,0,'Données projet'!$E$12+1,1))-AVERAGE(OFFSET($H$3,0,0,'Données projet'!$E$12+1,1))</f>
        <v>330.39429528665841</v>
      </c>
      <c r="CE22" s="60">
        <f t="shared" si="40"/>
        <v>186.45728006007261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2.1</v>
      </c>
      <c r="CT22" s="13">
        <f>IF('Données projet'!$A$140&gt;35,CT21+CS22-DB21,IF(A22&lt;'Données projet'!$A$140,$CQ$205^A22,IF(A22='Données projet'!$A$140,'Données projet'!$B$140,CT21+CS22-DB21)))</f>
        <v>34.840696297767764</v>
      </c>
      <c r="CU22" s="18">
        <f>CT22*VLOOKUP('Données projet'!$B$13,Paramètres!$A$1:$I$89,3,0)*VLOOKUP('Données projet'!$B$13,Paramètres!$A$1:$I$89,5,0)</f>
        <v>37.502525494917215</v>
      </c>
      <c r="CV22" s="14">
        <f t="shared" si="41"/>
        <v>11.334227770598273</v>
      </c>
      <c r="CW22" s="22">
        <f t="shared" si="13"/>
        <v>85.057345270772814</v>
      </c>
      <c r="CX22" s="60">
        <f t="shared" si="14"/>
        <v>378.39067860410614</v>
      </c>
      <c r="CY22" s="60">
        <f ca="1">AVERAGE(OFFSET($CX$3,0,0,'Données projet'!$E$13+1,1))-AVERAGE(OFFSET($H$3,0,0,'Données projet'!$E$13+1,1))</f>
        <v>376.96388721258387</v>
      </c>
      <c r="CZ22" s="60">
        <f t="shared" si="42"/>
        <v>211.14628470344377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8.2051282051282044</v>
      </c>
      <c r="DO22" s="13">
        <f>IF('Données projet'!$A$166&gt;35,DO21+DN22-DW21,IF(A22&lt;'Données projet'!$A$166,$DL$205^A22,IF(A22='Données projet'!$A$166,'Données projet'!$B$166,DO21+DN22-DW21)))</f>
        <v>82.820512820512818</v>
      </c>
      <c r="DP22" s="18">
        <f>DO22*VLOOKUP('Données projet'!$B$14,Paramètres!$A$1:$I$89,3,0)*VLOOKUP('Données projet'!$B$14,Paramètres!$A$1:$I$89,5,0)</f>
        <v>55.556000000000004</v>
      </c>
      <c r="DQ22" s="14">
        <f t="shared" si="43"/>
        <v>16.039703993592667</v>
      </c>
      <c r="DR22" s="22">
        <f t="shared" si="16"/>
        <v>124.69585112217392</v>
      </c>
      <c r="DS22" s="60">
        <f t="shared" si="17"/>
        <v>418.02918445550722</v>
      </c>
      <c r="DT22" s="60">
        <f ca="1">AVERAGE(OFFSET($DS$3,0,0,'Données projet'!$E$14+1,1))-AVERAGE(OFFSET($H$3,0,0,'Données projet'!$E$14+1,1))</f>
        <v>212.33913923444732</v>
      </c>
      <c r="DU22" s="60">
        <f t="shared" si="44"/>
        <v>183.51194426094372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0" t="e">
        <f t="shared" si="20"/>
        <v>#N/A</v>
      </c>
      <c r="EO22" s="60" t="e">
        <f ca="1">AVERAGE(OFFSET($EN$3,0,0,'Données projet'!$E$15+1,1))-AVERAGE(OFFSET($H$3,0,0,'Données projet'!$E$15+1,1))</f>
        <v>#N/A</v>
      </c>
      <c r="EP22" s="60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0" t="e">
        <f t="shared" si="23"/>
        <v>#N/A</v>
      </c>
      <c r="FJ22" s="60" t="e">
        <f ca="1">AVERAGE(OFFSET($FI$3,0,0,'Données projet'!$E$16+1,1))-AVERAGE(OFFSET($H$3,0,0,'Données projet'!$E$16+1,1))</f>
        <v>#N/A</v>
      </c>
      <c r="FK22" s="60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0" t="e">
        <f t="shared" si="26"/>
        <v>#N/A</v>
      </c>
      <c r="GE22" s="60" t="e">
        <f ca="1">AVERAGE(OFFSET($GD$3,0,0,'Données projet'!$E$17+1,1))-AVERAGE(OFFSET($H$3,0,0,'Données projet'!$E$17+1,1))</f>
        <v>#N/A</v>
      </c>
      <c r="GF22" s="60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0" t="e">
        <f t="shared" si="29"/>
        <v>#N/A</v>
      </c>
      <c r="GZ22" s="60" t="e">
        <f ca="1">AVERAGE(OFFSET($GY$3,0,0,'Données projet'!$E$18+1,1))-AVERAGE(OFFSET($H$3,0,0,'Données projet'!$E$18+1,1))</f>
        <v>#N/A</v>
      </c>
      <c r="HA22" s="60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5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2">
        <f t="shared" si="32"/>
        <v>3.810005372992582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8">
        <f t="shared" si="1"/>
        <v>318.98809269129538</v>
      </c>
      <c r="I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3.4425641025641025</v>
      </c>
      <c r="N23" s="14">
        <f>IF('Données projet'!$A$36&gt;35,N22+M23-V22,IF(A23&lt;'Données projet'!$A$36,$K$205^A23,IF(A23='Données projet'!$A$36,'Données projet'!$B$36,N22+M23-V22)))</f>
        <v>22.012474220583886</v>
      </c>
      <c r="O23" s="14">
        <f>N23*VLOOKUP('Données projet'!$B$9,Paramètres!$A$1:$I$89,3,0)*VLOOKUP('Données projet'!$B$9,Paramètres!$A$1:$I$89,5,0)</f>
        <v>10.301837935233259</v>
      </c>
      <c r="P23" s="14">
        <f t="shared" si="33"/>
        <v>3.6187910342764393</v>
      </c>
      <c r="Q23" s="22">
        <f t="shared" si="2"/>
        <v>24.245095455229389</v>
      </c>
      <c r="R23" s="60">
        <f t="shared" si="0"/>
        <v>317.57842878856269</v>
      </c>
      <c r="S23" s="60">
        <f ca="1">AVERAGE(OFFSET($R$3,0,0,'Données projet'!$E$9+1,1))-AVERAGE(OFFSET($H$3,0,0,'Données projet'!$E$9+1,1))</f>
        <v>146.40889017442277</v>
      </c>
      <c r="T23" s="60">
        <f t="shared" si="34"/>
        <v>70.859031694091868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6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>
        <f>VLOOKUP(A23,'Données projet'!$A$61:$I$81,2,0)</f>
        <v>73</v>
      </c>
      <c r="AG23" s="13">
        <f>VLOOKUP(A23,'Données projet'!$A$61:$I$81,9,0)</f>
        <v>3.65</v>
      </c>
      <c r="AH23" s="13">
        <f t="array" ref="AH23">INDEX(AG:AG,MIN(IF(ISNUMBER(AG23:AG219),ROW(AG23:AG219),"")))</f>
        <v>3.65</v>
      </c>
      <c r="AI23" s="14">
        <f>IF('Données projet'!$A$62&gt;35,AI22+AH23-AQ22,IF(A23&lt;'Données projet'!$A$62,$AF$205^A23,IF(A23='Données projet'!$A$62,'Données projet'!$B$62,AI22+AH23-AQ22)))</f>
        <v>73</v>
      </c>
      <c r="AJ23" s="14">
        <f>AI23*VLOOKUP('Données projet'!$B$10,Paramètres!$A$1:$I$89,3,0)*VLOOKUP('Données projet'!$B$10,Paramètres!$A$1:$I$89,5,0)</f>
        <v>66.050399999999996</v>
      </c>
      <c r="AK23" s="14">
        <f t="shared" si="35"/>
        <v>18.689342126897891</v>
      </c>
      <c r="AL23" s="22">
        <f t="shared" si="4"/>
        <v>147.58838420434714</v>
      </c>
      <c r="AM23" s="60">
        <f t="shared" si="5"/>
        <v>440.92171753768048</v>
      </c>
      <c r="AN23" s="60">
        <f ca="1">AVERAGE(OFFSET($AM$3,0,0,'Données projet'!$E$10+1,1))-AVERAGE(OFFSET($H$3,0,0,'Données projet'!$E$10+1,1))</f>
        <v>404.14319681142746</v>
      </c>
      <c r="AO23" s="60">
        <f t="shared" si="36"/>
        <v>203.5274665601915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>
        <f>VLOOKUP(A23,'Données projet'!$A$87:$I$107,2,0)</f>
        <v>42</v>
      </c>
      <c r="BB23" s="13">
        <f>VLOOKUP(A23,'Données projet'!$A$87:$I$107,9,0)</f>
        <v>2.1</v>
      </c>
      <c r="BC23" s="13">
        <f t="array" ref="BC23">INDEX(BB:BB,MIN(IF(ISNUMBER(BB23:BB219),ROW(BB23:BB219),"")))</f>
        <v>2.1</v>
      </c>
      <c r="BD23" s="13">
        <f>IF('Données projet'!$A$88&gt;35,BD22+BC23-BL22,IF(A23&lt;'Données projet'!$A$88,$BA$205^A23,IF(A23='Données projet'!$A$88,'Données projet'!$B$88,BD22+BC23-BL22)))</f>
        <v>42</v>
      </c>
      <c r="BE23" s="14">
        <f>BD23*VLOOKUP('Données projet'!$B$11,Paramètres!$A$1:$I$89,3,0)*VLOOKUP('Données projet'!$B$11,Paramètres!$A$1:$I$89,5,0)</f>
        <v>42.588000000000001</v>
      </c>
      <c r="BF23" s="14">
        <f t="shared" si="37"/>
        <v>12.682073764365764</v>
      </c>
      <c r="BG23" s="22">
        <f t="shared" si="7"/>
        <v>96.262045139603686</v>
      </c>
      <c r="BH23" s="60">
        <f t="shared" si="8"/>
        <v>389.595378472937</v>
      </c>
      <c r="BI23" s="60">
        <f ca="1">AVERAGE(OFFSET($BH$3,0,0,'Données projet'!$E$11+1,1))-AVERAGE(OFFSET($H$3,0,0,'Données projet'!$E$11+1,1))</f>
        <v>350.3652766444938</v>
      </c>
      <c r="BJ23" s="60">
        <f t="shared" si="38"/>
        <v>197.04549436738586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>
        <f>VLOOKUP(A23,'Données projet'!$A$113:$I$133,2,0)</f>
        <v>42</v>
      </c>
      <c r="BW23" s="13">
        <f>VLOOKUP(A23,'Données projet'!$A$113:$I$133,9,0)</f>
        <v>2.1</v>
      </c>
      <c r="BX23" s="13">
        <f t="array" ref="BX23">INDEX(BW:BW,MIN(IF(ISNUMBER(BW23:BW219),ROW(BW23:BW219),"")))</f>
        <v>2.1</v>
      </c>
      <c r="BY23" s="13">
        <f>IF('Données projet'!$A$114&gt;35,BY22+BX23-CG22,IF(A23&lt;'Données projet'!$A$114,$BV$205^A23,IF(A23='Données projet'!$A$114,'Données projet'!$B$114,BY22+BX23-CG22)))</f>
        <v>42</v>
      </c>
      <c r="BZ23" s="14">
        <f>BY23*VLOOKUP('Données projet'!$B$12,Paramètres!$A$1:$I$89,3,0)*VLOOKUP('Données projet'!$B$12,Paramètres!$A$1:$I$89,5,0)</f>
        <v>40.622399999999999</v>
      </c>
      <c r="CA23" s="14">
        <f t="shared" si="39"/>
        <v>12.163465560290264</v>
      </c>
      <c r="CB23" s="22">
        <f t="shared" si="10"/>
        <v>91.935382517505545</v>
      </c>
      <c r="CC23" s="60">
        <f t="shared" si="11"/>
        <v>385.26871585083887</v>
      </c>
      <c r="CD23" s="60">
        <f ca="1">AVERAGE(OFFSET($CC$3,0,0,'Données projet'!$E$12+1,1))-AVERAGE(OFFSET($H$3,0,0,'Données projet'!$E$12+1,1))</f>
        <v>330.39429528665841</v>
      </c>
      <c r="CE23" s="60">
        <f t="shared" si="40"/>
        <v>186.45728006007261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>
        <f>VLOOKUP(A23,'Données projet'!$A$139:$I$159,2,0)</f>
        <v>42</v>
      </c>
      <c r="CR23" s="13">
        <f>VLOOKUP(A23,'Données projet'!$A$139:$I$159,9,0)</f>
        <v>2.1</v>
      </c>
      <c r="CS23" s="13">
        <f t="array" ref="CS23">INDEX(CR:CR,MIN(IF(ISNUMBER(CR23:CR219),ROW(CR23:CR219),"")))</f>
        <v>2.1</v>
      </c>
      <c r="CT23" s="13">
        <f>IF('Données projet'!$A$140&gt;35,CT22+CS23-DB22,IF(A23&lt;'Données projet'!$A$140,$CQ$205^A23,IF(A23='Données projet'!$A$140,'Données projet'!$B$140,CT22+CS23-DB22)))</f>
        <v>42</v>
      </c>
      <c r="CU23" s="18">
        <f>CT23*VLOOKUP('Données projet'!$B$13,Paramètres!$A$1:$I$89,3,0)*VLOOKUP('Données projet'!$B$13,Paramètres!$A$1:$I$89,5,0)</f>
        <v>45.208799999999997</v>
      </c>
      <c r="CV23" s="14">
        <f t="shared" si="41"/>
        <v>13.369251386406743</v>
      </c>
      <c r="CW23" s="22">
        <f t="shared" si="13"/>
        <v>102.02343949799173</v>
      </c>
      <c r="CX23" s="60">
        <f t="shared" si="14"/>
        <v>395.35677283132503</v>
      </c>
      <c r="CY23" s="60">
        <f ca="1">AVERAGE(OFFSET($CX$3,0,0,'Données projet'!$E$13+1,1))-AVERAGE(OFFSET($H$3,0,0,'Données projet'!$E$13+1,1))</f>
        <v>376.96388721258387</v>
      </c>
      <c r="CZ23" s="60">
        <f t="shared" si="42"/>
        <v>211.14628470344377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>
        <f>VLOOKUP(A23,'Données projet'!$A$165:$I$185,2,0)</f>
        <v>91.025641025641022</v>
      </c>
      <c r="DM23" s="13">
        <f>VLOOKUP(A23,'Données projet'!$A$165:$I$185,9,0)</f>
        <v>8.2051282051282044</v>
      </c>
      <c r="DN23" s="13">
        <f t="array" ref="DN23">INDEX(DM:DM,MIN(IF(ISNUMBER(DM23:DM219),ROW(DM23:DM219),"")))</f>
        <v>8.2051282051282044</v>
      </c>
      <c r="DO23" s="13">
        <f>IF('Données projet'!$A$166&gt;35,DO22+DN23-DW22,IF(A23&lt;'Données projet'!$A$166,$DL$205^A23,IF(A23='Données projet'!$A$166,'Données projet'!$B$166,DO22+DN23-DW22)))</f>
        <v>91.025641025641022</v>
      </c>
      <c r="DP23" s="18">
        <f>DO23*VLOOKUP('Données projet'!$B$14,Paramètres!$A$1:$I$89,3,0)*VLOOKUP('Données projet'!$B$14,Paramètres!$A$1:$I$89,5,0)</f>
        <v>61.06</v>
      </c>
      <c r="DQ23" s="14">
        <f t="shared" si="43"/>
        <v>17.43599650596687</v>
      </c>
      <c r="DR23" s="22">
        <f t="shared" si="16"/>
        <v>136.71386058122562</v>
      </c>
      <c r="DS23" s="60">
        <f t="shared" si="17"/>
        <v>430.04719391455893</v>
      </c>
      <c r="DT23" s="60">
        <f ca="1">AVERAGE(OFFSET($DS$3,0,0,'Données projet'!$E$14+1,1))-AVERAGE(OFFSET($H$3,0,0,'Données projet'!$E$14+1,1))</f>
        <v>212.33913923444732</v>
      </c>
      <c r="DU23" s="60">
        <f t="shared" si="44"/>
        <v>183.51194426094372</v>
      </c>
      <c r="DV23" s="16">
        <f>IF(ISNA(VLOOKUP(A23,'Données projet'!$A$165:$I$185,3,0)),0,VLOOKUP(A23,'Données projet'!$A$165:$I$185,3,0))</f>
        <v>1</v>
      </c>
      <c r="DW23" s="16">
        <f>IF(ISNA(VLOOKUP(A23,'Données projet'!$A$165:$I$185,4,0)),0,VLOOKUP(A23,'Données projet'!$A$165:$I$185,4,0))</f>
        <v>24.358974358974358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0" t="e">
        <f t="shared" si="20"/>
        <v>#N/A</v>
      </c>
      <c r="EO23" s="60" t="e">
        <f ca="1">AVERAGE(OFFSET($EN$3,0,0,'Données projet'!$E$15+1,1))-AVERAGE(OFFSET($H$3,0,0,'Données projet'!$E$15+1,1))</f>
        <v>#N/A</v>
      </c>
      <c r="EP23" s="60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0" t="e">
        <f t="shared" si="23"/>
        <v>#N/A</v>
      </c>
      <c r="FJ23" s="60" t="e">
        <f ca="1">AVERAGE(OFFSET($FI$3,0,0,'Données projet'!$E$16+1,1))-AVERAGE(OFFSET($H$3,0,0,'Données projet'!$E$16+1,1))</f>
        <v>#N/A</v>
      </c>
      <c r="FK23" s="60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0" t="e">
        <f t="shared" si="26"/>
        <v>#N/A</v>
      </c>
      <c r="GE23" s="60" t="e">
        <f ca="1">AVERAGE(OFFSET($GD$3,0,0,'Données projet'!$E$17+1,1))-AVERAGE(OFFSET($H$3,0,0,'Données projet'!$E$17+1,1))</f>
        <v>#N/A</v>
      </c>
      <c r="GF23" s="60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0" t="e">
        <f t="shared" si="29"/>
        <v>#N/A</v>
      </c>
      <c r="GZ23" s="60" t="e">
        <f ca="1">AVERAGE(OFFSET($GY$3,0,0,'Données projet'!$E$18+1,1))-AVERAGE(OFFSET($H$3,0,0,'Données projet'!$E$18+1,1))</f>
        <v>#N/A</v>
      </c>
      <c r="HA23" s="60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5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2">
        <f t="shared" si="32"/>
        <v>3.9778504618356041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8">
        <f t="shared" si="1"/>
        <v>320.23137288769698</v>
      </c>
      <c r="I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3.4425641025641025</v>
      </c>
      <c r="N24" s="14">
        <f>IF('Données projet'!$A$36&gt;35,N23+M24-V23,IF(A24&lt;'Données projet'!$A$36,$K$205^A24,IF(A24='Données projet'!$A$36,'Données projet'!$B$36,N23+M24-V23)))</f>
        <v>25.692259707215236</v>
      </c>
      <c r="O24" s="14">
        <f>N24*VLOOKUP('Données projet'!$B$9,Paramètres!$A$1:$I$89,3,0)*VLOOKUP('Données projet'!$B$9,Paramètres!$A$1:$I$89,5,0)</f>
        <v>12.023977542976729</v>
      </c>
      <c r="P24" s="14">
        <f t="shared" si="33"/>
        <v>4.1484190116858626</v>
      </c>
      <c r="Q24" s="22">
        <f t="shared" si="2"/>
        <v>28.166923999370677</v>
      </c>
      <c r="R24" s="60">
        <f t="shared" si="0"/>
        <v>321.500257332704</v>
      </c>
      <c r="S24" s="60">
        <f ca="1">AVERAGE(OFFSET($R$3,0,0,'Données projet'!$E$9+1,1))-AVERAGE(OFFSET($H$3,0,0,'Données projet'!$E$9+1,1))</f>
        <v>146.40889017442277</v>
      </c>
      <c r="T24" s="60">
        <f t="shared" si="34"/>
        <v>70.859031694091868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7.2</v>
      </c>
      <c r="AI24" s="14">
        <f>IF('Données projet'!$A$62&gt;35,AI23+AH24-AQ23,IF(A24&lt;'Données projet'!$A$62,$AF$205^A24,IF(A24='Données projet'!$A$62,'Données projet'!$B$62,AI23+AH24-AQ23)))</f>
        <v>80.2</v>
      </c>
      <c r="AJ24" s="14">
        <f>AI24*VLOOKUP('Données projet'!$B$10,Paramètres!$A$1:$I$89,3,0)*VLOOKUP('Données projet'!$B$10,Paramètres!$A$1:$I$89,5,0)</f>
        <v>72.564959999999999</v>
      </c>
      <c r="AK24" s="14">
        <f t="shared" si="35"/>
        <v>20.30908732150932</v>
      </c>
      <c r="AL24" s="22">
        <f t="shared" si="4"/>
        <v>161.75563241829539</v>
      </c>
      <c r="AM24" s="60">
        <f t="shared" si="5"/>
        <v>455.08896575162873</v>
      </c>
      <c r="AN24" s="60">
        <f ca="1">AVERAGE(OFFSET($AM$3,0,0,'Données projet'!$E$10+1,1))-AVERAGE(OFFSET($H$3,0,0,'Données projet'!$E$10+1,1))</f>
        <v>404.14319681142746</v>
      </c>
      <c r="AO24" s="60">
        <f t="shared" si="36"/>
        <v>203.5274665601915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5.6</v>
      </c>
      <c r="BD24" s="13">
        <f>IF('Données projet'!$A$88&gt;35,BD23+BC24-BL23,IF(A24&lt;'Données projet'!$A$88,$BA$205^A24,IF(A24='Données projet'!$A$88,'Données projet'!$B$88,BD23+BC24-BL23)))</f>
        <v>47.6</v>
      </c>
      <c r="BE24" s="14">
        <f>BD24*VLOOKUP('Données projet'!$B$11,Paramètres!$A$1:$I$89,3,0)*VLOOKUP('Données projet'!$B$11,Paramètres!$A$1:$I$89,5,0)</f>
        <v>48.266400000000004</v>
      </c>
      <c r="BF24" s="14">
        <f t="shared" si="37"/>
        <v>14.165134590154434</v>
      </c>
      <c r="BG24" s="22">
        <f t="shared" si="7"/>
        <v>108.73492274451898</v>
      </c>
      <c r="BH24" s="60">
        <f t="shared" si="8"/>
        <v>402.06825607785231</v>
      </c>
      <c r="BI24" s="60">
        <f ca="1">AVERAGE(OFFSET($BH$3,0,0,'Données projet'!$E$11+1,1))-AVERAGE(OFFSET($H$3,0,0,'Données projet'!$E$11+1,1))</f>
        <v>350.3652766444938</v>
      </c>
      <c r="BJ24" s="60">
        <f t="shared" si="38"/>
        <v>197.04549436738586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5.6</v>
      </c>
      <c r="BY24" s="13">
        <f>IF('Données projet'!$A$114&gt;35,BY23+BX24-CG23,IF(A24&lt;'Données projet'!$A$114,$BV$205^A24,IF(A24='Données projet'!$A$114,'Données projet'!$B$114,BY23+BX24-CG23)))</f>
        <v>47.6</v>
      </c>
      <c r="BZ24" s="14">
        <f>BY24*VLOOKUP('Données projet'!$B$12,Paramètres!$A$1:$I$89,3,0)*VLOOKUP('Données projet'!$B$12,Paramètres!$A$1:$I$89,5,0)</f>
        <v>46.038720000000005</v>
      </c>
      <c r="CA24" s="14">
        <f t="shared" si="39"/>
        <v>13.585879560828786</v>
      </c>
      <c r="CB24" s="22">
        <f t="shared" si="10"/>
        <v>103.84617756844348</v>
      </c>
      <c r="CC24" s="60">
        <f t="shared" si="11"/>
        <v>397.17951090177678</v>
      </c>
      <c r="CD24" s="60">
        <f ca="1">AVERAGE(OFFSET($CC$3,0,0,'Données projet'!$E$12+1,1))-AVERAGE(OFFSET($H$3,0,0,'Données projet'!$E$12+1,1))</f>
        <v>330.39429528665841</v>
      </c>
      <c r="CE24" s="60">
        <f t="shared" si="40"/>
        <v>186.45728006007261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5.6</v>
      </c>
      <c r="CT24" s="13">
        <f>IF('Données projet'!$A$140&gt;35,CT23+CS24-DB23,IF(A24&lt;'Données projet'!$A$140,$CQ$205^A24,IF(A24='Données projet'!$A$140,'Données projet'!$B$140,CT23+CS24-DB23)))</f>
        <v>47.6</v>
      </c>
      <c r="CU24" s="18">
        <f>CT24*VLOOKUP('Données projet'!$B$13,Paramètres!$A$1:$I$89,3,0)*VLOOKUP('Données projet'!$B$13,Paramètres!$A$1:$I$89,5,0)</f>
        <v>51.236640000000001</v>
      </c>
      <c r="CV24" s="14">
        <f t="shared" si="41"/>
        <v>14.932671799321549</v>
      </c>
      <c r="CW24" s="22">
        <f t="shared" si="13"/>
        <v>115.24488471715169</v>
      </c>
      <c r="CX24" s="60">
        <f t="shared" si="14"/>
        <v>408.57821805048502</v>
      </c>
      <c r="CY24" s="60">
        <f ca="1">AVERAGE(OFFSET($CX$3,0,0,'Données projet'!$E$13+1,1))-AVERAGE(OFFSET($H$3,0,0,'Données projet'!$E$13+1,1))</f>
        <v>376.96388721258387</v>
      </c>
      <c r="CZ24" s="60">
        <f t="shared" si="42"/>
        <v>211.14628470344377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8.4615384615384617</v>
      </c>
      <c r="DO24" s="13">
        <f>IF('Données projet'!$A$166&gt;35,DO23+DN24-DW23,IF(A24&lt;'Données projet'!$A$166,$DL$205^A24,IF(A24='Données projet'!$A$166,'Données projet'!$B$166,DO23+DN24-DW23)))</f>
        <v>75.128205128205138</v>
      </c>
      <c r="DP24" s="18">
        <f>DO24*VLOOKUP('Données projet'!$B$14,Paramètres!$A$1:$I$89,3,0)*VLOOKUP('Données projet'!$B$14,Paramètres!$A$1:$I$89,5,0)</f>
        <v>50.396000000000001</v>
      </c>
      <c r="DQ24" s="14">
        <f t="shared" si="43"/>
        <v>14.71598138852033</v>
      </c>
      <c r="DR24" s="22">
        <f t="shared" si="16"/>
        <v>113.40336758500625</v>
      </c>
      <c r="DS24" s="60">
        <f t="shared" si="17"/>
        <v>406.73670091833958</v>
      </c>
      <c r="DT24" s="60">
        <f ca="1">AVERAGE(OFFSET($DS$3,0,0,'Données projet'!$E$14+1,1))-AVERAGE(OFFSET($H$3,0,0,'Données projet'!$E$14+1,1))</f>
        <v>212.33913923444732</v>
      </c>
      <c r="DU24" s="60">
        <f t="shared" si="44"/>
        <v>183.51194426094372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0" t="e">
        <f t="shared" si="20"/>
        <v>#N/A</v>
      </c>
      <c r="EO24" s="60" t="e">
        <f ca="1">AVERAGE(OFFSET($EN$3,0,0,'Données projet'!$E$15+1,1))-AVERAGE(OFFSET($H$3,0,0,'Données projet'!$E$15+1,1))</f>
        <v>#N/A</v>
      </c>
      <c r="EP24" s="60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0" t="e">
        <f t="shared" si="23"/>
        <v>#N/A</v>
      </c>
      <c r="FJ24" s="60" t="e">
        <f ca="1">AVERAGE(OFFSET($FI$3,0,0,'Données projet'!$E$16+1,1))-AVERAGE(OFFSET($H$3,0,0,'Données projet'!$E$16+1,1))</f>
        <v>#N/A</v>
      </c>
      <c r="FK24" s="60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0" t="e">
        <f t="shared" si="26"/>
        <v>#N/A</v>
      </c>
      <c r="GE24" s="60" t="e">
        <f ca="1">AVERAGE(OFFSET($GD$3,0,0,'Données projet'!$E$17+1,1))-AVERAGE(OFFSET($H$3,0,0,'Données projet'!$E$17+1,1))</f>
        <v>#N/A</v>
      </c>
      <c r="GF24" s="60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0" t="e">
        <f t="shared" si="29"/>
        <v>#N/A</v>
      </c>
      <c r="GZ24" s="60" t="e">
        <f ca="1">AVERAGE(OFFSET($GY$3,0,0,'Données projet'!$E$18+1,1))-AVERAGE(OFFSET($H$3,0,0,'Données projet'!$E$18+1,1))</f>
        <v>#N/A</v>
      </c>
      <c r="HA24" s="60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5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2">
        <f t="shared" si="32"/>
        <v>4.1447674125853915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8">
        <f t="shared" si="1"/>
        <v>321.47303657691953</v>
      </c>
      <c r="I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3.4425641025641025</v>
      </c>
      <c r="N25" s="14">
        <f>IF('Données projet'!$A$36&gt;35,N24+M25-V24,IF(A25&lt;'Données projet'!$A$36,$K$205^A25,IF(A25='Données projet'!$A$36,'Données projet'!$B$36,N24+M25-V24)))</f>
        <v>29.987188275534368</v>
      </c>
      <c r="O25" s="14">
        <f>N25*VLOOKUP('Données projet'!$B$9,Paramètres!$A$1:$I$89,3,0)*VLOOKUP('Données projet'!$B$9,Paramètres!$A$1:$I$89,5,0)</f>
        <v>14.034004112950084</v>
      </c>
      <c r="P25" s="14">
        <f t="shared" si="33"/>
        <v>4.7555606647394173</v>
      </c>
      <c r="Q25" s="22">
        <f t="shared" si="2"/>
        <v>32.725158654475884</v>
      </c>
      <c r="R25" s="60">
        <f t="shared" si="0"/>
        <v>326.05849198780919</v>
      </c>
      <c r="S25" s="60">
        <f ca="1">AVERAGE(OFFSET($R$3,0,0,'Données projet'!$E$9+1,1))-AVERAGE(OFFSET($H$3,0,0,'Données projet'!$E$9+1,1))</f>
        <v>146.40889017442277</v>
      </c>
      <c r="T25" s="60">
        <f t="shared" si="34"/>
        <v>70.859031694091868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7.2</v>
      </c>
      <c r="AI25" s="14">
        <f>IF('Données projet'!$A$62&gt;35,AI24+AH25-AQ24,IF(A25&lt;'Données projet'!$A$62,$AF$205^A25,IF(A25='Données projet'!$A$62,'Données projet'!$B$62,AI24+AH25-AQ24)))</f>
        <v>87.4</v>
      </c>
      <c r="AJ25" s="14">
        <f>AI25*VLOOKUP('Données projet'!$B$10,Paramètres!$A$1:$I$89,3,0)*VLOOKUP('Données projet'!$B$10,Paramètres!$A$1:$I$89,5,0)</f>
        <v>79.079520000000002</v>
      </c>
      <c r="AK25" s="14">
        <f t="shared" si="35"/>
        <v>21.911970621402002</v>
      </c>
      <c r="AL25" s="22">
        <f t="shared" si="4"/>
        <v>175.89351283227515</v>
      </c>
      <c r="AM25" s="60">
        <f t="shared" si="5"/>
        <v>469.22684616560844</v>
      </c>
      <c r="AN25" s="60">
        <f ca="1">AVERAGE(OFFSET($AM$3,0,0,'Données projet'!$E$10+1,1))-AVERAGE(OFFSET($H$3,0,0,'Données projet'!$E$10+1,1))</f>
        <v>404.14319681142746</v>
      </c>
      <c r="AO25" s="60">
        <f t="shared" si="36"/>
        <v>203.5274665601915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5.6</v>
      </c>
      <c r="BD25" s="13">
        <f>IF('Données projet'!$A$88&gt;35,BD24+BC25-BL24,IF(A25&lt;'Données projet'!$A$88,$BA$205^A25,IF(A25='Données projet'!$A$88,'Données projet'!$B$88,BD24+BC25-BL24)))</f>
        <v>53.2</v>
      </c>
      <c r="BE25" s="14">
        <f>BD25*VLOOKUP('Données projet'!$B$11,Paramètres!$A$1:$I$89,3,0)*VLOOKUP('Données projet'!$B$11,Paramètres!$A$1:$I$89,5,0)</f>
        <v>53.944800000000008</v>
      </c>
      <c r="BF25" s="14">
        <f t="shared" si="37"/>
        <v>15.627975445731321</v>
      </c>
      <c r="BG25" s="22">
        <f t="shared" si="7"/>
        <v>121.17258390131538</v>
      </c>
      <c r="BH25" s="60">
        <f t="shared" si="8"/>
        <v>414.50591723464868</v>
      </c>
      <c r="BI25" s="60">
        <f ca="1">AVERAGE(OFFSET($BH$3,0,0,'Données projet'!$E$11+1,1))-AVERAGE(OFFSET($H$3,0,0,'Données projet'!$E$11+1,1))</f>
        <v>350.3652766444938</v>
      </c>
      <c r="BJ25" s="60">
        <f t="shared" si="38"/>
        <v>197.04549436738586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5.6</v>
      </c>
      <c r="BY25" s="13">
        <f>IF('Données projet'!$A$114&gt;35,BY24+BX25-CG24,IF(A25&lt;'Données projet'!$A$114,$BV$205^A25,IF(A25='Données projet'!$A$114,'Données projet'!$B$114,BY24+BX25-CG24)))</f>
        <v>53.2</v>
      </c>
      <c r="BZ25" s="14">
        <f>BY25*VLOOKUP('Données projet'!$B$12,Paramètres!$A$1:$I$89,3,0)*VLOOKUP('Données projet'!$B$12,Paramètres!$A$1:$I$89,5,0)</f>
        <v>51.455040000000004</v>
      </c>
      <c r="CA25" s="14">
        <f t="shared" si="39"/>
        <v>14.988900446655085</v>
      </c>
      <c r="CB25" s="22">
        <f t="shared" si="10"/>
        <v>115.72319627792427</v>
      </c>
      <c r="CC25" s="60">
        <f t="shared" si="11"/>
        <v>409.05652961125759</v>
      </c>
      <c r="CD25" s="60">
        <f ca="1">AVERAGE(OFFSET($CC$3,0,0,'Données projet'!$E$12+1,1))-AVERAGE(OFFSET($H$3,0,0,'Données projet'!$E$12+1,1))</f>
        <v>330.39429528665841</v>
      </c>
      <c r="CE25" s="60">
        <f t="shared" si="40"/>
        <v>186.45728006007261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5.6</v>
      </c>
      <c r="CT25" s="13">
        <f>IF('Données projet'!$A$140&gt;35,CT24+CS25-DB24,IF(A25&lt;'Données projet'!$A$140,$CQ$205^A25,IF(A25='Données projet'!$A$140,'Données projet'!$B$140,CT24+CS25-DB24)))</f>
        <v>53.2</v>
      </c>
      <c r="CU25" s="18">
        <f>CT25*VLOOKUP('Données projet'!$B$13,Paramètres!$A$1:$I$89,3,0)*VLOOKUP('Données projet'!$B$13,Paramètres!$A$1:$I$89,5,0)</f>
        <v>57.264479999999999</v>
      </c>
      <c r="CV25" s="14">
        <f t="shared" si="41"/>
        <v>16.474776623807379</v>
      </c>
      <c r="CW25" s="22">
        <f t="shared" si="13"/>
        <v>128.42920528646451</v>
      </c>
      <c r="CX25" s="60">
        <f t="shared" si="14"/>
        <v>421.76253861979785</v>
      </c>
      <c r="CY25" s="60">
        <f ca="1">AVERAGE(OFFSET($CX$3,0,0,'Données projet'!$E$13+1,1))-AVERAGE(OFFSET($H$3,0,0,'Données projet'!$E$13+1,1))</f>
        <v>376.96388721258387</v>
      </c>
      <c r="CZ25" s="60">
        <f t="shared" si="42"/>
        <v>211.14628470344377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8.4615384615384617</v>
      </c>
      <c r="DO25" s="13">
        <f>IF('Données projet'!$A$166&gt;35,DO24+DN25-DW24,IF(A25&lt;'Données projet'!$A$166,$DL$205^A25,IF(A25='Données projet'!$A$166,'Données projet'!$B$166,DO24+DN25-DW24)))</f>
        <v>83.589743589743605</v>
      </c>
      <c r="DP25" s="18">
        <f>DO25*VLOOKUP('Données projet'!$B$14,Paramètres!$A$1:$I$89,3,0)*VLOOKUP('Données projet'!$B$14,Paramètres!$A$1:$I$89,5,0)</f>
        <v>56.07200000000001</v>
      </c>
      <c r="DQ25" s="14">
        <f t="shared" si="43"/>
        <v>16.17126790367621</v>
      </c>
      <c r="DR25" s="22">
        <f t="shared" si="16"/>
        <v>125.82369159890273</v>
      </c>
      <c r="DS25" s="60">
        <f t="shared" si="17"/>
        <v>419.15702493223603</v>
      </c>
      <c r="DT25" s="60">
        <f ca="1">AVERAGE(OFFSET($DS$3,0,0,'Données projet'!$E$14+1,1))-AVERAGE(OFFSET($H$3,0,0,'Données projet'!$E$14+1,1))</f>
        <v>212.33913923444732</v>
      </c>
      <c r="DU25" s="60">
        <f t="shared" si="44"/>
        <v>183.51194426094372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0" t="e">
        <f t="shared" si="20"/>
        <v>#N/A</v>
      </c>
      <c r="EO25" s="60" t="e">
        <f ca="1">AVERAGE(OFFSET($EN$3,0,0,'Données projet'!$E$15+1,1))-AVERAGE(OFFSET($H$3,0,0,'Données projet'!$E$15+1,1))</f>
        <v>#N/A</v>
      </c>
      <c r="EP25" s="60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0" t="e">
        <f t="shared" si="23"/>
        <v>#N/A</v>
      </c>
      <c r="FJ25" s="60" t="e">
        <f ca="1">AVERAGE(OFFSET($FI$3,0,0,'Données projet'!$E$16+1,1))-AVERAGE(OFFSET($H$3,0,0,'Données projet'!$E$16+1,1))</f>
        <v>#N/A</v>
      </c>
      <c r="FK25" s="60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0" t="e">
        <f t="shared" si="26"/>
        <v>#N/A</v>
      </c>
      <c r="GE25" s="60" t="e">
        <f ca="1">AVERAGE(OFFSET($GD$3,0,0,'Données projet'!$E$17+1,1))-AVERAGE(OFFSET($H$3,0,0,'Données projet'!$E$17+1,1))</f>
        <v>#N/A</v>
      </c>
      <c r="GF25" s="60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0" t="e">
        <f t="shared" si="29"/>
        <v>#N/A</v>
      </c>
      <c r="GZ25" s="60" t="e">
        <f ca="1">AVERAGE(OFFSET($GY$3,0,0,'Données projet'!$E$18+1,1))-AVERAGE(OFFSET($H$3,0,0,'Données projet'!$E$18+1,1))</f>
        <v>#N/A</v>
      </c>
      <c r="HA25" s="60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5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2">
        <f t="shared" si="32"/>
        <v>4.3108032327306516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8">
        <f t="shared" si="1"/>
        <v>322.71316563033918</v>
      </c>
      <c r="I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3.4425641025641025</v>
      </c>
      <c r="N26" s="14">
        <f>IF('Données projet'!$A$36&gt;35,N25+M26-V25,IF(A26&lt;'Données projet'!$A$36,$K$205^A26,IF(A26='Données projet'!$A$36,'Données projet'!$B$36,N25+M26-V25)))</f>
        <v>35.000092281482424</v>
      </c>
      <c r="O26" s="14">
        <f>N26*VLOOKUP('Données projet'!$B$9,Paramètres!$A$1:$I$89,3,0)*VLOOKUP('Données projet'!$B$9,Paramètres!$A$1:$I$89,5,0)</f>
        <v>16.380043187733772</v>
      </c>
      <c r="P26" s="14">
        <f t="shared" si="33"/>
        <v>5.4515605034859353</v>
      </c>
      <c r="Q26" s="22">
        <f t="shared" si="2"/>
        <v>38.023376428874322</v>
      </c>
      <c r="R26" s="60">
        <f t="shared" si="0"/>
        <v>331.35670976220763</v>
      </c>
      <c r="S26" s="60">
        <f ca="1">AVERAGE(OFFSET($R$3,0,0,'Données projet'!$E$9+1,1))-AVERAGE(OFFSET($H$3,0,0,'Données projet'!$E$9+1,1))</f>
        <v>146.40889017442277</v>
      </c>
      <c r="T26" s="60">
        <f t="shared" si="34"/>
        <v>70.859031694091868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7.2</v>
      </c>
      <c r="AI26" s="14">
        <f>IF('Données projet'!$A$62&gt;35,AI25+AH26-AQ25,IF(A26&lt;'Données projet'!$A$62,$AF$205^A26,IF(A26='Données projet'!$A$62,'Données projet'!$B$62,AI25+AH26-AQ25)))</f>
        <v>94.600000000000009</v>
      </c>
      <c r="AJ26" s="14">
        <f>AI26*VLOOKUP('Données projet'!$B$10,Paramètres!$A$1:$I$89,3,0)*VLOOKUP('Données projet'!$B$10,Paramètres!$A$1:$I$89,5,0)</f>
        <v>85.594080000000005</v>
      </c>
      <c r="AK26" s="14">
        <f t="shared" si="35"/>
        <v>23.499539031833248</v>
      </c>
      <c r="AL26" s="22">
        <f t="shared" si="4"/>
        <v>190.00471981377623</v>
      </c>
      <c r="AM26" s="60">
        <f t="shared" si="5"/>
        <v>483.33805314710958</v>
      </c>
      <c r="AN26" s="60">
        <f ca="1">AVERAGE(OFFSET($AM$3,0,0,'Données projet'!$E$10+1,1))-AVERAGE(OFFSET($H$3,0,0,'Données projet'!$E$10+1,1))</f>
        <v>404.14319681142746</v>
      </c>
      <c r="AO26" s="60">
        <f t="shared" si="36"/>
        <v>203.5274665601915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5.6</v>
      </c>
      <c r="BD26" s="13">
        <f>IF('Données projet'!$A$88&gt;35,BD25+BC26-BL25,IF(A26&lt;'Données projet'!$A$88,$BA$205^A26,IF(A26='Données projet'!$A$88,'Données projet'!$B$88,BD25+BC26-BL25)))</f>
        <v>58.800000000000004</v>
      </c>
      <c r="BE26" s="14">
        <f>BD26*VLOOKUP('Données projet'!$B$11,Paramètres!$A$1:$I$89,3,0)*VLOOKUP('Données projet'!$B$11,Paramètres!$A$1:$I$89,5,0)</f>
        <v>59.623200000000011</v>
      </c>
      <c r="BF26" s="14">
        <f t="shared" si="37"/>
        <v>17.072967249098898</v>
      </c>
      <c r="BG26" s="22">
        <f t="shared" si="7"/>
        <v>133.57915795884725</v>
      </c>
      <c r="BH26" s="60">
        <f t="shared" si="8"/>
        <v>426.91249129218056</v>
      </c>
      <c r="BI26" s="60">
        <f ca="1">AVERAGE(OFFSET($BH$3,0,0,'Données projet'!$E$11+1,1))-AVERAGE(OFFSET($H$3,0,0,'Données projet'!$E$11+1,1))</f>
        <v>350.3652766444938</v>
      </c>
      <c r="BJ26" s="60">
        <f t="shared" si="38"/>
        <v>197.04549436738586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5.6</v>
      </c>
      <c r="BY26" s="13">
        <f>IF('Données projet'!$A$114&gt;35,BY25+BX26-CG25,IF(A26&lt;'Données projet'!$A$114,$BV$205^A26,IF(A26='Données projet'!$A$114,'Données projet'!$B$114,BY25+BX26-CG25)))</f>
        <v>58.800000000000004</v>
      </c>
      <c r="BZ26" s="14">
        <f>BY26*VLOOKUP('Données projet'!$B$12,Paramètres!$A$1:$I$89,3,0)*VLOOKUP('Données projet'!$B$12,Paramètres!$A$1:$I$89,5,0)</f>
        <v>56.87136000000001</v>
      </c>
      <c r="CA26" s="14">
        <f t="shared" si="39"/>
        <v>16.374802181791551</v>
      </c>
      <c r="CB26" s="22">
        <f t="shared" si="10"/>
        <v>127.57039913328697</v>
      </c>
      <c r="CC26" s="60">
        <f t="shared" si="11"/>
        <v>420.90373246662028</v>
      </c>
      <c r="CD26" s="60">
        <f ca="1">AVERAGE(OFFSET($CC$3,0,0,'Données projet'!$E$12+1,1))-AVERAGE(OFFSET($H$3,0,0,'Données projet'!$E$12+1,1))</f>
        <v>330.39429528665841</v>
      </c>
      <c r="CE26" s="60">
        <f t="shared" si="40"/>
        <v>186.45728006007261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5.6</v>
      </c>
      <c r="CT26" s="13">
        <f>IF('Données projet'!$A$140&gt;35,CT25+CS26-DB25,IF(A26&lt;'Données projet'!$A$140,$CQ$205^A26,IF(A26='Données projet'!$A$140,'Données projet'!$B$140,CT25+CS26-DB25)))</f>
        <v>58.800000000000004</v>
      </c>
      <c r="CU26" s="18">
        <f>CT26*VLOOKUP('Données projet'!$B$13,Paramètres!$A$1:$I$89,3,0)*VLOOKUP('Données projet'!$B$13,Paramètres!$A$1:$I$89,5,0)</f>
        <v>63.292320000000004</v>
      </c>
      <c r="CV26" s="14">
        <f t="shared" si="41"/>
        <v>17.998065245956816</v>
      </c>
      <c r="CW26" s="22">
        <f t="shared" si="13"/>
        <v>141.58075430337479</v>
      </c>
      <c r="CX26" s="60">
        <f t="shared" si="14"/>
        <v>434.91408763670813</v>
      </c>
      <c r="CY26" s="60">
        <f ca="1">AVERAGE(OFFSET($CX$3,0,0,'Données projet'!$E$13+1,1))-AVERAGE(OFFSET($H$3,0,0,'Données projet'!$E$13+1,1))</f>
        <v>376.96388721258387</v>
      </c>
      <c r="CZ26" s="60">
        <f t="shared" si="42"/>
        <v>211.14628470344377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8.4615384615384617</v>
      </c>
      <c r="DO26" s="13">
        <f>IF('Données projet'!$A$166&gt;35,DO25+DN26-DW25,IF(A26&lt;'Données projet'!$A$166,$DL$205^A26,IF(A26='Données projet'!$A$166,'Données projet'!$B$166,DO25+DN26-DW25)))</f>
        <v>92.051282051282072</v>
      </c>
      <c r="DP26" s="18">
        <f>DO26*VLOOKUP('Données projet'!$B$14,Paramètres!$A$1:$I$89,3,0)*VLOOKUP('Données projet'!$B$14,Paramètres!$A$1:$I$89,5,0)</f>
        <v>61.748000000000012</v>
      </c>
      <c r="DQ26" s="14">
        <f t="shared" si="43"/>
        <v>17.609476905605174</v>
      </c>
      <c r="DR26" s="22">
        <f t="shared" si="16"/>
        <v>138.21427227726235</v>
      </c>
      <c r="DS26" s="60">
        <f t="shared" si="17"/>
        <v>431.54760561059567</v>
      </c>
      <c r="DT26" s="60">
        <f ca="1">AVERAGE(OFFSET($DS$3,0,0,'Données projet'!$E$14+1,1))-AVERAGE(OFFSET($H$3,0,0,'Données projet'!$E$14+1,1))</f>
        <v>212.33913923444732</v>
      </c>
      <c r="DU26" s="60">
        <f t="shared" si="44"/>
        <v>183.51194426094372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0" t="e">
        <f t="shared" si="20"/>
        <v>#N/A</v>
      </c>
      <c r="EO26" s="60" t="e">
        <f ca="1">AVERAGE(OFFSET($EN$3,0,0,'Données projet'!$E$15+1,1))-AVERAGE(OFFSET($H$3,0,0,'Données projet'!$E$15+1,1))</f>
        <v>#N/A</v>
      </c>
      <c r="EP26" s="60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0" t="e">
        <f t="shared" si="23"/>
        <v>#N/A</v>
      </c>
      <c r="FJ26" s="60" t="e">
        <f ca="1">AVERAGE(OFFSET($FI$3,0,0,'Données projet'!$E$16+1,1))-AVERAGE(OFFSET($H$3,0,0,'Données projet'!$E$16+1,1))</f>
        <v>#N/A</v>
      </c>
      <c r="FK26" s="60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0" t="e">
        <f t="shared" si="26"/>
        <v>#N/A</v>
      </c>
      <c r="GE26" s="60" t="e">
        <f ca="1">AVERAGE(OFFSET($GD$3,0,0,'Données projet'!$E$17+1,1))-AVERAGE(OFFSET($H$3,0,0,'Données projet'!$E$17+1,1))</f>
        <v>#N/A</v>
      </c>
      <c r="GF26" s="60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0" t="e">
        <f t="shared" si="29"/>
        <v>#N/A</v>
      </c>
      <c r="GZ26" s="60" t="e">
        <f ca="1">AVERAGE(OFFSET($GY$3,0,0,'Données projet'!$E$18+1,1))-AVERAGE(OFFSET($H$3,0,0,'Données projet'!$E$18+1,1))</f>
        <v>#N/A</v>
      </c>
      <c r="HA26" s="60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5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2">
        <f t="shared" si="32"/>
        <v>4.4760006109979766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8">
        <f t="shared" si="1"/>
        <v>323.95183439748814</v>
      </c>
      <c r="I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3.4425641025641025</v>
      </c>
      <c r="N27" s="14">
        <f>IF('Données projet'!$A$36&gt;35,N26+M27-V26,IF(A27&lt;'Données projet'!$A$36,$K$205^A27,IF(A27='Données projet'!$A$36,'Données projet'!$B$36,N26+M27-V26)))</f>
        <v>40.850994379880916</v>
      </c>
      <c r="O27" s="14">
        <f>N27*VLOOKUP('Données projet'!$B$9,Paramètres!$A$1:$I$89,3,0)*VLOOKUP('Données projet'!$B$9,Paramètres!$A$1:$I$89,5,0)</f>
        <v>19.118265369784268</v>
      </c>
      <c r="P27" s="14">
        <f t="shared" si="33"/>
        <v>6.2494233631643379</v>
      </c>
      <c r="Q27" s="22">
        <f t="shared" si="2"/>
        <v>44.182057876552157</v>
      </c>
      <c r="R27" s="60">
        <f t="shared" si="0"/>
        <v>337.51539120988548</v>
      </c>
      <c r="S27" s="60">
        <f ca="1">AVERAGE(OFFSET($R$3,0,0,'Données projet'!$E$9+1,1))-AVERAGE(OFFSET($H$3,0,0,'Données projet'!$E$9+1,1))</f>
        <v>146.40889017442277</v>
      </c>
      <c r="T27" s="60">
        <f t="shared" si="34"/>
        <v>70.859031694091868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7.2</v>
      </c>
      <c r="AI27" s="14">
        <f>IF('Données projet'!$A$62&gt;35,AI26+AH27-AQ26,IF(A27&lt;'Données projet'!$A$62,$AF$205^A27,IF(A27='Données projet'!$A$62,'Données projet'!$B$62,AI26+AH27-AQ26)))</f>
        <v>101.80000000000001</v>
      </c>
      <c r="AJ27" s="14">
        <f>AI27*VLOOKUP('Données projet'!$B$10,Paramètres!$A$1:$I$89,3,0)*VLOOKUP('Données projet'!$B$10,Paramètres!$A$1:$I$89,5,0)</f>
        <v>92.108640000000008</v>
      </c>
      <c r="AK27" s="14">
        <f t="shared" si="35"/>
        <v>25.073090701604293</v>
      </c>
      <c r="AL27" s="22">
        <f t="shared" si="4"/>
        <v>204.09151430529414</v>
      </c>
      <c r="AM27" s="60">
        <f t="shared" si="5"/>
        <v>497.42484763862745</v>
      </c>
      <c r="AN27" s="60">
        <f ca="1">AVERAGE(OFFSET($AM$3,0,0,'Données projet'!$E$10+1,1))-AVERAGE(OFFSET($H$3,0,0,'Données projet'!$E$10+1,1))</f>
        <v>404.14319681142746</v>
      </c>
      <c r="AO27" s="60">
        <f t="shared" si="36"/>
        <v>203.5274665601915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5.6</v>
      </c>
      <c r="BD27" s="13">
        <f>IF('Données projet'!$A$88&gt;35,BD26+BC27-BL26,IF(A27&lt;'Données projet'!$A$88,$BA$205^A27,IF(A27='Données projet'!$A$88,'Données projet'!$B$88,BD26+BC27-BL26)))</f>
        <v>64.400000000000006</v>
      </c>
      <c r="BE27" s="14">
        <f>BD27*VLOOKUP('Données projet'!$B$11,Paramètres!$A$1:$I$89,3,0)*VLOOKUP('Données projet'!$B$11,Paramètres!$A$1:$I$89,5,0)</f>
        <v>65.301600000000008</v>
      </c>
      <c r="BF27" s="14">
        <f t="shared" si="37"/>
        <v>18.502003309535596</v>
      </c>
      <c r="BG27" s="22">
        <f t="shared" si="7"/>
        <v>145.95794243077449</v>
      </c>
      <c r="BH27" s="60">
        <f t="shared" si="8"/>
        <v>439.29127576410781</v>
      </c>
      <c r="BI27" s="60">
        <f ca="1">AVERAGE(OFFSET($BH$3,0,0,'Données projet'!$E$11+1,1))-AVERAGE(OFFSET($H$3,0,0,'Données projet'!$E$11+1,1))</f>
        <v>350.3652766444938</v>
      </c>
      <c r="BJ27" s="60">
        <f t="shared" si="38"/>
        <v>197.04549436738586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5.6</v>
      </c>
      <c r="BY27" s="13">
        <f>IF('Données projet'!$A$114&gt;35,BY26+BX27-CG26,IF(A27&lt;'Données projet'!$A$114,$BV$205^A27,IF(A27='Données projet'!$A$114,'Données projet'!$B$114,BY26+BX27-CG26)))</f>
        <v>64.400000000000006</v>
      </c>
      <c r="BZ27" s="14">
        <f>BY27*VLOOKUP('Données projet'!$B$12,Paramètres!$A$1:$I$89,3,0)*VLOOKUP('Données projet'!$B$12,Paramètres!$A$1:$I$89,5,0)</f>
        <v>62.287680000000009</v>
      </c>
      <c r="CA27" s="14">
        <f t="shared" si="39"/>
        <v>17.745400652396182</v>
      </c>
      <c r="CB27" s="22">
        <f t="shared" si="10"/>
        <v>139.39094880292336</v>
      </c>
      <c r="CC27" s="60">
        <f t="shared" si="11"/>
        <v>432.72428213625665</v>
      </c>
      <c r="CD27" s="60">
        <f ca="1">AVERAGE(OFFSET($CC$3,0,0,'Données projet'!$E$12+1,1))-AVERAGE(OFFSET($H$3,0,0,'Données projet'!$E$12+1,1))</f>
        <v>330.39429528665841</v>
      </c>
      <c r="CE27" s="60">
        <f t="shared" si="40"/>
        <v>186.45728006007261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5.6</v>
      </c>
      <c r="CT27" s="13">
        <f>IF('Données projet'!$A$140&gt;35,CT26+CS27-DB26,IF(A27&lt;'Données projet'!$A$140,$CQ$205^A27,IF(A27='Données projet'!$A$140,'Données projet'!$B$140,CT26+CS27-DB26)))</f>
        <v>64.400000000000006</v>
      </c>
      <c r="CU27" s="18">
        <f>CT27*VLOOKUP('Données projet'!$B$13,Paramètres!$A$1:$I$89,3,0)*VLOOKUP('Données projet'!$B$13,Paramètres!$A$1:$I$89,5,0)</f>
        <v>69.320160000000001</v>
      </c>
      <c r="CV27" s="14">
        <f t="shared" si="41"/>
        <v>19.50453356393022</v>
      </c>
      <c r="CW27" s="22">
        <f t="shared" si="13"/>
        <v>154.70300795717847</v>
      </c>
      <c r="CX27" s="60">
        <f t="shared" si="14"/>
        <v>448.03634129051181</v>
      </c>
      <c r="CY27" s="60">
        <f ca="1">AVERAGE(OFFSET($CX$3,0,0,'Données projet'!$E$13+1,1))-AVERAGE(OFFSET($H$3,0,0,'Données projet'!$E$13+1,1))</f>
        <v>376.96388721258387</v>
      </c>
      <c r="CZ27" s="60">
        <f t="shared" si="42"/>
        <v>211.14628470344377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8.4615384615384617</v>
      </c>
      <c r="DO27" s="13">
        <f>IF('Données projet'!$A$166&gt;35,DO26+DN27-DW26,IF(A27&lt;'Données projet'!$A$166,$DL$205^A27,IF(A27='Données projet'!$A$166,'Données projet'!$B$166,DO26+DN27-DW26)))</f>
        <v>100.51282051282054</v>
      </c>
      <c r="DP27" s="18">
        <f>DO27*VLOOKUP('Données projet'!$B$14,Paramètres!$A$1:$I$89,3,0)*VLOOKUP('Données projet'!$B$14,Paramètres!$A$1:$I$89,5,0)</f>
        <v>67.424000000000021</v>
      </c>
      <c r="DQ27" s="14">
        <f t="shared" si="43"/>
        <v>19.032356736143235</v>
      </c>
      <c r="DR27" s="22">
        <f t="shared" si="16"/>
        <v>150.57815464878283</v>
      </c>
      <c r="DS27" s="60">
        <f t="shared" si="17"/>
        <v>443.91148798211611</v>
      </c>
      <c r="DT27" s="60">
        <f ca="1">AVERAGE(OFFSET($DS$3,0,0,'Données projet'!$E$14+1,1))-AVERAGE(OFFSET($H$3,0,0,'Données projet'!$E$14+1,1))</f>
        <v>212.33913923444732</v>
      </c>
      <c r="DU27" s="60">
        <f t="shared" si="44"/>
        <v>183.51194426094372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0" t="e">
        <f t="shared" si="20"/>
        <v>#N/A</v>
      </c>
      <c r="EO27" s="60" t="e">
        <f ca="1">AVERAGE(OFFSET($EN$3,0,0,'Données projet'!$E$15+1,1))-AVERAGE(OFFSET($H$3,0,0,'Données projet'!$E$15+1,1))</f>
        <v>#N/A</v>
      </c>
      <c r="EP27" s="60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0" t="e">
        <f t="shared" si="23"/>
        <v>#N/A</v>
      </c>
      <c r="FJ27" s="60" t="e">
        <f ca="1">AVERAGE(OFFSET($FI$3,0,0,'Données projet'!$E$16+1,1))-AVERAGE(OFFSET($H$3,0,0,'Données projet'!$E$16+1,1))</f>
        <v>#N/A</v>
      </c>
      <c r="FK27" s="60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0" t="e">
        <f t="shared" si="26"/>
        <v>#N/A</v>
      </c>
      <c r="GE27" s="60" t="e">
        <f ca="1">AVERAGE(OFFSET($GD$3,0,0,'Données projet'!$E$17+1,1))-AVERAGE(OFFSET($H$3,0,0,'Données projet'!$E$17+1,1))</f>
        <v>#N/A</v>
      </c>
      <c r="GF27" s="60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0" t="e">
        <f t="shared" si="29"/>
        <v>#N/A</v>
      </c>
      <c r="GZ27" s="60" t="e">
        <f ca="1">AVERAGE(OFFSET($GY$3,0,0,'Données projet'!$E$18+1,1))-AVERAGE(OFFSET($H$3,0,0,'Données projet'!$E$18+1,1))</f>
        <v>#N/A</v>
      </c>
      <c r="HA27" s="60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5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2">
        <f t="shared" si="32"/>
        <v>4.6403984774572109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8">
        <f t="shared" si="1"/>
        <v>325.18911068157126</v>
      </c>
      <c r="I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3.4425641025641025</v>
      </c>
      <c r="N28" s="14">
        <f>IF('Données projet'!$A$36&gt;35,N27+M28-V27,IF(A28&lt;'Données projet'!$A$36,$K$205^A28,IF(A28='Données projet'!$A$36,'Données projet'!$B$36,N27+M28-V27)))</f>
        <v>47.679981195591871</v>
      </c>
      <c r="O28" s="14">
        <f>N28*VLOOKUP('Données projet'!$B$9,Paramètres!$A$1:$I$89,3,0)*VLOOKUP('Données projet'!$B$9,Paramètres!$A$1:$I$89,5,0)</f>
        <v>22.314231199536998</v>
      </c>
      <c r="P28" s="14">
        <f t="shared" si="33"/>
        <v>7.1640574010122027</v>
      </c>
      <c r="Q28" s="22">
        <f t="shared" si="2"/>
        <v>51.341352645956526</v>
      </c>
      <c r="R28" s="60">
        <f t="shared" si="0"/>
        <v>344.67468597928985</v>
      </c>
      <c r="S28" s="60">
        <f ca="1">AVERAGE(OFFSET($R$3,0,0,'Données projet'!$E$9+1,1))-AVERAGE(OFFSET($H$3,0,0,'Données projet'!$E$9+1,1))</f>
        <v>146.40889017442277</v>
      </c>
      <c r="T28" s="60">
        <f t="shared" si="34"/>
        <v>70.859031694091868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>
        <f>VLOOKUP(A28,'Données projet'!$A$61:$I$81,2,0)</f>
        <v>109</v>
      </c>
      <c r="AG28" s="13">
        <f>VLOOKUP(A28,'Données projet'!$A$61:$I$81,9,0)</f>
        <v>7.2</v>
      </c>
      <c r="AH28" s="13">
        <f t="array" ref="AH28">INDEX(AG:AG,MIN(IF(ISNUMBER(AG28:AG224),ROW(AG28:AG224),"")))</f>
        <v>7.2</v>
      </c>
      <c r="AI28" s="14">
        <f>IF('Données projet'!$A$62&gt;35,AI27+AH28-AQ27,IF(A28&lt;'Données projet'!$A$62,$AF$205^A28,IF(A28='Données projet'!$A$62,'Données projet'!$B$62,AI27+AH28-AQ27)))</f>
        <v>109.00000000000001</v>
      </c>
      <c r="AJ28" s="14">
        <f>AI28*VLOOKUP('Données projet'!$B$10,Paramètres!$A$1:$I$89,3,0)*VLOOKUP('Données projet'!$B$10,Paramètres!$A$1:$I$89,5,0)</f>
        <v>98.623200000000011</v>
      </c>
      <c r="AK28" s="14">
        <f t="shared" si="35"/>
        <v>26.633729748944933</v>
      </c>
      <c r="AL28" s="22">
        <f t="shared" si="4"/>
        <v>218.15581931274576</v>
      </c>
      <c r="AM28" s="60">
        <f t="shared" si="5"/>
        <v>511.48915264607911</v>
      </c>
      <c r="AN28" s="60">
        <f ca="1">AVERAGE(OFFSET($AM$3,0,0,'Données projet'!$E$10+1,1))-AVERAGE(OFFSET($H$3,0,0,'Données projet'!$E$10+1,1))</f>
        <v>404.14319681142746</v>
      </c>
      <c r="AO28" s="60">
        <f t="shared" si="36"/>
        <v>203.5274665601915</v>
      </c>
      <c r="AP28" s="16">
        <f>IF(ISNA(VLOOKUP(A28,'Données projet'!$A$61:$I$81,3,0)),0,VLOOKUP(A28,'Données projet'!$A$61:$I$81,3,0))</f>
        <v>1</v>
      </c>
      <c r="AQ28" s="16">
        <f>IF(ISNA(VLOOKUP(A28,'Données projet'!$A$61:$I$81,4,0)),0,VLOOKUP(A28,'Données projet'!$A$61:$I$81,4,0))</f>
        <v>34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>
        <f>VLOOKUP(A28,'Données projet'!$A$87:$I$107,2,0)</f>
        <v>70</v>
      </c>
      <c r="BB28" s="13">
        <f>VLOOKUP(A28,'Données projet'!$A$87:$I$107,9,0)</f>
        <v>5.6</v>
      </c>
      <c r="BC28" s="13">
        <f t="array" ref="BC28">INDEX(BB:BB,MIN(IF(ISNUMBER(BB28:BB224),ROW(BB28:BB224),"")))</f>
        <v>5.6</v>
      </c>
      <c r="BD28" s="13">
        <f>IF('Données projet'!$A$88&gt;35,BD27+BC28-BL27,IF(A28&lt;'Données projet'!$A$88,$BA$205^A28,IF(A28='Données projet'!$A$88,'Données projet'!$B$88,BD27+BC28-BL27)))</f>
        <v>70</v>
      </c>
      <c r="BE28" s="14">
        <f>BD28*VLOOKUP('Données projet'!$B$11,Paramètres!$A$1:$I$89,3,0)*VLOOKUP('Données projet'!$B$11,Paramètres!$A$1:$I$89,5,0)</f>
        <v>70.98</v>
      </c>
      <c r="BF28" s="14">
        <f t="shared" si="37"/>
        <v>19.916628839746853</v>
      </c>
      <c r="BG28" s="22">
        <f t="shared" si="7"/>
        <v>158.31162856255909</v>
      </c>
      <c r="BH28" s="60">
        <f t="shared" si="8"/>
        <v>451.64496189589238</v>
      </c>
      <c r="BI28" s="60">
        <f ca="1">AVERAGE(OFFSET($BH$3,0,0,'Données projet'!$E$11+1,1))-AVERAGE(OFFSET($H$3,0,0,'Données projet'!$E$11+1,1))</f>
        <v>350.3652766444938</v>
      </c>
      <c r="BJ28" s="60">
        <f t="shared" si="38"/>
        <v>197.04549436738586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>
        <f>VLOOKUP(A28,'Données projet'!$A$113:$I$133,2,0)</f>
        <v>70</v>
      </c>
      <c r="BW28" s="13">
        <f>VLOOKUP(A28,'Données projet'!$A$113:$I$133,9,0)</f>
        <v>5.6</v>
      </c>
      <c r="BX28" s="13">
        <f t="array" ref="BX28">INDEX(BW:BW,MIN(IF(ISNUMBER(BW28:BW224),ROW(BW28:BW224),"")))</f>
        <v>5.6</v>
      </c>
      <c r="BY28" s="13">
        <f>IF('Données projet'!$A$114&gt;35,BY27+BX28-CG27,IF(A28&lt;'Données projet'!$A$114,$BV$205^A28,IF(A28='Données projet'!$A$114,'Données projet'!$B$114,BY27+BX28-CG27)))</f>
        <v>70</v>
      </c>
      <c r="BZ28" s="14">
        <f>BY28*VLOOKUP('Données projet'!$B$12,Paramètres!$A$1:$I$89,3,0)*VLOOKUP('Données projet'!$B$12,Paramètres!$A$1:$I$89,5,0)</f>
        <v>67.703999999999994</v>
      </c>
      <c r="CA28" s="14">
        <f t="shared" si="39"/>
        <v>19.102177882771514</v>
      </c>
      <c r="CB28" s="22">
        <f t="shared" si="10"/>
        <v>151.18742647916039</v>
      </c>
      <c r="CC28" s="60">
        <f t="shared" si="11"/>
        <v>444.52075981249368</v>
      </c>
      <c r="CD28" s="60">
        <f ca="1">AVERAGE(OFFSET($CC$3,0,0,'Données projet'!$E$12+1,1))-AVERAGE(OFFSET($H$3,0,0,'Données projet'!$E$12+1,1))</f>
        <v>330.39429528665841</v>
      </c>
      <c r="CE28" s="60">
        <f t="shared" si="40"/>
        <v>186.45728006007261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>
        <f>VLOOKUP(A28,'Données projet'!$A$139:$I$159,2,0)</f>
        <v>70</v>
      </c>
      <c r="CR28" s="13">
        <f>VLOOKUP(A28,'Données projet'!$A$139:$I$159,9,0)</f>
        <v>5.6</v>
      </c>
      <c r="CS28" s="13">
        <f t="array" ref="CS28">INDEX(CR:CR,MIN(IF(ISNUMBER(CR28:CR224),ROW(CR28:CR224),"")))</f>
        <v>5.6</v>
      </c>
      <c r="CT28" s="13">
        <f>IF('Données projet'!$A$140&gt;35,CT27+CS28-DB27,IF(A28&lt;'Données projet'!$A$140,$CQ$205^A28,IF(A28='Données projet'!$A$140,'Données projet'!$B$140,CT27+CS28-DB27)))</f>
        <v>70</v>
      </c>
      <c r="CU28" s="18">
        <f>CT28*VLOOKUP('Données projet'!$B$13,Paramètres!$A$1:$I$89,3,0)*VLOOKUP('Données projet'!$B$13,Paramètres!$A$1:$I$89,5,0)</f>
        <v>75.347999999999999</v>
      </c>
      <c r="CV28" s="14">
        <f t="shared" si="41"/>
        <v>20.99581051771704</v>
      </c>
      <c r="CW28" s="22">
        <f t="shared" si="13"/>
        <v>167.79880331835713</v>
      </c>
      <c r="CX28" s="60">
        <f t="shared" si="14"/>
        <v>461.13213665169042</v>
      </c>
      <c r="CY28" s="60">
        <f ca="1">AVERAGE(OFFSET($CX$3,0,0,'Données projet'!$E$13+1,1))-AVERAGE(OFFSET($H$3,0,0,'Données projet'!$E$13+1,1))</f>
        <v>376.96388721258387</v>
      </c>
      <c r="CZ28" s="60">
        <f t="shared" si="42"/>
        <v>211.14628470344377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>
        <f>VLOOKUP(A28,'Données projet'!$A$165:$I$185,2,0)</f>
        <v>108.97435897435896</v>
      </c>
      <c r="DM28" s="13">
        <f>VLOOKUP(A28,'Données projet'!$A$165:$I$185,9,0)</f>
        <v>8.4615384615384617</v>
      </c>
      <c r="DN28" s="13">
        <f t="array" ref="DN28">INDEX(DM:DM,MIN(IF(ISNUMBER(DM28:DM224),ROW(DM28:DM224),"")))</f>
        <v>8.4615384615384617</v>
      </c>
      <c r="DO28" s="13">
        <f>IF('Données projet'!$A$166&gt;35,DO27+DN28-DW27,IF(A28&lt;'Données projet'!$A$166,$DL$205^A28,IF(A28='Données projet'!$A$166,'Données projet'!$B$166,DO27+DN28-DW27)))</f>
        <v>108.97435897435901</v>
      </c>
      <c r="DP28" s="18">
        <f>DO28*VLOOKUP('Données projet'!$B$14,Paramètres!$A$1:$I$89,3,0)*VLOOKUP('Données projet'!$B$14,Paramètres!$A$1:$I$89,5,0)</f>
        <v>73.100000000000023</v>
      </c>
      <c r="DQ28" s="14">
        <f t="shared" si="43"/>
        <v>20.44134457781275</v>
      </c>
      <c r="DR28" s="22">
        <f t="shared" si="16"/>
        <v>162.91784180635725</v>
      </c>
      <c r="DS28" s="60">
        <f t="shared" si="17"/>
        <v>456.25117513969053</v>
      </c>
      <c r="DT28" s="60">
        <f ca="1">AVERAGE(OFFSET($DS$3,0,0,'Données projet'!$E$14+1,1))-AVERAGE(OFFSET($H$3,0,0,'Données projet'!$E$14+1,1))</f>
        <v>212.33913923444732</v>
      </c>
      <c r="DU28" s="60">
        <f t="shared" si="44"/>
        <v>183.51194426094372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0" t="e">
        <f t="shared" si="20"/>
        <v>#N/A</v>
      </c>
      <c r="EO28" s="60" t="e">
        <f ca="1">AVERAGE(OFFSET($EN$3,0,0,'Données projet'!$E$15+1,1))-AVERAGE(OFFSET($H$3,0,0,'Données projet'!$E$15+1,1))</f>
        <v>#N/A</v>
      </c>
      <c r="EP28" s="60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0" t="e">
        <f t="shared" si="23"/>
        <v>#N/A</v>
      </c>
      <c r="FJ28" s="60" t="e">
        <f ca="1">AVERAGE(OFFSET($FI$3,0,0,'Données projet'!$E$16+1,1))-AVERAGE(OFFSET($H$3,0,0,'Données projet'!$E$16+1,1))</f>
        <v>#N/A</v>
      </c>
      <c r="FK28" s="60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0" t="e">
        <f t="shared" si="26"/>
        <v>#N/A</v>
      </c>
      <c r="GE28" s="60" t="e">
        <f ca="1">AVERAGE(OFFSET($GD$3,0,0,'Données projet'!$E$17+1,1))-AVERAGE(OFFSET($H$3,0,0,'Données projet'!$E$17+1,1))</f>
        <v>#N/A</v>
      </c>
      <c r="GF28" s="60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0" t="e">
        <f t="shared" si="29"/>
        <v>#N/A</v>
      </c>
      <c r="GZ28" s="60" t="e">
        <f ca="1">AVERAGE(OFFSET($GY$3,0,0,'Données projet'!$E$18+1,1))-AVERAGE(OFFSET($H$3,0,0,'Données projet'!$E$18+1,1))</f>
        <v>#N/A</v>
      </c>
      <c r="HA28" s="60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5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2">
        <f t="shared" si="32"/>
        <v>4.8040324714872957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8">
        <f t="shared" si="1"/>
        <v>326.42505655450702</v>
      </c>
      <c r="I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3.4425641025641025</v>
      </c>
      <c r="N29" s="14">
        <f>IF('Données projet'!$A$36&gt;35,N28+M29-V28,IF(A29&lt;'Données projet'!$A$36,$K$205^A29,IF(A29='Données projet'!$A$36,'Données projet'!$B$36,N28+M29-V28)))</f>
        <v>55.650557381086244</v>
      </c>
      <c r="O29" s="14">
        <f>N29*VLOOKUP('Données projet'!$B$9,Paramètres!$A$1:$I$89,3,0)*VLOOKUP('Données projet'!$B$9,Paramètres!$A$1:$I$89,5,0)</f>
        <v>26.044460854348362</v>
      </c>
      <c r="P29" s="14">
        <f t="shared" si="33"/>
        <v>8.2125526568599181</v>
      </c>
      <c r="Q29" s="22">
        <f t="shared" si="2"/>
        <v>59.664298532021071</v>
      </c>
      <c r="R29" s="60">
        <f t="shared" si="0"/>
        <v>352.99763186535438</v>
      </c>
      <c r="S29" s="60">
        <f ca="1">AVERAGE(OFFSET($R$3,0,0,'Données projet'!$E$9+1,1))-AVERAGE(OFFSET($H$3,0,0,'Données projet'!$E$9+1,1))</f>
        <v>146.40889017442277</v>
      </c>
      <c r="T29" s="60">
        <f t="shared" si="34"/>
        <v>70.859031694091868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9.1999999999999993</v>
      </c>
      <c r="AI29" s="14">
        <f>IF('Données projet'!$A$62&gt;35,AI28+AH29-AQ28,IF(A29&lt;'Données projet'!$A$62,$AF$205^A29,IF(A29='Données projet'!$A$62,'Données projet'!$B$62,AI28+AH29-AQ28)))</f>
        <v>84.200000000000017</v>
      </c>
      <c r="AJ29" s="14">
        <f>AI29*VLOOKUP('Données projet'!$B$10,Paramètres!$A$1:$I$89,3,0)*VLOOKUP('Données projet'!$B$10,Paramètres!$A$1:$I$89,5,0)</f>
        <v>76.184160000000006</v>
      </c>
      <c r="AK29" s="14">
        <f t="shared" si="35"/>
        <v>21.201554232857223</v>
      </c>
      <c r="AL29" s="22">
        <f t="shared" si="4"/>
        <v>169.613452288893</v>
      </c>
      <c r="AM29" s="60">
        <f t="shared" si="5"/>
        <v>462.94678562222634</v>
      </c>
      <c r="AN29" s="60">
        <f ca="1">AVERAGE(OFFSET($AM$3,0,0,'Données projet'!$E$10+1,1))-AVERAGE(OFFSET($H$3,0,0,'Données projet'!$E$10+1,1))</f>
        <v>404.14319681142746</v>
      </c>
      <c r="AO29" s="60">
        <f t="shared" si="36"/>
        <v>203.5274665601915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7</v>
      </c>
      <c r="BD29" s="13">
        <f>IF('Données projet'!$A$88&gt;35,BD28+BC29-BL28,IF(A29&lt;'Données projet'!$A$88,$BA$205^A29,IF(A29='Données projet'!$A$88,'Données projet'!$B$88,BD28+BC29-BL28)))</f>
        <v>77</v>
      </c>
      <c r="BE29" s="14">
        <f>BD29*VLOOKUP('Données projet'!$B$11,Paramètres!$A$1:$I$89,3,0)*VLOOKUP('Données projet'!$B$11,Paramètres!$A$1:$I$89,5,0)</f>
        <v>78.078000000000003</v>
      </c>
      <c r="BF29" s="14">
        <f t="shared" si="37"/>
        <v>21.666582091642084</v>
      </c>
      <c r="BG29" s="22">
        <f t="shared" si="7"/>
        <v>173.72181380960993</v>
      </c>
      <c r="BH29" s="60">
        <f t="shared" si="8"/>
        <v>467.05514714294327</v>
      </c>
      <c r="BI29" s="60">
        <f ca="1">AVERAGE(OFFSET($BH$3,0,0,'Données projet'!$E$11+1,1))-AVERAGE(OFFSET($H$3,0,0,'Données projet'!$E$11+1,1))</f>
        <v>350.3652766444938</v>
      </c>
      <c r="BJ29" s="60">
        <f t="shared" si="38"/>
        <v>197.04549436738586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7</v>
      </c>
      <c r="BY29" s="13">
        <f>IF('Données projet'!$A$114&gt;35,BY28+BX29-CG28,IF(A29&lt;'Données projet'!$A$114,$BV$205^A29,IF(A29='Données projet'!$A$114,'Données projet'!$B$114,BY28+BX29-CG28)))</f>
        <v>77</v>
      </c>
      <c r="BZ29" s="14">
        <f>BY29*VLOOKUP('Données projet'!$B$12,Paramètres!$A$1:$I$89,3,0)*VLOOKUP('Données projet'!$B$12,Paramètres!$A$1:$I$89,5,0)</f>
        <v>74.474400000000003</v>
      </c>
      <c r="CA29" s="14">
        <f t="shared" si="39"/>
        <v>20.780570274034375</v>
      </c>
      <c r="CB29" s="22">
        <f t="shared" si="10"/>
        <v>165.90240656060988</v>
      </c>
      <c r="CC29" s="60">
        <f t="shared" si="11"/>
        <v>459.23573989394322</v>
      </c>
      <c r="CD29" s="60">
        <f ca="1">AVERAGE(OFFSET($CC$3,0,0,'Données projet'!$E$12+1,1))-AVERAGE(OFFSET($H$3,0,0,'Données projet'!$E$12+1,1))</f>
        <v>330.39429528665841</v>
      </c>
      <c r="CE29" s="60">
        <f t="shared" si="40"/>
        <v>186.45728006007261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7</v>
      </c>
      <c r="CT29" s="13">
        <f>IF('Données projet'!$A$140&gt;35,CT28+CS29-DB28,IF(A29&lt;'Données projet'!$A$140,$CQ$205^A29,IF(A29='Données projet'!$A$140,'Données projet'!$B$140,CT28+CS29-DB28)))</f>
        <v>77</v>
      </c>
      <c r="CU29" s="18">
        <f>CT29*VLOOKUP('Données projet'!$B$13,Paramètres!$A$1:$I$89,3,0)*VLOOKUP('Données projet'!$B$13,Paramètres!$A$1:$I$89,5,0)</f>
        <v>82.882799999999989</v>
      </c>
      <c r="CV29" s="14">
        <f t="shared" si="41"/>
        <v>22.840584911380041</v>
      </c>
      <c r="CW29" s="22">
        <f t="shared" si="13"/>
        <v>184.1348953873202</v>
      </c>
      <c r="CX29" s="60">
        <f t="shared" si="14"/>
        <v>477.46822872065354</v>
      </c>
      <c r="CY29" s="60">
        <f ca="1">AVERAGE(OFFSET($CX$3,0,0,'Données projet'!$E$13+1,1))-AVERAGE(OFFSET($H$3,0,0,'Données projet'!$E$13+1,1))</f>
        <v>376.96388721258387</v>
      </c>
      <c r="CZ29" s="60">
        <f t="shared" si="42"/>
        <v>211.14628470344377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8.0769230769230802</v>
      </c>
      <c r="DO29" s="13">
        <f>IF('Données projet'!$A$166&gt;35,DO28+DN29-DW28,IF(A29&lt;'Données projet'!$A$166,$DL$205^A29,IF(A29='Données projet'!$A$166,'Données projet'!$B$166,DO28+DN29-DW28)))</f>
        <v>117.05128205128209</v>
      </c>
      <c r="DP29" s="18">
        <f>DO29*VLOOKUP('Données projet'!$B$14,Paramètres!$A$1:$I$89,3,0)*VLOOKUP('Données projet'!$B$14,Paramètres!$A$1:$I$89,5,0)</f>
        <v>78.518000000000029</v>
      </c>
      <c r="DQ29" s="14">
        <f t="shared" si="43"/>
        <v>21.774434027551713</v>
      </c>
      <c r="DR29" s="22">
        <f t="shared" si="16"/>
        <v>174.6759892646526</v>
      </c>
      <c r="DS29" s="60">
        <f t="shared" si="17"/>
        <v>468.00932259798594</v>
      </c>
      <c r="DT29" s="60">
        <f ca="1">AVERAGE(OFFSET($DS$3,0,0,'Données projet'!$E$14+1,1))-AVERAGE(OFFSET($H$3,0,0,'Données projet'!$E$14+1,1))</f>
        <v>212.33913923444732</v>
      </c>
      <c r="DU29" s="60">
        <f t="shared" si="44"/>
        <v>183.51194426094372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0" t="e">
        <f t="shared" si="20"/>
        <v>#N/A</v>
      </c>
      <c r="EO29" s="60" t="e">
        <f ca="1">AVERAGE(OFFSET($EN$3,0,0,'Données projet'!$E$15+1,1))-AVERAGE(OFFSET($H$3,0,0,'Données projet'!$E$15+1,1))</f>
        <v>#N/A</v>
      </c>
      <c r="EP29" s="60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0" t="e">
        <f t="shared" si="23"/>
        <v>#N/A</v>
      </c>
      <c r="FJ29" s="60" t="e">
        <f ca="1">AVERAGE(OFFSET($FI$3,0,0,'Données projet'!$E$16+1,1))-AVERAGE(OFFSET($H$3,0,0,'Données projet'!$E$16+1,1))</f>
        <v>#N/A</v>
      </c>
      <c r="FK29" s="60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0" t="e">
        <f t="shared" si="26"/>
        <v>#N/A</v>
      </c>
      <c r="GE29" s="60" t="e">
        <f ca="1">AVERAGE(OFFSET($GD$3,0,0,'Données projet'!$E$17+1,1))-AVERAGE(OFFSET($H$3,0,0,'Données projet'!$E$17+1,1))</f>
        <v>#N/A</v>
      </c>
      <c r="GF29" s="60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0" t="e">
        <f t="shared" si="29"/>
        <v>#N/A</v>
      </c>
      <c r="GZ29" s="60" t="e">
        <f ca="1">AVERAGE(OFFSET($GY$3,0,0,'Données projet'!$E$18+1,1))-AVERAGE(OFFSET($H$3,0,0,'Données projet'!$E$18+1,1))</f>
        <v>#N/A</v>
      </c>
      <c r="HA29" s="60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5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2">
        <f t="shared" si="32"/>
        <v>4.9669353357224146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8">
        <f t="shared" si="1"/>
        <v>327.65972904304982</v>
      </c>
      <c r="I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3.4425641025641025</v>
      </c>
      <c r="N30" s="14">
        <f>IF('Données projet'!$A$36&gt;35,N29+M30-V29,IF(A30&lt;'Données projet'!$A$36,$K$205^A30,IF(A30='Données projet'!$A$36,'Données projet'!$B$36,N29+M30-V29)))</f>
        <v>64.953560365747308</v>
      </c>
      <c r="O30" s="14">
        <f>N30*VLOOKUP('Données projet'!$B$9,Paramètres!$A$1:$I$89,3,0)*VLOOKUP('Données projet'!$B$9,Paramètres!$A$1:$I$89,5,0)</f>
        <v>30.398266251169741</v>
      </c>
      <c r="P30" s="14">
        <f t="shared" si="33"/>
        <v>9.4145003824463398</v>
      </c>
      <c r="Q30" s="22">
        <f t="shared" si="2"/>
        <v>69.340568553547996</v>
      </c>
      <c r="R30" s="60">
        <f t="shared" si="0"/>
        <v>362.67390188688131</v>
      </c>
      <c r="S30" s="60">
        <f ca="1">AVERAGE(OFFSET($R$3,0,0,'Données projet'!$E$9+1,1))-AVERAGE(OFFSET($H$3,0,0,'Données projet'!$E$9+1,1))</f>
        <v>146.40889017442277</v>
      </c>
      <c r="T30" s="60">
        <f t="shared" si="34"/>
        <v>70.859031694091868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9.1999999999999993</v>
      </c>
      <c r="AI30" s="14">
        <f>IF('Données projet'!$A$62&gt;35,AI29+AH30-AQ29,IF(A30&lt;'Données projet'!$A$62,$AF$205^A30,IF(A30='Données projet'!$A$62,'Données projet'!$B$62,AI29+AH30-AQ29)))</f>
        <v>93.40000000000002</v>
      </c>
      <c r="AJ30" s="14">
        <f>AI30*VLOOKUP('Données projet'!$B$10,Paramètres!$A$1:$I$89,3,0)*VLOOKUP('Données projet'!$B$10,Paramètres!$A$1:$I$89,5,0)</f>
        <v>84.508320000000026</v>
      </c>
      <c r="AK30" s="14">
        <f t="shared" si="35"/>
        <v>23.235950088324714</v>
      </c>
      <c r="AL30" s="22">
        <f t="shared" si="4"/>
        <v>187.65460373716556</v>
      </c>
      <c r="AM30" s="60">
        <f t="shared" si="5"/>
        <v>480.9879370704989</v>
      </c>
      <c r="AN30" s="60">
        <f ca="1">AVERAGE(OFFSET($AM$3,0,0,'Données projet'!$E$10+1,1))-AVERAGE(OFFSET($H$3,0,0,'Données projet'!$E$10+1,1))</f>
        <v>404.14319681142746</v>
      </c>
      <c r="AO30" s="60">
        <f t="shared" si="36"/>
        <v>203.5274665601915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7</v>
      </c>
      <c r="BD30" s="13">
        <f>IF('Données projet'!$A$88&gt;35,BD29+BC30-BL29,IF(A30&lt;'Données projet'!$A$88,$BA$205^A30,IF(A30='Données projet'!$A$88,'Données projet'!$B$88,BD29+BC30-BL29)))</f>
        <v>84</v>
      </c>
      <c r="BE30" s="14">
        <f>BD30*VLOOKUP('Données projet'!$B$11,Paramètres!$A$1:$I$89,3,0)*VLOOKUP('Données projet'!$B$11,Paramètres!$A$1:$I$89,5,0)</f>
        <v>85.176000000000002</v>
      </c>
      <c r="BF30" s="14">
        <f t="shared" si="37"/>
        <v>23.398088487656441</v>
      </c>
      <c r="BG30" s="22">
        <f t="shared" si="7"/>
        <v>189.09987078266829</v>
      </c>
      <c r="BH30" s="60">
        <f t="shared" si="8"/>
        <v>482.4332041160016</v>
      </c>
      <c r="BI30" s="60">
        <f ca="1">AVERAGE(OFFSET($BH$3,0,0,'Données projet'!$E$11+1,1))-AVERAGE(OFFSET($H$3,0,0,'Données projet'!$E$11+1,1))</f>
        <v>350.3652766444938</v>
      </c>
      <c r="BJ30" s="60">
        <f t="shared" si="38"/>
        <v>197.04549436738586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7</v>
      </c>
      <c r="BY30" s="13">
        <f>IF('Données projet'!$A$114&gt;35,BY29+BX30-CG29,IF(A30&lt;'Données projet'!$A$114,$BV$205^A30,IF(A30='Données projet'!$A$114,'Données projet'!$B$114,BY29+BX30-CG29)))</f>
        <v>84</v>
      </c>
      <c r="BZ30" s="14">
        <f>BY30*VLOOKUP('Données projet'!$B$12,Paramètres!$A$1:$I$89,3,0)*VLOOKUP('Données projet'!$B$12,Paramètres!$A$1:$I$89,5,0)</f>
        <v>81.244799999999998</v>
      </c>
      <c r="CA30" s="14">
        <f t="shared" si="39"/>
        <v>22.441270156928962</v>
      </c>
      <c r="CB30" s="22">
        <f t="shared" si="10"/>
        <v>180.58657218998462</v>
      </c>
      <c r="CC30" s="60">
        <f t="shared" si="11"/>
        <v>473.91990552331794</v>
      </c>
      <c r="CD30" s="60">
        <f ca="1">AVERAGE(OFFSET($CC$3,0,0,'Données projet'!$E$12+1,1))-AVERAGE(OFFSET($H$3,0,0,'Données projet'!$E$12+1,1))</f>
        <v>330.39429528665841</v>
      </c>
      <c r="CE30" s="60">
        <f t="shared" si="40"/>
        <v>186.45728006007261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7</v>
      </c>
      <c r="CT30" s="13">
        <f>IF('Données projet'!$A$140&gt;35,CT29+CS30-DB29,IF(A30&lt;'Données projet'!$A$140,$CQ$205^A30,IF(A30='Données projet'!$A$140,'Données projet'!$B$140,CT29+CS30-DB29)))</f>
        <v>84</v>
      </c>
      <c r="CU30" s="18">
        <f>CT30*VLOOKUP('Données projet'!$B$13,Paramètres!$A$1:$I$89,3,0)*VLOOKUP('Données projet'!$B$13,Paramètres!$A$1:$I$89,5,0)</f>
        <v>90.417599999999993</v>
      </c>
      <c r="CV30" s="14">
        <f t="shared" si="41"/>
        <v>24.665912907068826</v>
      </c>
      <c r="CW30" s="22">
        <f t="shared" si="13"/>
        <v>200.43711831314488</v>
      </c>
      <c r="CX30" s="60">
        <f t="shared" si="14"/>
        <v>493.77045164647819</v>
      </c>
      <c r="CY30" s="60">
        <f ca="1">AVERAGE(OFFSET($CX$3,0,0,'Données projet'!$E$13+1,1))-AVERAGE(OFFSET($H$3,0,0,'Données projet'!$E$13+1,1))</f>
        <v>376.96388721258387</v>
      </c>
      <c r="CZ30" s="60">
        <f t="shared" si="42"/>
        <v>211.14628470344377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8.0769230769230802</v>
      </c>
      <c r="DO30" s="13">
        <f>IF('Données projet'!$A$166&gt;35,DO29+DN30-DW29,IF(A30&lt;'Données projet'!$A$166,$DL$205^A30,IF(A30='Données projet'!$A$166,'Données projet'!$B$166,DO29+DN30-DW29)))</f>
        <v>125.12820512820517</v>
      </c>
      <c r="DP30" s="18">
        <f>DO30*VLOOKUP('Données projet'!$B$14,Paramètres!$A$1:$I$89,3,0)*VLOOKUP('Données projet'!$B$14,Paramètres!$A$1:$I$89,5,0)</f>
        <v>83.936000000000021</v>
      </c>
      <c r="DQ30" s="14">
        <f t="shared" si="43"/>
        <v>23.096850074431298</v>
      </c>
      <c r="DR30" s="22">
        <f t="shared" si="16"/>
        <v>186.41554721296791</v>
      </c>
      <c r="DS30" s="60">
        <f t="shared" si="17"/>
        <v>479.74888054630122</v>
      </c>
      <c r="DT30" s="60">
        <f ca="1">AVERAGE(OFFSET($DS$3,0,0,'Données projet'!$E$14+1,1))-AVERAGE(OFFSET($H$3,0,0,'Données projet'!$E$14+1,1))</f>
        <v>212.33913923444732</v>
      </c>
      <c r="DU30" s="60">
        <f t="shared" si="44"/>
        <v>183.51194426094372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0" t="e">
        <f t="shared" si="20"/>
        <v>#N/A</v>
      </c>
      <c r="EO30" s="60" t="e">
        <f ca="1">AVERAGE(OFFSET($EN$3,0,0,'Données projet'!$E$15+1,1))-AVERAGE(OFFSET($H$3,0,0,'Données projet'!$E$15+1,1))</f>
        <v>#N/A</v>
      </c>
      <c r="EP30" s="60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0" t="e">
        <f t="shared" si="23"/>
        <v>#N/A</v>
      </c>
      <c r="FJ30" s="60" t="e">
        <f ca="1">AVERAGE(OFFSET($FI$3,0,0,'Données projet'!$E$16+1,1))-AVERAGE(OFFSET($H$3,0,0,'Données projet'!$E$16+1,1))</f>
        <v>#N/A</v>
      </c>
      <c r="FK30" s="60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0" t="e">
        <f t="shared" si="26"/>
        <v>#N/A</v>
      </c>
      <c r="GE30" s="60" t="e">
        <f ca="1">AVERAGE(OFFSET($GD$3,0,0,'Données projet'!$E$17+1,1))-AVERAGE(OFFSET($H$3,0,0,'Données projet'!$E$17+1,1))</f>
        <v>#N/A</v>
      </c>
      <c r="GF30" s="60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0" t="e">
        <f t="shared" si="29"/>
        <v>#N/A</v>
      </c>
      <c r="GZ30" s="60" t="e">
        <f ca="1">AVERAGE(OFFSET($GY$3,0,0,'Données projet'!$E$18+1,1))-AVERAGE(OFFSET($H$3,0,0,'Données projet'!$E$18+1,1))</f>
        <v>#N/A</v>
      </c>
      <c r="HA30" s="60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5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2">
        <f t="shared" si="32"/>
        <v>5.1291372499950274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8">
        <f t="shared" si="1"/>
        <v>328.89318071040799</v>
      </c>
      <c r="I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3.4425641025641025</v>
      </c>
      <c r="N31" s="14">
        <f>IF('Données projet'!$A$36&gt;35,N30+M31-V30,IF(A31&lt;'Données projet'!$A$36,$K$205^A31,IF(A31='Données projet'!$A$36,'Données projet'!$B$36,N30+M31-V30)))</f>
        <v>75.81172952673181</v>
      </c>
      <c r="O31" s="14">
        <f>N31*VLOOKUP('Données projet'!$B$9,Paramètres!$A$1:$I$89,3,0)*VLOOKUP('Données projet'!$B$9,Paramètres!$A$1:$I$89,5,0)</f>
        <v>35.479889418510488</v>
      </c>
      <c r="P31" s="14">
        <f t="shared" si="33"/>
        <v>10.7923591061602</v>
      </c>
      <c r="Q31" s="22">
        <f t="shared" si="2"/>
        <v>80.590832847134777</v>
      </c>
      <c r="R31" s="60">
        <f t="shared" si="0"/>
        <v>373.92416618046809</v>
      </c>
      <c r="S31" s="60">
        <f ca="1">AVERAGE(OFFSET($R$3,0,0,'Données projet'!$E$9+1,1))-AVERAGE(OFFSET($H$3,0,0,'Données projet'!$E$9+1,1))</f>
        <v>146.40889017442277</v>
      </c>
      <c r="T31" s="60">
        <f t="shared" si="34"/>
        <v>70.859031694091868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9.1999999999999993</v>
      </c>
      <c r="AI31" s="14">
        <f>IF('Données projet'!$A$62&gt;35,AI30+AH31-AQ30,IF(A31&lt;'Données projet'!$A$62,$AF$205^A31,IF(A31='Données projet'!$A$62,'Données projet'!$B$62,AI30+AH31-AQ30)))</f>
        <v>102.60000000000002</v>
      </c>
      <c r="AJ31" s="14">
        <f>AI31*VLOOKUP('Données projet'!$B$10,Paramètres!$A$1:$I$89,3,0)*VLOOKUP('Données projet'!$B$10,Paramètres!$A$1:$I$89,5,0)</f>
        <v>92.832480000000018</v>
      </c>
      <c r="AK31" s="14">
        <f t="shared" si="35"/>
        <v>25.247114117480137</v>
      </c>
      <c r="AL31" s="22">
        <f t="shared" si="4"/>
        <v>205.65529308794461</v>
      </c>
      <c r="AM31" s="60">
        <f t="shared" si="5"/>
        <v>498.9886264212779</v>
      </c>
      <c r="AN31" s="60">
        <f ca="1">AVERAGE(OFFSET($AM$3,0,0,'Données projet'!$E$10+1,1))-AVERAGE(OFFSET($H$3,0,0,'Données projet'!$E$10+1,1))</f>
        <v>404.14319681142746</v>
      </c>
      <c r="AO31" s="60">
        <f t="shared" si="36"/>
        <v>203.5274665601915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7</v>
      </c>
      <c r="BD31" s="13">
        <f>IF('Données projet'!$A$88&gt;35,BD30+BC31-BL30,IF(A31&lt;'Données projet'!$A$88,$BA$205^A31,IF(A31='Données projet'!$A$88,'Données projet'!$B$88,BD30+BC31-BL30)))</f>
        <v>91</v>
      </c>
      <c r="BE31" s="14">
        <f>BD31*VLOOKUP('Données projet'!$B$11,Paramètres!$A$1:$I$89,3,0)*VLOOKUP('Données projet'!$B$11,Paramètres!$A$1:$I$89,5,0)</f>
        <v>92.274000000000001</v>
      </c>
      <c r="BF31" s="14">
        <f t="shared" si="37"/>
        <v>25.112860036087575</v>
      </c>
      <c r="BG31" s="22">
        <f t="shared" si="7"/>
        <v>204.4487812295192</v>
      </c>
      <c r="BH31" s="60">
        <f t="shared" si="8"/>
        <v>497.78211456285248</v>
      </c>
      <c r="BI31" s="60">
        <f ca="1">AVERAGE(OFFSET($BH$3,0,0,'Données projet'!$E$11+1,1))-AVERAGE(OFFSET($H$3,0,0,'Données projet'!$E$11+1,1))</f>
        <v>350.3652766444938</v>
      </c>
      <c r="BJ31" s="60">
        <f t="shared" si="38"/>
        <v>197.04549436738586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7</v>
      </c>
      <c r="BY31" s="13">
        <f>IF('Données projet'!$A$114&gt;35,BY30+BX31-CG30,IF(A31&lt;'Données projet'!$A$114,$BV$205^A31,IF(A31='Données projet'!$A$114,'Données projet'!$B$114,BY30+BX31-CG30)))</f>
        <v>91</v>
      </c>
      <c r="BZ31" s="14">
        <f>BY31*VLOOKUP('Données projet'!$B$12,Paramètres!$A$1:$I$89,3,0)*VLOOKUP('Données projet'!$B$12,Paramètres!$A$1:$I$89,5,0)</f>
        <v>88.015200000000007</v>
      </c>
      <c r="CA31" s="14">
        <f t="shared" si="39"/>
        <v>24.085919530575829</v>
      </c>
      <c r="CB31" s="22">
        <f t="shared" si="10"/>
        <v>195.24278318241954</v>
      </c>
      <c r="CC31" s="60">
        <f t="shared" si="11"/>
        <v>488.57611651575286</v>
      </c>
      <c r="CD31" s="60">
        <f ca="1">AVERAGE(OFFSET($CC$3,0,0,'Données projet'!$E$12+1,1))-AVERAGE(OFFSET($H$3,0,0,'Données projet'!$E$12+1,1))</f>
        <v>330.39429528665841</v>
      </c>
      <c r="CE31" s="60">
        <f t="shared" si="40"/>
        <v>186.45728006007261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7</v>
      </c>
      <c r="CT31" s="13">
        <f>IF('Données projet'!$A$140&gt;35,CT30+CS31-DB30,IF(A31&lt;'Données projet'!$A$140,$CQ$205^A31,IF(A31='Données projet'!$A$140,'Données projet'!$B$140,CT30+CS31-DB30)))</f>
        <v>91</v>
      </c>
      <c r="CU31" s="18">
        <f>CT31*VLOOKUP('Données projet'!$B$13,Paramètres!$A$1:$I$89,3,0)*VLOOKUP('Données projet'!$B$13,Paramètres!$A$1:$I$89,5,0)</f>
        <v>97.952399999999997</v>
      </c>
      <c r="CV31" s="14">
        <f t="shared" si="41"/>
        <v>26.473599278177087</v>
      </c>
      <c r="CW31" s="22">
        <f t="shared" si="13"/>
        <v>216.70861540949173</v>
      </c>
      <c r="CX31" s="60">
        <f t="shared" si="14"/>
        <v>510.04194874282507</v>
      </c>
      <c r="CY31" s="60">
        <f ca="1">AVERAGE(OFFSET($CX$3,0,0,'Données projet'!$E$13+1,1))-AVERAGE(OFFSET($H$3,0,0,'Données projet'!$E$13+1,1))</f>
        <v>376.96388721258387</v>
      </c>
      <c r="CZ31" s="60">
        <f t="shared" si="42"/>
        <v>211.14628470344377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8.0769230769230802</v>
      </c>
      <c r="DO31" s="13">
        <f>IF('Données projet'!$A$166&gt;35,DO30+DN31-DW30,IF(A31&lt;'Données projet'!$A$166,$DL$205^A31,IF(A31='Données projet'!$A$166,'Données projet'!$B$166,DO30+DN31-DW30)))</f>
        <v>133.20512820512823</v>
      </c>
      <c r="DP31" s="18">
        <f>DO31*VLOOKUP('Données projet'!$B$14,Paramètres!$A$1:$I$89,3,0)*VLOOKUP('Données projet'!$B$14,Paramètres!$A$1:$I$89,5,0)</f>
        <v>89.354000000000013</v>
      </c>
      <c r="DQ31" s="14">
        <f t="shared" si="43"/>
        <v>24.40936009026365</v>
      </c>
      <c r="DR31" s="22">
        <f t="shared" si="16"/>
        <v>198.13785215720918</v>
      </c>
      <c r="DS31" s="60">
        <f t="shared" si="17"/>
        <v>491.4711854905425</v>
      </c>
      <c r="DT31" s="60">
        <f ca="1">AVERAGE(OFFSET($DS$3,0,0,'Données projet'!$E$14+1,1))-AVERAGE(OFFSET($H$3,0,0,'Données projet'!$E$14+1,1))</f>
        <v>212.33913923444732</v>
      </c>
      <c r="DU31" s="60">
        <f t="shared" si="44"/>
        <v>183.51194426094372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0" t="e">
        <f t="shared" si="20"/>
        <v>#N/A</v>
      </c>
      <c r="EO31" s="60" t="e">
        <f ca="1">AVERAGE(OFFSET($EN$3,0,0,'Données projet'!$E$15+1,1))-AVERAGE(OFFSET($H$3,0,0,'Données projet'!$E$15+1,1))</f>
        <v>#N/A</v>
      </c>
      <c r="EP31" s="60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0" t="e">
        <f t="shared" si="23"/>
        <v>#N/A</v>
      </c>
      <c r="FJ31" s="60" t="e">
        <f ca="1">AVERAGE(OFFSET($FI$3,0,0,'Données projet'!$E$16+1,1))-AVERAGE(OFFSET($H$3,0,0,'Données projet'!$E$16+1,1))</f>
        <v>#N/A</v>
      </c>
      <c r="FK31" s="60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0" t="e">
        <f t="shared" si="26"/>
        <v>#N/A</v>
      </c>
      <c r="GE31" s="60" t="e">
        <f ca="1">AVERAGE(OFFSET($GD$3,0,0,'Données projet'!$E$17+1,1))-AVERAGE(OFFSET($H$3,0,0,'Données projet'!$E$17+1,1))</f>
        <v>#N/A</v>
      </c>
      <c r="GF31" s="60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0" t="e">
        <f t="shared" si="29"/>
        <v>#N/A</v>
      </c>
      <c r="GZ31" s="60" t="e">
        <f ca="1">AVERAGE(OFFSET($GY$3,0,0,'Données projet'!$E$18+1,1))-AVERAGE(OFFSET($H$3,0,0,'Données projet'!$E$18+1,1))</f>
        <v>#N/A</v>
      </c>
      <c r="HA31" s="60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5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2">
        <f t="shared" si="32"/>
        <v>5.2906661162322051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8">
        <f t="shared" si="1"/>
        <v>330.12546015243771</v>
      </c>
      <c r="I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3.4425641025641025</v>
      </c>
      <c r="N32" s="14">
        <f>IF('Données projet'!$A$36&gt;35,N31+M32-V31,IF(A32&lt;'Données projet'!$A$36,$K$205^A32,IF(A32='Données projet'!$A$36,'Données projet'!$B$36,N31+M32-V31)))</f>
        <v>88.485039179856727</v>
      </c>
      <c r="O32" s="14">
        <f>N32*VLOOKUP('Données projet'!$B$9,Paramètres!$A$1:$I$89,3,0)*VLOOKUP('Données projet'!$B$9,Paramètres!$A$1:$I$89,5,0)</f>
        <v>41.410998336172952</v>
      </c>
      <c r="P32" s="14">
        <f t="shared" si="33"/>
        <v>12.371874273168087</v>
      </c>
      <c r="Q32" s="22">
        <f t="shared" si="2"/>
        <v>93.671836461268967</v>
      </c>
      <c r="R32" s="60">
        <f t="shared" si="0"/>
        <v>387.0051697946023</v>
      </c>
      <c r="S32" s="60">
        <f ca="1">AVERAGE(OFFSET($R$3,0,0,'Données projet'!$E$9+1,1))-AVERAGE(OFFSET($H$3,0,0,'Données projet'!$E$9+1,1))</f>
        <v>146.40889017442277</v>
      </c>
      <c r="T32" s="60">
        <f t="shared" si="34"/>
        <v>70.859031694091868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9.1999999999999993</v>
      </c>
      <c r="AI32" s="14">
        <f>IF('Données projet'!$A$62&gt;35,AI31+AH32-AQ31,IF(A32&lt;'Données projet'!$A$62,$AF$205^A32,IF(A32='Données projet'!$A$62,'Données projet'!$B$62,AI31+AH32-AQ31)))</f>
        <v>111.80000000000003</v>
      </c>
      <c r="AJ32" s="14">
        <f>AI32*VLOOKUP('Données projet'!$B$10,Paramètres!$A$1:$I$89,3,0)*VLOOKUP('Données projet'!$B$10,Paramètres!$A$1:$I$89,5,0)</f>
        <v>101.15664000000001</v>
      </c>
      <c r="AK32" s="14">
        <f t="shared" si="35"/>
        <v>27.237366379381644</v>
      </c>
      <c r="AL32" s="22">
        <f t="shared" si="4"/>
        <v>223.61956111075639</v>
      </c>
      <c r="AM32" s="60">
        <f t="shared" si="5"/>
        <v>516.95289444408968</v>
      </c>
      <c r="AN32" s="60">
        <f ca="1">AVERAGE(OFFSET($AM$3,0,0,'Données projet'!$E$10+1,1))-AVERAGE(OFFSET($H$3,0,0,'Données projet'!$E$10+1,1))</f>
        <v>404.14319681142746</v>
      </c>
      <c r="AO32" s="60">
        <f t="shared" si="36"/>
        <v>203.5274665601915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7</v>
      </c>
      <c r="BD32" s="13">
        <f>IF('Données projet'!$A$88&gt;35,BD31+BC32-BL31,IF(A32&lt;'Données projet'!$A$88,$BA$205^A32,IF(A32='Données projet'!$A$88,'Données projet'!$B$88,BD31+BC32-BL31)))</f>
        <v>98</v>
      </c>
      <c r="BE32" s="14">
        <f>BD32*VLOOKUP('Données projet'!$B$11,Paramètres!$A$1:$I$89,3,0)*VLOOKUP('Données projet'!$B$11,Paramètres!$A$1:$I$89,5,0)</f>
        <v>99.372000000000014</v>
      </c>
      <c r="BF32" s="14">
        <f t="shared" si="37"/>
        <v>26.812330397327713</v>
      </c>
      <c r="BG32" s="22">
        <f t="shared" si="7"/>
        <v>219.7710421086791</v>
      </c>
      <c r="BH32" s="60">
        <f t="shared" si="8"/>
        <v>513.10437544201238</v>
      </c>
      <c r="BI32" s="60">
        <f ca="1">AVERAGE(OFFSET($BH$3,0,0,'Données projet'!$E$11+1,1))-AVERAGE(OFFSET($H$3,0,0,'Données projet'!$E$11+1,1))</f>
        <v>350.3652766444938</v>
      </c>
      <c r="BJ32" s="60">
        <f t="shared" si="38"/>
        <v>197.04549436738586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7</v>
      </c>
      <c r="BY32" s="13">
        <f>IF('Données projet'!$A$114&gt;35,BY31+BX32-CG31,IF(A32&lt;'Données projet'!$A$114,$BV$205^A32,IF(A32='Données projet'!$A$114,'Données projet'!$B$114,BY31+BX32-CG31)))</f>
        <v>98</v>
      </c>
      <c r="BZ32" s="14">
        <f>BY32*VLOOKUP('Données projet'!$B$12,Paramètres!$A$1:$I$89,3,0)*VLOOKUP('Données projet'!$B$12,Paramètres!$A$1:$I$89,5,0)</f>
        <v>94.785600000000002</v>
      </c>
      <c r="CA32" s="14">
        <f t="shared" si="39"/>
        <v>25.715893428674526</v>
      </c>
      <c r="CB32" s="22">
        <f t="shared" si="10"/>
        <v>209.87343438827483</v>
      </c>
      <c r="CC32" s="60">
        <f t="shared" si="11"/>
        <v>503.20676772160812</v>
      </c>
      <c r="CD32" s="60">
        <f ca="1">AVERAGE(OFFSET($CC$3,0,0,'Données projet'!$E$12+1,1))-AVERAGE(OFFSET($H$3,0,0,'Données projet'!$E$12+1,1))</f>
        <v>330.39429528665841</v>
      </c>
      <c r="CE32" s="60">
        <f t="shared" si="40"/>
        <v>186.45728006007261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7</v>
      </c>
      <c r="CT32" s="13">
        <f>IF('Données projet'!$A$140&gt;35,CT31+CS32-DB31,IF(A32&lt;'Données projet'!$A$140,$CQ$205^A32,IF(A32='Données projet'!$A$140,'Données projet'!$B$140,CT31+CS32-DB31)))</f>
        <v>98</v>
      </c>
      <c r="CU32" s="18">
        <f>CT32*VLOOKUP('Données projet'!$B$13,Paramètres!$A$1:$I$89,3,0)*VLOOKUP('Données projet'!$B$13,Paramètres!$A$1:$I$89,5,0)</f>
        <v>105.48719999999999</v>
      </c>
      <c r="CV32" s="14">
        <f t="shared" si="41"/>
        <v>28.265155367923839</v>
      </c>
      <c r="CW32" s="22">
        <f t="shared" si="13"/>
        <v>232.95201893246733</v>
      </c>
      <c r="CX32" s="60">
        <f t="shared" si="14"/>
        <v>526.28535226580061</v>
      </c>
      <c r="CY32" s="60">
        <f ca="1">AVERAGE(OFFSET($CX$3,0,0,'Données projet'!$E$13+1,1))-AVERAGE(OFFSET($H$3,0,0,'Données projet'!$E$13+1,1))</f>
        <v>376.96388721258387</v>
      </c>
      <c r="CZ32" s="60">
        <f t="shared" si="42"/>
        <v>211.14628470344377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8.0769230769230802</v>
      </c>
      <c r="DO32" s="13">
        <f>IF('Données projet'!$A$166&gt;35,DO31+DN32-DW31,IF(A32&lt;'Données projet'!$A$166,$DL$205^A32,IF(A32='Données projet'!$A$166,'Données projet'!$B$166,DO31+DN32-DW31)))</f>
        <v>141.28205128205133</v>
      </c>
      <c r="DP32" s="18">
        <f>DO32*VLOOKUP('Données projet'!$B$14,Paramètres!$A$1:$I$89,3,0)*VLOOKUP('Données projet'!$B$14,Paramètres!$A$1:$I$89,5,0)</f>
        <v>94.772000000000034</v>
      </c>
      <c r="DQ32" s="14">
        <f t="shared" si="43"/>
        <v>25.712633129183839</v>
      </c>
      <c r="DR32" s="22">
        <f t="shared" si="16"/>
        <v>209.8440693666619</v>
      </c>
      <c r="DS32" s="60">
        <f t="shared" si="17"/>
        <v>503.17740269999524</v>
      </c>
      <c r="DT32" s="60">
        <f ca="1">AVERAGE(OFFSET($DS$3,0,0,'Données projet'!$E$14+1,1))-AVERAGE(OFFSET($H$3,0,0,'Données projet'!$E$14+1,1))</f>
        <v>212.33913923444732</v>
      </c>
      <c r="DU32" s="60">
        <f t="shared" si="44"/>
        <v>183.51194426094372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0" t="e">
        <f t="shared" si="20"/>
        <v>#N/A</v>
      </c>
      <c r="EO32" s="60" t="e">
        <f ca="1">AVERAGE(OFFSET($EN$3,0,0,'Données projet'!$E$15+1,1))-AVERAGE(OFFSET($H$3,0,0,'Données projet'!$E$15+1,1))</f>
        <v>#N/A</v>
      </c>
      <c r="EP32" s="60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0" t="e">
        <f t="shared" si="23"/>
        <v>#N/A</v>
      </c>
      <c r="FJ32" s="60" t="e">
        <f ca="1">AVERAGE(OFFSET($FI$3,0,0,'Données projet'!$E$16+1,1))-AVERAGE(OFFSET($H$3,0,0,'Données projet'!$E$16+1,1))</f>
        <v>#N/A</v>
      </c>
      <c r="FK32" s="60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0" t="e">
        <f t="shared" si="26"/>
        <v>#N/A</v>
      </c>
      <c r="GE32" s="60" t="e">
        <f ca="1">AVERAGE(OFFSET($GD$3,0,0,'Données projet'!$E$17+1,1))-AVERAGE(OFFSET($H$3,0,0,'Données projet'!$E$17+1,1))</f>
        <v>#N/A</v>
      </c>
      <c r="GF32" s="60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0" t="e">
        <f t="shared" si="29"/>
        <v>#N/A</v>
      </c>
      <c r="GZ32" s="60" t="e">
        <f ca="1">AVERAGE(OFFSET($GY$3,0,0,'Données projet'!$E$18+1,1))-AVERAGE(OFFSET($H$3,0,0,'Données projet'!$E$18+1,1))</f>
        <v>#N/A</v>
      </c>
      <c r="HA32" s="60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5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2">
        <f t="shared" si="32"/>
        <v>5.4515478029518807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8">
        <f t="shared" si="1"/>
        <v>331.35661242347447</v>
      </c>
      <c r="I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103.27692307692307</v>
      </c>
      <c r="L33" s="13">
        <f>VLOOKUP(A33,'Données projet'!$A$35:$I$55,9,0)</f>
        <v>3.4425641025641025</v>
      </c>
      <c r="M33" s="13">
        <f t="array" ref="M33">INDEX(L:L,MIN(IF(ISNUMBER(L33:L229),ROW(L33:L229),"")))</f>
        <v>3.4425641025641025</v>
      </c>
      <c r="N33" s="14">
        <f>IF('Données projet'!$A$36&gt;35,N32+M33-V32,IF(A33&lt;'Données projet'!$A$36,$K$205^A33,IF(A33='Données projet'!$A$36,'Données projet'!$B$36,N32+M33-V32)))</f>
        <v>103.27692307692307</v>
      </c>
      <c r="O33" s="14">
        <f>N33*VLOOKUP('Données projet'!$B$9,Paramètres!$A$1:$I$89,3,0)*VLOOKUP('Données projet'!$B$9,Paramètres!$A$1:$I$89,5,0)</f>
        <v>48.333599999999997</v>
      </c>
      <c r="P33" s="14">
        <f t="shared" si="33"/>
        <v>14.182559301951969</v>
      </c>
      <c r="Q33" s="22">
        <f t="shared" si="2"/>
        <v>108.88231078423301</v>
      </c>
      <c r="R33" s="60">
        <f t="shared" si="0"/>
        <v>402.21564411756634</v>
      </c>
      <c r="S33" s="60">
        <f ca="1">AVERAGE(OFFSET($R$3,0,0,'Données projet'!$E$9+1,1))-AVERAGE(OFFSET($H$3,0,0,'Données projet'!$E$9+1,1))</f>
        <v>146.40889017442277</v>
      </c>
      <c r="T33" s="60">
        <f t="shared" si="34"/>
        <v>70.859031694091868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121</v>
      </c>
      <c r="AG33" s="13">
        <f>VLOOKUP(A33,'Données projet'!$A$61:$I$81,9,0)</f>
        <v>9.1999999999999993</v>
      </c>
      <c r="AH33" s="13">
        <f t="array" ref="AH33">INDEX(AG:AG,MIN(IF(ISNUMBER(AG33:AG229),ROW(AG33:AG229),"")))</f>
        <v>9.1999999999999993</v>
      </c>
      <c r="AI33" s="14">
        <f>IF('Données projet'!$A$62&gt;35,AI32+AH33-AQ32,IF(A33&lt;'Données projet'!$A$62,$AF$205^A33,IF(A33='Données projet'!$A$62,'Données projet'!$B$62,AI32+AH33-AQ32)))</f>
        <v>121.00000000000003</v>
      </c>
      <c r="AJ33" s="14">
        <f>AI33*VLOOKUP('Données projet'!$B$10,Paramètres!$A$1:$I$89,3,0)*VLOOKUP('Données projet'!$B$10,Paramètres!$A$1:$I$89,5,0)</f>
        <v>109.48080000000002</v>
      </c>
      <c r="AK33" s="14">
        <f t="shared" si="35"/>
        <v>29.208623339903898</v>
      </c>
      <c r="AL33" s="22">
        <f t="shared" si="4"/>
        <v>241.55074565033269</v>
      </c>
      <c r="AM33" s="60">
        <f t="shared" si="5"/>
        <v>534.88407898366597</v>
      </c>
      <c r="AN33" s="60">
        <f ca="1">AVERAGE(OFFSET($AM$3,0,0,'Données projet'!$E$10+1,1))-AVERAGE(OFFSET($H$3,0,0,'Données projet'!$E$10+1,1))</f>
        <v>404.14319681142746</v>
      </c>
      <c r="AO33" s="60">
        <f t="shared" si="36"/>
        <v>203.5274665601915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105</v>
      </c>
      <c r="BB33" s="13">
        <f>VLOOKUP(A33,'Données projet'!$A$87:$I$107,9,0)</f>
        <v>7</v>
      </c>
      <c r="BC33" s="13">
        <f t="array" ref="BC33">INDEX(BB:BB,MIN(IF(ISNUMBER(BB33:BB229),ROW(BB33:BB229),"")))</f>
        <v>7</v>
      </c>
      <c r="BD33" s="13">
        <f>IF('Données projet'!$A$88&gt;35,BD32+BC33-BL32,IF(A33&lt;'Données projet'!$A$88,$BA$205^A33,IF(A33='Données projet'!$A$88,'Données projet'!$B$88,BD32+BC33-BL32)))</f>
        <v>105</v>
      </c>
      <c r="BE33" s="14">
        <f>BD33*VLOOKUP('Données projet'!$B$11,Paramètres!$A$1:$I$89,3,0)*VLOOKUP('Données projet'!$B$11,Paramètres!$A$1:$I$89,5,0)</f>
        <v>106.47</v>
      </c>
      <c r="BF33" s="14">
        <f t="shared" si="37"/>
        <v>28.49771681771891</v>
      </c>
      <c r="BG33" s="22">
        <f t="shared" si="7"/>
        <v>235.06877345752704</v>
      </c>
      <c r="BH33" s="60">
        <f t="shared" si="8"/>
        <v>528.40210679086033</v>
      </c>
      <c r="BI33" s="60">
        <f ca="1">AVERAGE(OFFSET($BH$3,0,0,'Données projet'!$E$11+1,1))-AVERAGE(OFFSET($H$3,0,0,'Données projet'!$E$11+1,1))</f>
        <v>350.3652766444938</v>
      </c>
      <c r="BJ33" s="60">
        <f t="shared" si="38"/>
        <v>197.04549436738586</v>
      </c>
      <c r="BK33" s="16">
        <f>IF(ISNA(VLOOKUP(A33,'Données projet'!$A$87:$I$107,3,0)),0,VLOOKUP(A33,'Données projet'!$A$87:$I$107,3,0))</f>
        <v>1</v>
      </c>
      <c r="BL33" s="16">
        <f>IF(ISNA(VLOOKUP(A33,'Données projet'!$A$87:$I$107,4,0)),0,VLOOKUP(A33,'Données projet'!$A$87:$I$107,4,0))</f>
        <v>29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105</v>
      </c>
      <c r="BW33" s="13">
        <f>VLOOKUP(A33,'Données projet'!$A$113:$I$133,9,0)</f>
        <v>7</v>
      </c>
      <c r="BX33" s="13">
        <f t="array" ref="BX33">INDEX(BW:BW,MIN(IF(ISNUMBER(BW33:BW229),ROW(BW33:BW229),"")))</f>
        <v>7</v>
      </c>
      <c r="BY33" s="13">
        <f>IF('Données projet'!$A$114&gt;35,BY32+BX33-CG32,IF(A33&lt;'Données projet'!$A$114,$BV$205^A33,IF(A33='Données projet'!$A$114,'Données projet'!$B$114,BY32+BX33-CG32)))</f>
        <v>105</v>
      </c>
      <c r="BZ33" s="14">
        <f>BY33*VLOOKUP('Données projet'!$B$12,Paramètres!$A$1:$I$89,3,0)*VLOOKUP('Données projet'!$B$12,Paramètres!$A$1:$I$89,5,0)</f>
        <v>101.556</v>
      </c>
      <c r="CA33" s="14">
        <f t="shared" si="39"/>
        <v>27.332359320696909</v>
      </c>
      <c r="CB33" s="22">
        <f t="shared" si="10"/>
        <v>224.48055915021379</v>
      </c>
      <c r="CC33" s="60">
        <f t="shared" si="11"/>
        <v>517.81389248354708</v>
      </c>
      <c r="CD33" s="60">
        <f ca="1">AVERAGE(OFFSET($CC$3,0,0,'Données projet'!$E$12+1,1))-AVERAGE(OFFSET($H$3,0,0,'Données projet'!$E$12+1,1))</f>
        <v>330.39429528665841</v>
      </c>
      <c r="CE33" s="60">
        <f t="shared" si="40"/>
        <v>186.45728006007261</v>
      </c>
      <c r="CF33" s="16">
        <f>IF(ISNA(VLOOKUP(A33,'Données projet'!$A$113:$I$133,3,0)),0,VLOOKUP(A33,'Données projet'!$A$113:$I$133,3,0))</f>
        <v>1</v>
      </c>
      <c r="CG33" s="16">
        <f>IF(ISNA(VLOOKUP(A33,'Données projet'!$A$113:$I$133,4,0)),0,VLOOKUP(A33,'Données projet'!$A$113:$I$133,4,0))</f>
        <v>29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105</v>
      </c>
      <c r="CR33" s="13">
        <f>VLOOKUP(A33,'Données projet'!$A$139:$I$159,9,0)</f>
        <v>7</v>
      </c>
      <c r="CS33" s="13">
        <f t="array" ref="CS33">INDEX(CR:CR,MIN(IF(ISNUMBER(CR33:CR229),ROW(CR33:CR229),"")))</f>
        <v>7</v>
      </c>
      <c r="CT33" s="13">
        <f>IF('Données projet'!$A$140&gt;35,CT32+CS33-DB32,IF(A33&lt;'Données projet'!$A$140,$CQ$205^A33,IF(A33='Données projet'!$A$140,'Données projet'!$B$140,CT32+CS33-DB32)))</f>
        <v>105</v>
      </c>
      <c r="CU33" s="18">
        <f>CT33*VLOOKUP('Données projet'!$B$13,Paramètres!$A$1:$I$89,3,0)*VLOOKUP('Données projet'!$B$13,Paramètres!$A$1:$I$89,5,0)</f>
        <v>113.02199999999999</v>
      </c>
      <c r="CV33" s="14">
        <f t="shared" si="41"/>
        <v>30.041864379091852</v>
      </c>
      <c r="CW33" s="22">
        <f t="shared" si="13"/>
        <v>249.16956379358496</v>
      </c>
      <c r="CX33" s="60">
        <f t="shared" si="14"/>
        <v>542.50289712691824</v>
      </c>
      <c r="CY33" s="60">
        <f ca="1">AVERAGE(OFFSET($CX$3,0,0,'Données projet'!$E$13+1,1))-AVERAGE(OFFSET($H$3,0,0,'Données projet'!$E$13+1,1))</f>
        <v>376.96388721258387</v>
      </c>
      <c r="CZ33" s="60">
        <f t="shared" si="42"/>
        <v>211.14628470344377</v>
      </c>
      <c r="DA33" s="16">
        <f>IF(ISNA(VLOOKUP(A33,'Données projet'!$A$139:$I$159,3,0)),0,VLOOKUP(A33,'Données projet'!$A$139:$I$159,3,0))</f>
        <v>1</v>
      </c>
      <c r="DB33" s="16">
        <f>IF(ISNA(VLOOKUP(A33,'Données projet'!$A$139:$I$159,4,0)),0,VLOOKUP(A33,'Données projet'!$A$139:$I$159,4,0))</f>
        <v>29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149.35897435897436</v>
      </c>
      <c r="DM33" s="13">
        <f>VLOOKUP(A33,'Données projet'!$A$165:$I$185,9,0)</f>
        <v>8.0769230769230802</v>
      </c>
      <c r="DN33" s="13">
        <f t="array" ref="DN33">INDEX(DM:DM,MIN(IF(ISNUMBER(DM33:DM229),ROW(DM33:DM229),"")))</f>
        <v>8.0769230769230802</v>
      </c>
      <c r="DO33" s="13">
        <f>IF('Données projet'!$A$166&gt;35,DO32+DN33-DW32,IF(A33&lt;'Données projet'!$A$166,$DL$205^A33,IF(A33='Données projet'!$A$166,'Données projet'!$B$166,DO32+DN33-DW32)))</f>
        <v>149.35897435897442</v>
      </c>
      <c r="DP33" s="18">
        <f>DO33*VLOOKUP('Données projet'!$B$14,Paramètres!$A$1:$I$89,3,0)*VLOOKUP('Données projet'!$B$14,Paramètres!$A$1:$I$89,5,0)</f>
        <v>100.19000000000005</v>
      </c>
      <c r="DQ33" s="14">
        <f t="shared" si="43"/>
        <v>27.007257426460161</v>
      </c>
      <c r="DR33" s="22">
        <f t="shared" si="16"/>
        <v>221.53522335108485</v>
      </c>
      <c r="DS33" s="60">
        <f t="shared" si="17"/>
        <v>514.86855668441819</v>
      </c>
      <c r="DT33" s="60">
        <f ca="1">AVERAGE(OFFSET($DS$3,0,0,'Données projet'!$E$14+1,1))-AVERAGE(OFFSET($H$3,0,0,'Données projet'!$E$14+1,1))</f>
        <v>212.33913923444732</v>
      </c>
      <c r="DU33" s="60">
        <f t="shared" si="44"/>
        <v>183.51194426094372</v>
      </c>
      <c r="DV33" s="16">
        <f>IF(ISNA(VLOOKUP(A33,'Données projet'!$A$165:$I$185,3,0)),0,VLOOKUP(A33,'Données projet'!$A$165:$I$185,3,0))</f>
        <v>2</v>
      </c>
      <c r="DW33" s="16">
        <f>IF(ISNA(VLOOKUP(A33,'Données projet'!$A$165:$I$185,4,0)),0,VLOOKUP(A33,'Données projet'!$A$165:$I$185,4,0))</f>
        <v>32.692307692307693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0" t="e">
        <f t="shared" si="20"/>
        <v>#N/A</v>
      </c>
      <c r="EO33" s="60" t="e">
        <f ca="1">AVERAGE(OFFSET($EN$3,0,0,'Données projet'!$E$15+1,1))-AVERAGE(OFFSET($H$3,0,0,'Données projet'!$E$15+1,1))</f>
        <v>#N/A</v>
      </c>
      <c r="EP33" s="60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0" t="e">
        <f t="shared" si="23"/>
        <v>#N/A</v>
      </c>
      <c r="FJ33" s="60" t="e">
        <f ca="1">AVERAGE(OFFSET($FI$3,0,0,'Données projet'!$E$16+1,1))-AVERAGE(OFFSET($H$3,0,0,'Données projet'!$E$16+1,1))</f>
        <v>#N/A</v>
      </c>
      <c r="FK33" s="60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0" t="e">
        <f t="shared" si="26"/>
        <v>#N/A</v>
      </c>
      <c r="GE33" s="60" t="e">
        <f ca="1">AVERAGE(OFFSET($GD$3,0,0,'Données projet'!$E$17+1,1))-AVERAGE(OFFSET($H$3,0,0,'Données projet'!$E$17+1,1))</f>
        <v>#N/A</v>
      </c>
      <c r="GF33" s="60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0" t="e">
        <f t="shared" si="29"/>
        <v>#N/A</v>
      </c>
      <c r="GZ33" s="60" t="e">
        <f ca="1">AVERAGE(OFFSET($GY$3,0,0,'Données projet'!$E$18+1,1))-AVERAGE(OFFSET($H$3,0,0,'Données projet'!$E$18+1,1))</f>
        <v>#N/A</v>
      </c>
      <c r="HA33" s="60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5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2">
        <f t="shared" si="32"/>
        <v>5.6118063562438518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8">
        <f t="shared" si="1"/>
        <v>332.58667940379132</v>
      </c>
      <c r="I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8.9230769230769198</v>
      </c>
      <c r="N34" s="14">
        <f>IF('Données projet'!$A$36&gt;35,N33+M34-V33,IF(A34&lt;'Données projet'!$A$36,$K$205^A34,IF(A34='Données projet'!$A$36,'Données projet'!$B$36,N33+M34-V33)))</f>
        <v>112.19999999999999</v>
      </c>
      <c r="O34" s="14">
        <f>N34*VLOOKUP('Données projet'!$B$9,Paramètres!$A$1:$I$89,3,0)*VLOOKUP('Données projet'!$B$9,Paramètres!$A$1:$I$89,5,0)</f>
        <v>52.509599999999999</v>
      </c>
      <c r="P34" s="14">
        <f t="shared" si="33"/>
        <v>15.260016001659478</v>
      </c>
      <c r="Q34" s="22">
        <f t="shared" si="2"/>
        <v>118.03208120289025</v>
      </c>
      <c r="R34" s="60">
        <f t="shared" si="0"/>
        <v>411.36541453622357</v>
      </c>
      <c r="S34" s="60">
        <f ca="1">AVERAGE(OFFSET($R$3,0,0,'Données projet'!$E$9+1,1))-AVERAGE(OFFSET($H$3,0,0,'Données projet'!$E$9+1,1))</f>
        <v>146.40889017442277</v>
      </c>
      <c r="T34" s="60">
        <f t="shared" si="34"/>
        <v>70.859031694091868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10.8</v>
      </c>
      <c r="AI34" s="14">
        <f>IF('Données projet'!$A$62&gt;35,AI33+AH34-AQ33,IF(A34&lt;'Données projet'!$A$62,$AF$205^A34,IF(A34='Données projet'!$A$62,'Données projet'!$B$62,AI33+AH34-AQ33)))</f>
        <v>131.80000000000004</v>
      </c>
      <c r="AJ34" s="14">
        <f>AI34*VLOOKUP('Données projet'!$B$10,Paramètres!$A$1:$I$89,3,0)*VLOOKUP('Données projet'!$B$10,Paramètres!$A$1:$I$89,5,0)</f>
        <v>119.25264000000003</v>
      </c>
      <c r="AK34" s="14">
        <f t="shared" si="35"/>
        <v>31.500626518374375</v>
      </c>
      <c r="AL34" s="22">
        <f t="shared" si="4"/>
        <v>262.56193918616879</v>
      </c>
      <c r="AM34" s="60">
        <f t="shared" si="5"/>
        <v>555.8952725195021</v>
      </c>
      <c r="AN34" s="60">
        <f ca="1">AVERAGE(OFFSET($AM$3,0,0,'Données projet'!$E$10+1,1))-AVERAGE(OFFSET($H$3,0,0,'Données projet'!$E$10+1,1))</f>
        <v>404.14319681142746</v>
      </c>
      <c r="AO34" s="60">
        <f t="shared" si="36"/>
        <v>203.5274665601915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8</v>
      </c>
      <c r="BD34" s="13">
        <f>IF('Données projet'!$A$88&gt;35,BD33+BC34-BL33,IF(A34&lt;'Données projet'!$A$88,$BA$205^A34,IF(A34='Données projet'!$A$88,'Données projet'!$B$88,BD33+BC34-BL33)))</f>
        <v>84</v>
      </c>
      <c r="BE34" s="14">
        <f>BD34*VLOOKUP('Données projet'!$B$11,Paramètres!$A$1:$I$89,3,0)*VLOOKUP('Données projet'!$B$11,Paramètres!$A$1:$I$89,5,0)</f>
        <v>85.176000000000002</v>
      </c>
      <c r="BF34" s="14">
        <f t="shared" si="37"/>
        <v>23.398088487656441</v>
      </c>
      <c r="BG34" s="22">
        <f t="shared" si="7"/>
        <v>189.09987078266829</v>
      </c>
      <c r="BH34" s="60">
        <f t="shared" si="8"/>
        <v>482.4332041160016</v>
      </c>
      <c r="BI34" s="60">
        <f ca="1">AVERAGE(OFFSET($BH$3,0,0,'Données projet'!$E$11+1,1))-AVERAGE(OFFSET($H$3,0,0,'Données projet'!$E$11+1,1))</f>
        <v>350.3652766444938</v>
      </c>
      <c r="BJ34" s="60">
        <f t="shared" si="38"/>
        <v>197.04549436738586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8</v>
      </c>
      <c r="BY34" s="13">
        <f>IF('Données projet'!$A$114&gt;35,BY33+BX34-CG33,IF(A34&lt;'Données projet'!$A$114,$BV$205^A34,IF(A34='Données projet'!$A$114,'Données projet'!$B$114,BY33+BX34-CG33)))</f>
        <v>84</v>
      </c>
      <c r="BZ34" s="14">
        <f>BY34*VLOOKUP('Données projet'!$B$12,Paramètres!$A$1:$I$89,3,0)*VLOOKUP('Données projet'!$B$12,Paramètres!$A$1:$I$89,5,0)</f>
        <v>81.244799999999998</v>
      </c>
      <c r="CA34" s="14">
        <f t="shared" si="39"/>
        <v>22.441270156928962</v>
      </c>
      <c r="CB34" s="22">
        <f t="shared" si="10"/>
        <v>180.58657218998462</v>
      </c>
      <c r="CC34" s="60">
        <f t="shared" si="11"/>
        <v>473.91990552331794</v>
      </c>
      <c r="CD34" s="60">
        <f ca="1">AVERAGE(OFFSET($CC$3,0,0,'Données projet'!$E$12+1,1))-AVERAGE(OFFSET($H$3,0,0,'Données projet'!$E$12+1,1))</f>
        <v>330.39429528665841</v>
      </c>
      <c r="CE34" s="60">
        <f t="shared" si="40"/>
        <v>186.45728006007261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8</v>
      </c>
      <c r="CT34" s="13">
        <f>IF('Données projet'!$A$140&gt;35,CT33+CS34-DB33,IF(A34&lt;'Données projet'!$A$140,$CQ$205^A34,IF(A34='Données projet'!$A$140,'Données projet'!$B$140,CT33+CS34-DB33)))</f>
        <v>84</v>
      </c>
      <c r="CU34" s="18">
        <f>CT34*VLOOKUP('Données projet'!$B$13,Paramètres!$A$1:$I$89,3,0)*VLOOKUP('Données projet'!$B$13,Paramètres!$A$1:$I$89,5,0)</f>
        <v>90.417599999999993</v>
      </c>
      <c r="CV34" s="14">
        <f t="shared" si="41"/>
        <v>24.665912907068826</v>
      </c>
      <c r="CW34" s="22">
        <f t="shared" si="13"/>
        <v>200.43711831314488</v>
      </c>
      <c r="CX34" s="60">
        <f t="shared" si="14"/>
        <v>493.77045164647819</v>
      </c>
      <c r="CY34" s="60">
        <f ca="1">AVERAGE(OFFSET($CX$3,0,0,'Données projet'!$E$13+1,1))-AVERAGE(OFFSET($H$3,0,0,'Données projet'!$E$13+1,1))</f>
        <v>376.96388721258387</v>
      </c>
      <c r="CZ34" s="60">
        <f t="shared" si="42"/>
        <v>211.14628470344377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7.6923076923076881</v>
      </c>
      <c r="DO34" s="13">
        <f>IF('Données projet'!$A$166&gt;35,DO33+DN34-DW33,IF(A34&lt;'Données projet'!$A$166,$DL$205^A34,IF(A34='Données projet'!$A$166,'Données projet'!$B$166,DO33+DN34-DW33)))</f>
        <v>124.35897435897441</v>
      </c>
      <c r="DP34" s="18">
        <f>DO34*VLOOKUP('Données projet'!$B$14,Paramètres!$A$1:$I$89,3,0)*VLOOKUP('Données projet'!$B$14,Paramètres!$A$1:$I$89,5,0)</f>
        <v>83.42000000000003</v>
      </c>
      <c r="DQ34" s="14">
        <f t="shared" si="43"/>
        <v>22.971343750654679</v>
      </c>
      <c r="DR34" s="22">
        <f t="shared" si="16"/>
        <v>185.2982570323903</v>
      </c>
      <c r="DS34" s="60">
        <f t="shared" si="17"/>
        <v>478.63159036572358</v>
      </c>
      <c r="DT34" s="60">
        <f ca="1">AVERAGE(OFFSET($DS$3,0,0,'Données projet'!$E$14+1,1))-AVERAGE(OFFSET($H$3,0,0,'Données projet'!$E$14+1,1))</f>
        <v>212.33913923444732</v>
      </c>
      <c r="DU34" s="60">
        <f t="shared" si="44"/>
        <v>183.51194426094372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0" t="e">
        <f t="shared" si="20"/>
        <v>#N/A</v>
      </c>
      <c r="EO34" s="60" t="e">
        <f ca="1">AVERAGE(OFFSET($EN$3,0,0,'Données projet'!$E$15+1,1))-AVERAGE(OFFSET($H$3,0,0,'Données projet'!$E$15+1,1))</f>
        <v>#N/A</v>
      </c>
      <c r="EP34" s="60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0" t="e">
        <f t="shared" si="23"/>
        <v>#N/A</v>
      </c>
      <c r="FJ34" s="60" t="e">
        <f ca="1">AVERAGE(OFFSET($FI$3,0,0,'Données projet'!$E$16+1,1))-AVERAGE(OFFSET($H$3,0,0,'Données projet'!$E$16+1,1))</f>
        <v>#N/A</v>
      </c>
      <c r="FK34" s="60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0" t="e">
        <f t="shared" si="26"/>
        <v>#N/A</v>
      </c>
      <c r="GE34" s="60" t="e">
        <f ca="1">AVERAGE(OFFSET($GD$3,0,0,'Données projet'!$E$17+1,1))-AVERAGE(OFFSET($H$3,0,0,'Données projet'!$E$17+1,1))</f>
        <v>#N/A</v>
      </c>
      <c r="GF34" s="60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0" t="e">
        <f t="shared" si="29"/>
        <v>#N/A</v>
      </c>
      <c r="GZ34" s="60" t="e">
        <f ca="1">AVERAGE(OFFSET($GY$3,0,0,'Données projet'!$E$18+1,1))-AVERAGE(OFFSET($H$3,0,0,'Données projet'!$E$18+1,1))</f>
        <v>#N/A</v>
      </c>
      <c r="HA34" s="60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5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2">
        <f t="shared" si="32"/>
        <v>5.7714641827626956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8">
        <f t="shared" si="1"/>
        <v>333.81570011831167</v>
      </c>
      <c r="I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8.9230769230769198</v>
      </c>
      <c r="N35" s="14">
        <f>IF('Données projet'!$A$36&gt;35,N34+M35-V34,IF(A35&lt;'Données projet'!$A$36,$K$205^A35,IF(A35='Données projet'!$A$36,'Données projet'!$B$36,N34+M35-V34)))</f>
        <v>121.12307692307691</v>
      </c>
      <c r="O35" s="14">
        <f>N35*VLOOKUP('Données projet'!$B$9,Paramètres!$A$1:$I$89,3,0)*VLOOKUP('Données projet'!$B$9,Paramètres!$A$1:$I$89,5,0)</f>
        <v>56.685599999999994</v>
      </c>
      <c r="P35" s="14">
        <f t="shared" si="33"/>
        <v>16.327533552386551</v>
      </c>
      <c r="Q35" s="22">
        <f t="shared" ref="Q35:Q66" si="53">(O35+P35)*0.475*44/12</f>
        <v>127.16454093707324</v>
      </c>
      <c r="R35" s="60">
        <f t="shared" si="0"/>
        <v>420.49787427040656</v>
      </c>
      <c r="S35" s="60">
        <f ca="1">AVERAGE(OFFSET($R$3,0,0,'Données projet'!$E$9+1,1))-AVERAGE(OFFSET($H$3,0,0,'Données projet'!$E$9+1,1))</f>
        <v>146.40889017442277</v>
      </c>
      <c r="T35" s="60">
        <f t="shared" si="34"/>
        <v>70.859031694091868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10.8</v>
      </c>
      <c r="AI35" s="14">
        <f>IF('Données projet'!$A$62&gt;35,AI34+AH35-AQ34,IF(A35&lt;'Données projet'!$A$62,$AF$205^A35,IF(A35='Données projet'!$A$62,'Données projet'!$B$62,AI34+AH35-AQ34)))</f>
        <v>142.60000000000005</v>
      </c>
      <c r="AJ35" s="14">
        <f>AI35*VLOOKUP('Données projet'!$B$10,Paramètres!$A$1:$I$89,3,0)*VLOOKUP('Données projet'!$B$10,Paramètres!$A$1:$I$89,5,0)</f>
        <v>129.02448000000004</v>
      </c>
      <c r="AK35" s="14">
        <f t="shared" si="35"/>
        <v>33.770846580616279</v>
      </c>
      <c r="AL35" s="22">
        <f t="shared" si="4"/>
        <v>283.53519379457339</v>
      </c>
      <c r="AM35" s="60">
        <f t="shared" si="5"/>
        <v>576.86852712790665</v>
      </c>
      <c r="AN35" s="60">
        <f ca="1">AVERAGE(OFFSET($AM$3,0,0,'Données projet'!$E$10+1,1))-AVERAGE(OFFSET($H$3,0,0,'Données projet'!$E$10+1,1))</f>
        <v>404.14319681142746</v>
      </c>
      <c r="AO35" s="60">
        <f t="shared" si="36"/>
        <v>203.5274665601915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8</v>
      </c>
      <c r="BD35" s="13">
        <f>IF('Données projet'!$A$88&gt;35,BD34+BC35-BL34,IF(A35&lt;'Données projet'!$A$88,$BA$205^A35,IF(A35='Données projet'!$A$88,'Données projet'!$B$88,BD34+BC35-BL34)))</f>
        <v>92</v>
      </c>
      <c r="BE35" s="14">
        <f>BD35*VLOOKUP('Données projet'!$B$11,Paramètres!$A$1:$I$89,3,0)*VLOOKUP('Données projet'!$B$11,Paramètres!$A$1:$I$89,5,0)</f>
        <v>93.288000000000011</v>
      </c>
      <c r="BF35" s="14">
        <f t="shared" si="37"/>
        <v>25.356547829040977</v>
      </c>
      <c r="BG35" s="22">
        <f t="shared" si="7"/>
        <v>206.63925413557971</v>
      </c>
      <c r="BH35" s="60">
        <f t="shared" si="8"/>
        <v>499.97258746891305</v>
      </c>
      <c r="BI35" s="60">
        <f ca="1">AVERAGE(OFFSET($BH$3,0,0,'Données projet'!$E$11+1,1))-AVERAGE(OFFSET($H$3,0,0,'Données projet'!$E$11+1,1))</f>
        <v>350.3652766444938</v>
      </c>
      <c r="BJ35" s="60">
        <f t="shared" si="38"/>
        <v>197.04549436738586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8</v>
      </c>
      <c r="BY35" s="13">
        <f>IF('Données projet'!$A$114&gt;35,BY34+BX35-CG34,IF(A35&lt;'Données projet'!$A$114,$BV$205^A35,IF(A35='Données projet'!$A$114,'Données projet'!$B$114,BY34+BX35-CG34)))</f>
        <v>92</v>
      </c>
      <c r="BZ35" s="14">
        <f>BY35*VLOOKUP('Données projet'!$B$12,Paramètres!$A$1:$I$89,3,0)*VLOOKUP('Données projet'!$B$12,Paramètres!$A$1:$I$89,5,0)</f>
        <v>88.982399999999998</v>
      </c>
      <c r="CA35" s="14">
        <f t="shared" si="39"/>
        <v>24.31964219550628</v>
      </c>
      <c r="CB35" s="22">
        <f t="shared" si="10"/>
        <v>197.3343901571734</v>
      </c>
      <c r="CC35" s="60">
        <f t="shared" si="11"/>
        <v>490.66772349050672</v>
      </c>
      <c r="CD35" s="60">
        <f ca="1">AVERAGE(OFFSET($CC$3,0,0,'Données projet'!$E$12+1,1))-AVERAGE(OFFSET($H$3,0,0,'Données projet'!$E$12+1,1))</f>
        <v>330.39429528665841</v>
      </c>
      <c r="CE35" s="60">
        <f t="shared" si="40"/>
        <v>186.45728006007261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8</v>
      </c>
      <c r="CT35" s="13">
        <f>IF('Données projet'!$A$140&gt;35,CT34+CS35-DB34,IF(A35&lt;'Données projet'!$A$140,$CQ$205^A35,IF(A35='Données projet'!$A$140,'Données projet'!$B$140,CT34+CS35-DB34)))</f>
        <v>92</v>
      </c>
      <c r="CU35" s="18">
        <f>CT35*VLOOKUP('Données projet'!$B$13,Paramètres!$A$1:$I$89,3,0)*VLOOKUP('Données projet'!$B$13,Paramètres!$A$1:$I$89,5,0)</f>
        <v>99.028800000000004</v>
      </c>
      <c r="CV35" s="14">
        <f t="shared" si="41"/>
        <v>26.730491283721712</v>
      </c>
      <c r="CW35" s="22">
        <f t="shared" si="13"/>
        <v>219.03076565248196</v>
      </c>
      <c r="CX35" s="60">
        <f t="shared" si="14"/>
        <v>512.3640989858153</v>
      </c>
      <c r="CY35" s="60">
        <f ca="1">AVERAGE(OFFSET($CX$3,0,0,'Données projet'!$E$13+1,1))-AVERAGE(OFFSET($H$3,0,0,'Données projet'!$E$13+1,1))</f>
        <v>376.96388721258387</v>
      </c>
      <c r="CZ35" s="60">
        <f t="shared" si="42"/>
        <v>211.14628470344377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7.6923076923076881</v>
      </c>
      <c r="DO35" s="13">
        <f>IF('Données projet'!$A$166&gt;35,DO34+DN35-DW34,IF(A35&lt;'Données projet'!$A$166,$DL$205^A35,IF(A35='Données projet'!$A$166,'Données projet'!$B$166,DO34+DN35-DW34)))</f>
        <v>132.0512820512821</v>
      </c>
      <c r="DP35" s="18">
        <f>DO35*VLOOKUP('Données projet'!$B$14,Paramètres!$A$1:$I$89,3,0)*VLOOKUP('Données projet'!$B$14,Paramètres!$A$1:$I$89,5,0)</f>
        <v>88.580000000000041</v>
      </c>
      <c r="DQ35" s="14">
        <f t="shared" si="43"/>
        <v>24.222438846820232</v>
      </c>
      <c r="DR35" s="22">
        <f t="shared" si="16"/>
        <v>196.46424765821197</v>
      </c>
      <c r="DS35" s="60">
        <f t="shared" si="17"/>
        <v>489.79758099154526</v>
      </c>
      <c r="DT35" s="60">
        <f ca="1">AVERAGE(OFFSET($DS$3,0,0,'Données projet'!$E$14+1,1))-AVERAGE(OFFSET($H$3,0,0,'Données projet'!$E$14+1,1))</f>
        <v>212.33913923444732</v>
      </c>
      <c r="DU35" s="60">
        <f t="shared" si="44"/>
        <v>183.51194426094372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0" t="e">
        <f t="shared" si="20"/>
        <v>#N/A</v>
      </c>
      <c r="EO35" s="60" t="e">
        <f ca="1">AVERAGE(OFFSET($EN$3,0,0,'Données projet'!$E$15+1,1))-AVERAGE(OFFSET($H$3,0,0,'Données projet'!$E$15+1,1))</f>
        <v>#N/A</v>
      </c>
      <c r="EP35" s="60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0" t="e">
        <f t="shared" si="23"/>
        <v>#N/A</v>
      </c>
      <c r="FJ35" s="60" t="e">
        <f ca="1">AVERAGE(OFFSET($FI$3,0,0,'Données projet'!$E$16+1,1))-AVERAGE(OFFSET($H$3,0,0,'Données projet'!$E$16+1,1))</f>
        <v>#N/A</v>
      </c>
      <c r="FK35" s="60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0" t="e">
        <f t="shared" si="26"/>
        <v>#N/A</v>
      </c>
      <c r="GE35" s="60" t="e">
        <f ca="1">AVERAGE(OFFSET($GD$3,0,0,'Données projet'!$E$17+1,1))-AVERAGE(OFFSET($H$3,0,0,'Données projet'!$E$17+1,1))</f>
        <v>#N/A</v>
      </c>
      <c r="GF35" s="60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0" t="e">
        <f t="shared" si="29"/>
        <v>#N/A</v>
      </c>
      <c r="GZ35" s="60" t="e">
        <f ca="1">AVERAGE(OFFSET($GY$3,0,0,'Données projet'!$E$18+1,1))-AVERAGE(OFFSET($H$3,0,0,'Données projet'!$E$18+1,1))</f>
        <v>#N/A</v>
      </c>
      <c r="HA35" s="60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5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2">
        <f t="shared" si="32"/>
        <v>5.9305422092039777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8">
        <f t="shared" si="1"/>
        <v>335.04371101436357</v>
      </c>
      <c r="I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8.9230769230769198</v>
      </c>
      <c r="N36" s="14">
        <f>IF('Données projet'!$A$36&gt;35,N35+M36-V35,IF(A36&lt;'Données projet'!$A$36,$K$205^A36,IF(A36='Données projet'!$A$36,'Données projet'!$B$36,N35+M36-V35)))</f>
        <v>130.04615384615383</v>
      </c>
      <c r="O36" s="14">
        <f>N36*VLOOKUP('Données projet'!$B$9,Paramètres!$A$1:$I$89,3,0)*VLOOKUP('Données projet'!$B$9,Paramètres!$A$1:$I$89,5,0)</f>
        <v>60.861599999999989</v>
      </c>
      <c r="P36" s="14">
        <f t="shared" si="33"/>
        <v>17.385927430951966</v>
      </c>
      <c r="Q36" s="22">
        <f t="shared" si="53"/>
        <v>136.28111027557466</v>
      </c>
      <c r="R36" s="60">
        <f t="shared" si="0"/>
        <v>429.614443608908</v>
      </c>
      <c r="S36" s="60">
        <f ca="1">AVERAGE(OFFSET($R$3,0,0,'Données projet'!$E$9+1,1))-AVERAGE(OFFSET($H$3,0,0,'Données projet'!$E$9+1,1))</f>
        <v>146.40889017442277</v>
      </c>
      <c r="T36" s="60">
        <f t="shared" si="34"/>
        <v>70.859031694091868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10.8</v>
      </c>
      <c r="AI36" s="14">
        <f>IF('Données projet'!$A$62&gt;35,AI35+AH36-AQ35,IF(A36&lt;'Données projet'!$A$62,$AF$205^A36,IF(A36='Données projet'!$A$62,'Données projet'!$B$62,AI35+AH36-AQ35)))</f>
        <v>153.40000000000006</v>
      </c>
      <c r="AJ36" s="14">
        <f>AI36*VLOOKUP('Données projet'!$B$10,Paramètres!$A$1:$I$89,3,0)*VLOOKUP('Données projet'!$B$10,Paramètres!$A$1:$I$89,5,0)</f>
        <v>138.79632000000007</v>
      </c>
      <c r="AK36" s="14">
        <f t="shared" si="35"/>
        <v>36.021120886354588</v>
      </c>
      <c r="AL36" s="22">
        <f t="shared" si="4"/>
        <v>304.47370954373434</v>
      </c>
      <c r="AM36" s="60">
        <f t="shared" si="5"/>
        <v>597.80704287706772</v>
      </c>
      <c r="AN36" s="60">
        <f ca="1">AVERAGE(OFFSET($AM$3,0,0,'Données projet'!$E$10+1,1))-AVERAGE(OFFSET($H$3,0,0,'Données projet'!$E$10+1,1))</f>
        <v>404.14319681142746</v>
      </c>
      <c r="AO36" s="60">
        <f t="shared" si="36"/>
        <v>203.5274665601915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8</v>
      </c>
      <c r="BD36" s="13">
        <f>IF('Données projet'!$A$88&gt;35,BD35+BC36-BL35,IF(A36&lt;'Données projet'!$A$88,$BA$205^A36,IF(A36='Données projet'!$A$88,'Données projet'!$B$88,BD35+BC36-BL35)))</f>
        <v>100</v>
      </c>
      <c r="BE36" s="14">
        <f>BD36*VLOOKUP('Données projet'!$B$11,Paramètres!$A$1:$I$89,3,0)*VLOOKUP('Données projet'!$B$11,Paramètres!$A$1:$I$89,5,0)</f>
        <v>101.4</v>
      </c>
      <c r="BF36" s="14">
        <f t="shared" si="37"/>
        <v>27.295257887453797</v>
      </c>
      <c r="BG36" s="22">
        <f t="shared" si="7"/>
        <v>224.14424082064872</v>
      </c>
      <c r="BH36" s="60">
        <f t="shared" si="8"/>
        <v>517.477574153982</v>
      </c>
      <c r="BI36" s="60">
        <f ca="1">AVERAGE(OFFSET($BH$3,0,0,'Données projet'!$E$11+1,1))-AVERAGE(OFFSET($H$3,0,0,'Données projet'!$E$11+1,1))</f>
        <v>350.3652766444938</v>
      </c>
      <c r="BJ36" s="60">
        <f t="shared" si="38"/>
        <v>197.04549436738586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8</v>
      </c>
      <c r="BY36" s="13">
        <f>IF('Données projet'!$A$114&gt;35,BY35+BX36-CG35,IF(A36&lt;'Données projet'!$A$114,$BV$205^A36,IF(A36='Données projet'!$A$114,'Données projet'!$B$114,BY35+BX36-CG35)))</f>
        <v>100</v>
      </c>
      <c r="BZ36" s="14">
        <f>BY36*VLOOKUP('Données projet'!$B$12,Paramètres!$A$1:$I$89,3,0)*VLOOKUP('Données projet'!$B$12,Paramètres!$A$1:$I$89,5,0)</f>
        <v>96.72</v>
      </c>
      <c r="CA36" s="14">
        <f t="shared" si="39"/>
        <v>26.179072558792139</v>
      </c>
      <c r="CB36" s="22">
        <f t="shared" si="10"/>
        <v>214.04921803989632</v>
      </c>
      <c r="CC36" s="60">
        <f t="shared" si="11"/>
        <v>507.3825513732296</v>
      </c>
      <c r="CD36" s="60">
        <f ca="1">AVERAGE(OFFSET($CC$3,0,0,'Données projet'!$E$12+1,1))-AVERAGE(OFFSET($H$3,0,0,'Données projet'!$E$12+1,1))</f>
        <v>330.39429528665841</v>
      </c>
      <c r="CE36" s="60">
        <f t="shared" si="40"/>
        <v>186.45728006007261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8</v>
      </c>
      <c r="CT36" s="13">
        <f>IF('Données projet'!$A$140&gt;35,CT35+CS36-DB35,IF(A36&lt;'Données projet'!$A$140,$CQ$205^A36,IF(A36='Données projet'!$A$140,'Données projet'!$B$140,CT35+CS36-DB35)))</f>
        <v>100</v>
      </c>
      <c r="CU36" s="18">
        <f>CT36*VLOOKUP('Données projet'!$B$13,Paramètres!$A$1:$I$89,3,0)*VLOOKUP('Données projet'!$B$13,Paramètres!$A$1:$I$89,5,0)</f>
        <v>107.64</v>
      </c>
      <c r="CV36" s="14">
        <f t="shared" si="41"/>
        <v>28.774250263353583</v>
      </c>
      <c r="CW36" s="22">
        <f t="shared" si="13"/>
        <v>237.58815254200749</v>
      </c>
      <c r="CX36" s="60">
        <f t="shared" si="14"/>
        <v>530.92148587534075</v>
      </c>
      <c r="CY36" s="60">
        <f ca="1">AVERAGE(OFFSET($CX$3,0,0,'Données projet'!$E$13+1,1))-AVERAGE(OFFSET($H$3,0,0,'Données projet'!$E$13+1,1))</f>
        <v>376.96388721258387</v>
      </c>
      <c r="CZ36" s="60">
        <f t="shared" si="42"/>
        <v>211.14628470344377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7.6923076923076881</v>
      </c>
      <c r="DO36" s="13">
        <f>IF('Données projet'!$A$166&gt;35,DO35+DN36-DW35,IF(A36&lt;'Données projet'!$A$166,$DL$205^A36,IF(A36='Données projet'!$A$166,'Données projet'!$B$166,DO35+DN36-DW35)))</f>
        <v>139.74358974358978</v>
      </c>
      <c r="DP36" s="18">
        <f>DO36*VLOOKUP('Données projet'!$B$14,Paramètres!$A$1:$I$89,3,0)*VLOOKUP('Données projet'!$B$14,Paramètres!$A$1:$I$89,5,0)</f>
        <v>93.740000000000023</v>
      </c>
      <c r="DQ36" s="14">
        <f t="shared" si="43"/>
        <v>25.465074435109123</v>
      </c>
      <c r="DR36" s="22">
        <f t="shared" si="16"/>
        <v>207.61550464114839</v>
      </c>
      <c r="DS36" s="60">
        <f t="shared" si="17"/>
        <v>500.94883797448171</v>
      </c>
      <c r="DT36" s="60">
        <f ca="1">AVERAGE(OFFSET($DS$3,0,0,'Données projet'!$E$14+1,1))-AVERAGE(OFFSET($H$3,0,0,'Données projet'!$E$14+1,1))</f>
        <v>212.33913923444732</v>
      </c>
      <c r="DU36" s="60">
        <f t="shared" si="44"/>
        <v>183.51194426094372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0" t="e">
        <f t="shared" si="20"/>
        <v>#N/A</v>
      </c>
      <c r="EO36" s="60" t="e">
        <f ca="1">AVERAGE(OFFSET($EN$3,0,0,'Données projet'!$E$15+1,1))-AVERAGE(OFFSET($H$3,0,0,'Données projet'!$E$15+1,1))</f>
        <v>#N/A</v>
      </c>
      <c r="EP36" s="60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0" t="e">
        <f t="shared" si="23"/>
        <v>#N/A</v>
      </c>
      <c r="FJ36" s="60" t="e">
        <f ca="1">AVERAGE(OFFSET($FI$3,0,0,'Données projet'!$E$16+1,1))-AVERAGE(OFFSET($H$3,0,0,'Données projet'!$E$16+1,1))</f>
        <v>#N/A</v>
      </c>
      <c r="FK36" s="60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0" t="e">
        <f t="shared" si="26"/>
        <v>#N/A</v>
      </c>
      <c r="GE36" s="60" t="e">
        <f ca="1">AVERAGE(OFFSET($GD$3,0,0,'Données projet'!$E$17+1,1))-AVERAGE(OFFSET($H$3,0,0,'Données projet'!$E$17+1,1))</f>
        <v>#N/A</v>
      </c>
      <c r="GF36" s="60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0" t="e">
        <f t="shared" si="29"/>
        <v>#N/A</v>
      </c>
      <c r="GZ36" s="60" t="e">
        <f ca="1">AVERAGE(OFFSET($GY$3,0,0,'Données projet'!$E$18+1,1))-AVERAGE(OFFSET($H$3,0,0,'Données projet'!$E$18+1,1))</f>
        <v>#N/A</v>
      </c>
      <c r="HA36" s="60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5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2">
        <f t="shared" si="32"/>
        <v>6.0890600219069135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8">
        <f t="shared" si="1"/>
        <v>336.27074620482119</v>
      </c>
      <c r="I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8.9230769230769198</v>
      </c>
      <c r="N37" s="14">
        <f>IF('Données projet'!$A$36&gt;35,N36+M37-V36,IF(A37&lt;'Données projet'!$A$36,$K$205^A37,IF(A37='Données projet'!$A$36,'Données projet'!$B$36,N36+M37-V36)))</f>
        <v>138.96923076923076</v>
      </c>
      <c r="O37" s="14">
        <f>N37*VLOOKUP('Données projet'!$B$9,Paramètres!$A$1:$I$89,3,0)*VLOOKUP('Données projet'!$B$9,Paramètres!$A$1:$I$89,5,0)</f>
        <v>65.037599999999998</v>
      </c>
      <c r="P37" s="14">
        <f t="shared" si="33"/>
        <v>18.435894871955274</v>
      </c>
      <c r="Q37" s="22">
        <f t="shared" si="53"/>
        <v>145.38300356865543</v>
      </c>
      <c r="R37" s="60">
        <f t="shared" si="0"/>
        <v>438.71633690198871</v>
      </c>
      <c r="S37" s="60">
        <f ca="1">AVERAGE(OFFSET($R$3,0,0,'Données projet'!$E$9+1,1))-AVERAGE(OFFSET($H$3,0,0,'Données projet'!$E$9+1,1))</f>
        <v>146.40889017442277</v>
      </c>
      <c r="T37" s="60">
        <f t="shared" si="34"/>
        <v>70.859031694091868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10.8</v>
      </c>
      <c r="AI37" s="14">
        <f>IF('Données projet'!$A$62&gt;35,AI36+AH37-AQ36,IF(A37&lt;'Données projet'!$A$62,$AF$205^A37,IF(A37='Données projet'!$A$62,'Données projet'!$B$62,AI36+AH37-AQ36)))</f>
        <v>164.20000000000007</v>
      </c>
      <c r="AJ37" s="14">
        <f>AI37*VLOOKUP('Données projet'!$B$10,Paramètres!$A$1:$I$89,3,0)*VLOOKUP('Données projet'!$B$10,Paramètres!$A$1:$I$89,5,0)</f>
        <v>148.56816000000006</v>
      </c>
      <c r="AK37" s="14">
        <f t="shared" si="35"/>
        <v>38.253013425360628</v>
      </c>
      <c r="AL37" s="22">
        <f t="shared" si="4"/>
        <v>325.38021038250321</v>
      </c>
      <c r="AM37" s="60">
        <f t="shared" si="5"/>
        <v>618.71354371583652</v>
      </c>
      <c r="AN37" s="60">
        <f ca="1">AVERAGE(OFFSET($AM$3,0,0,'Données projet'!$E$10+1,1))-AVERAGE(OFFSET($H$3,0,0,'Données projet'!$E$10+1,1))</f>
        <v>404.14319681142746</v>
      </c>
      <c r="AO37" s="60">
        <f t="shared" si="36"/>
        <v>203.5274665601915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8</v>
      </c>
      <c r="BD37" s="13">
        <f>IF('Données projet'!$A$88&gt;35,BD36+BC37-BL36,IF(A37&lt;'Données projet'!$A$88,$BA$205^A37,IF(A37='Données projet'!$A$88,'Données projet'!$B$88,BD36+BC37-BL36)))</f>
        <v>108</v>
      </c>
      <c r="BE37" s="14">
        <f>BD37*VLOOKUP('Données projet'!$B$11,Paramètres!$A$1:$I$89,3,0)*VLOOKUP('Données projet'!$B$11,Paramètres!$A$1:$I$89,5,0)</f>
        <v>109.51200000000001</v>
      </c>
      <c r="BF37" s="14">
        <f t="shared" si="37"/>
        <v>29.215978230632555</v>
      </c>
      <c r="BG37" s="22">
        <f t="shared" si="7"/>
        <v>241.61789541835174</v>
      </c>
      <c r="BH37" s="60">
        <f t="shared" si="8"/>
        <v>534.95122875168499</v>
      </c>
      <c r="BI37" s="60">
        <f ca="1">AVERAGE(OFFSET($BH$3,0,0,'Données projet'!$E$11+1,1))-AVERAGE(OFFSET($H$3,0,0,'Données projet'!$E$11+1,1))</f>
        <v>350.3652766444938</v>
      </c>
      <c r="BJ37" s="60">
        <f t="shared" si="38"/>
        <v>197.04549436738586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8</v>
      </c>
      <c r="BY37" s="13">
        <f>IF('Données projet'!$A$114&gt;35,BY36+BX37-CG36,IF(A37&lt;'Données projet'!$A$114,$BV$205^A37,IF(A37='Données projet'!$A$114,'Données projet'!$B$114,BY36+BX37-CG36)))</f>
        <v>108</v>
      </c>
      <c r="BZ37" s="14">
        <f>BY37*VLOOKUP('Données projet'!$B$12,Paramètres!$A$1:$I$89,3,0)*VLOOKUP('Données projet'!$B$12,Paramètres!$A$1:$I$89,5,0)</f>
        <v>104.4576</v>
      </c>
      <c r="CA37" s="14">
        <f t="shared" si="39"/>
        <v>28.021248860498272</v>
      </c>
      <c r="CB37" s="22">
        <f t="shared" si="10"/>
        <v>230.73399509870114</v>
      </c>
      <c r="CC37" s="60">
        <f t="shared" si="11"/>
        <v>524.0673284320344</v>
      </c>
      <c r="CD37" s="60">
        <f ca="1">AVERAGE(OFFSET($CC$3,0,0,'Données projet'!$E$12+1,1))-AVERAGE(OFFSET($H$3,0,0,'Données projet'!$E$12+1,1))</f>
        <v>330.39429528665841</v>
      </c>
      <c r="CE37" s="60">
        <f t="shared" si="40"/>
        <v>186.45728006007261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8</v>
      </c>
      <c r="CT37" s="13">
        <f>IF('Données projet'!$A$140&gt;35,CT36+CS37-DB36,IF(A37&lt;'Données projet'!$A$140,$CQ$205^A37,IF(A37='Données projet'!$A$140,'Données projet'!$B$140,CT36+CS37-DB36)))</f>
        <v>108</v>
      </c>
      <c r="CU37" s="18">
        <f>CT37*VLOOKUP('Données projet'!$B$13,Paramètres!$A$1:$I$89,3,0)*VLOOKUP('Données projet'!$B$13,Paramètres!$A$1:$I$89,5,0)</f>
        <v>116.2512</v>
      </c>
      <c r="CV37" s="14">
        <f t="shared" si="41"/>
        <v>30.799044755804328</v>
      </c>
      <c r="CW37" s="22">
        <f t="shared" si="13"/>
        <v>256.1125096163592</v>
      </c>
      <c r="CX37" s="60">
        <f t="shared" si="14"/>
        <v>549.44584294969252</v>
      </c>
      <c r="CY37" s="60">
        <f ca="1">AVERAGE(OFFSET($CX$3,0,0,'Données projet'!$E$13+1,1))-AVERAGE(OFFSET($H$3,0,0,'Données projet'!$E$13+1,1))</f>
        <v>376.96388721258387</v>
      </c>
      <c r="CZ37" s="60">
        <f t="shared" si="42"/>
        <v>211.14628470344377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7.6923076923076881</v>
      </c>
      <c r="DO37" s="13">
        <f>IF('Données projet'!$A$166&gt;35,DO36+DN37-DW36,IF(A37&lt;'Données projet'!$A$166,$DL$205^A37,IF(A37='Données projet'!$A$166,'Données projet'!$B$166,DO36+DN37-DW36)))</f>
        <v>147.43589743589746</v>
      </c>
      <c r="DP37" s="18">
        <f>DO37*VLOOKUP('Données projet'!$B$14,Paramètres!$A$1:$I$89,3,0)*VLOOKUP('Données projet'!$B$14,Paramètres!$A$1:$I$89,5,0)</f>
        <v>98.90000000000002</v>
      </c>
      <c r="DQ37" s="14">
        <f t="shared" si="43"/>
        <v>26.699769255487553</v>
      </c>
      <c r="DR37" s="22">
        <f t="shared" si="16"/>
        <v>218.7529314533075</v>
      </c>
      <c r="DS37" s="60">
        <f t="shared" si="17"/>
        <v>512.08626478664087</v>
      </c>
      <c r="DT37" s="60">
        <f ca="1">AVERAGE(OFFSET($DS$3,0,0,'Données projet'!$E$14+1,1))-AVERAGE(OFFSET($H$3,0,0,'Données projet'!$E$14+1,1))</f>
        <v>212.33913923444732</v>
      </c>
      <c r="DU37" s="60">
        <f t="shared" si="44"/>
        <v>183.51194426094372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0" t="e">
        <f t="shared" si="20"/>
        <v>#N/A</v>
      </c>
      <c r="EO37" s="60" t="e">
        <f ca="1">AVERAGE(OFFSET($EN$3,0,0,'Données projet'!$E$15+1,1))-AVERAGE(OFFSET($H$3,0,0,'Données projet'!$E$15+1,1))</f>
        <v>#N/A</v>
      </c>
      <c r="EP37" s="60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0" t="e">
        <f t="shared" si="23"/>
        <v>#N/A</v>
      </c>
      <c r="FJ37" s="60" t="e">
        <f ca="1">AVERAGE(OFFSET($FI$3,0,0,'Données projet'!$E$16+1,1))-AVERAGE(OFFSET($H$3,0,0,'Données projet'!$E$16+1,1))</f>
        <v>#N/A</v>
      </c>
      <c r="FK37" s="60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0" t="e">
        <f t="shared" si="26"/>
        <v>#N/A</v>
      </c>
      <c r="GE37" s="60" t="e">
        <f ca="1">AVERAGE(OFFSET($GD$3,0,0,'Données projet'!$E$17+1,1))-AVERAGE(OFFSET($H$3,0,0,'Données projet'!$E$17+1,1))</f>
        <v>#N/A</v>
      </c>
      <c r="GF37" s="60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0" t="e">
        <f t="shared" si="29"/>
        <v>#N/A</v>
      </c>
      <c r="GZ37" s="60" t="e">
        <f ca="1">AVERAGE(OFFSET($GY$3,0,0,'Données projet'!$E$18+1,1))-AVERAGE(OFFSET($H$3,0,0,'Données projet'!$E$18+1,1))</f>
        <v>#N/A</v>
      </c>
      <c r="HA37" s="60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5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2">
        <f t="shared" si="32"/>
        <v>6.2470359895716463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8">
        <f t="shared" si="1"/>
        <v>337.49683768183723</v>
      </c>
      <c r="I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147.89230769230767</v>
      </c>
      <c r="L38" s="13">
        <f>VLOOKUP(A38,'Données projet'!$A$35:$I$55,9,0)</f>
        <v>8.9230769230769198</v>
      </c>
      <c r="M38" s="13">
        <f t="array" ref="M38">INDEX(L:L,MIN(IF(ISNUMBER(L38:L234),ROW(L38:L234),"")))</f>
        <v>8.9230769230769198</v>
      </c>
      <c r="N38" s="14">
        <f>IF('Données projet'!$A$36&gt;35,N37+M38-V37,IF(A38&lt;'Données projet'!$A$36,$K$205^A38,IF(A38='Données projet'!$A$36,'Données projet'!$B$36,N37+M38-V37)))</f>
        <v>147.89230769230767</v>
      </c>
      <c r="O38" s="14">
        <f>N38*VLOOKUP('Données projet'!$B$9,Paramètres!$A$1:$I$89,3,0)*VLOOKUP('Données projet'!$B$9,Paramètres!$A$1:$I$89,5,0)</f>
        <v>69.213599999999985</v>
      </c>
      <c r="P38" s="14">
        <f t="shared" si="33"/>
        <v>19.478038510077166</v>
      </c>
      <c r="Q38" s="22">
        <f t="shared" si="53"/>
        <v>154.47127040505103</v>
      </c>
      <c r="R38" s="60">
        <f t="shared" si="0"/>
        <v>447.80460373838434</v>
      </c>
      <c r="S38" s="60">
        <f ca="1">AVERAGE(OFFSET($R$3,0,0,'Données projet'!$E$9+1,1))-AVERAGE(OFFSET($H$3,0,0,'Données projet'!$E$9+1,1))</f>
        <v>146.40889017442277</v>
      </c>
      <c r="T38" s="60">
        <f t="shared" si="34"/>
        <v>70.859031694091868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175</v>
      </c>
      <c r="AG38" s="13">
        <f>VLOOKUP(A38,'Données projet'!$A$61:$I$81,9,0)</f>
        <v>10.8</v>
      </c>
      <c r="AH38" s="13">
        <f t="array" ref="AH38">INDEX(AG:AG,MIN(IF(ISNUMBER(AG38:AG234),ROW(AG38:AG234),"")))</f>
        <v>10.8</v>
      </c>
      <c r="AI38" s="14">
        <f>IF('Données projet'!$A$62&gt;35,AI37+AH38-AQ37,IF(A38&lt;'Données projet'!$A$62,$AF$205^A38,IF(A38='Données projet'!$A$62,'Données projet'!$B$62,AI37+AH38-AQ37)))</f>
        <v>175.00000000000009</v>
      </c>
      <c r="AJ38" s="14">
        <f>AI38*VLOOKUP('Données projet'!$B$10,Paramètres!$A$1:$I$89,3,0)*VLOOKUP('Données projet'!$B$10,Paramètres!$A$1:$I$89,5,0)</f>
        <v>158.34000000000006</v>
      </c>
      <c r="AK38" s="14">
        <f t="shared" si="35"/>
        <v>40.467870812652819</v>
      </c>
      <c r="AL38" s="22">
        <f t="shared" si="4"/>
        <v>346.25704166537042</v>
      </c>
      <c r="AM38" s="60">
        <f t="shared" si="5"/>
        <v>639.59037499870374</v>
      </c>
      <c r="AN38" s="60">
        <f ca="1">AVERAGE(OFFSET($AM$3,0,0,'Données projet'!$E$10+1,1))-AVERAGE(OFFSET($H$3,0,0,'Données projet'!$E$10+1,1))</f>
        <v>404.14319681142746</v>
      </c>
      <c r="AO38" s="60">
        <f t="shared" si="36"/>
        <v>203.5274665601915</v>
      </c>
      <c r="AP38" s="16">
        <f>IF(ISNA(VLOOKUP(A38,'Données projet'!$A$61:$I$81,3,0)),0,VLOOKUP(A38,'Données projet'!$A$61:$I$81,3,0))</f>
        <v>2</v>
      </c>
      <c r="AQ38" s="16">
        <f>IF(ISNA(VLOOKUP(A38,'Données projet'!$A$61:$I$81,4,0)),0,VLOOKUP(A38,'Données projet'!$A$61:$I$81,4,0))</f>
        <v>56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116</v>
      </c>
      <c r="BB38" s="13">
        <f>VLOOKUP(A38,'Données projet'!$A$87:$I$107,9,0)</f>
        <v>8</v>
      </c>
      <c r="BC38" s="13">
        <f t="array" ref="BC38">INDEX(BB:BB,MIN(IF(ISNUMBER(BB38:BB234),ROW(BB38:BB234),"")))</f>
        <v>8</v>
      </c>
      <c r="BD38" s="13">
        <f>IF('Données projet'!$A$88&gt;35,BD37+BC38-BL37,IF(A38&lt;'Données projet'!$A$88,$BA$205^A38,IF(A38='Données projet'!$A$88,'Données projet'!$B$88,BD37+BC38-BL37)))</f>
        <v>116</v>
      </c>
      <c r="BE38" s="14">
        <f>BD38*VLOOKUP('Données projet'!$B$11,Paramètres!$A$1:$I$89,3,0)*VLOOKUP('Données projet'!$B$11,Paramètres!$A$1:$I$89,5,0)</f>
        <v>117.62400000000001</v>
      </c>
      <c r="BF38" s="14">
        <f t="shared" si="37"/>
        <v>31.120192961985413</v>
      </c>
      <c r="BG38" s="22">
        <f t="shared" si="7"/>
        <v>259.06280274212457</v>
      </c>
      <c r="BH38" s="60">
        <f t="shared" si="8"/>
        <v>552.39613607545789</v>
      </c>
      <c r="BI38" s="60">
        <f ca="1">AVERAGE(OFFSET($BH$3,0,0,'Données projet'!$E$11+1,1))-AVERAGE(OFFSET($H$3,0,0,'Données projet'!$E$11+1,1))</f>
        <v>350.3652766444938</v>
      </c>
      <c r="BJ38" s="60">
        <f t="shared" si="38"/>
        <v>197.04549436738586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116</v>
      </c>
      <c r="BW38" s="13">
        <f>VLOOKUP(A38,'Données projet'!$A$113:$I$133,9,0)</f>
        <v>8</v>
      </c>
      <c r="BX38" s="13">
        <f t="array" ref="BX38">INDEX(BW:BW,MIN(IF(ISNUMBER(BW38:BW234),ROW(BW38:BW234),"")))</f>
        <v>8</v>
      </c>
      <c r="BY38" s="13">
        <f>IF('Données projet'!$A$114&gt;35,BY37+BX38-CG37,IF(A38&lt;'Données projet'!$A$114,$BV$205^A38,IF(A38='Données projet'!$A$114,'Données projet'!$B$114,BY37+BX38-CG37)))</f>
        <v>116</v>
      </c>
      <c r="BZ38" s="14">
        <f>BY38*VLOOKUP('Données projet'!$B$12,Paramètres!$A$1:$I$89,3,0)*VLOOKUP('Données projet'!$B$12,Paramètres!$A$1:$I$89,5,0)</f>
        <v>112.1952</v>
      </c>
      <c r="CA38" s="14">
        <f t="shared" si="39"/>
        <v>29.847594514573263</v>
      </c>
      <c r="CB38" s="22">
        <f t="shared" si="10"/>
        <v>247.39120044621509</v>
      </c>
      <c r="CC38" s="60">
        <f t="shared" si="11"/>
        <v>540.72453377954844</v>
      </c>
      <c r="CD38" s="60">
        <f ca="1">AVERAGE(OFFSET($CC$3,0,0,'Données projet'!$E$12+1,1))-AVERAGE(OFFSET($H$3,0,0,'Données projet'!$E$12+1,1))</f>
        <v>330.39429528665841</v>
      </c>
      <c r="CE38" s="60">
        <f t="shared" si="40"/>
        <v>186.45728006007261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116</v>
      </c>
      <c r="CR38" s="13">
        <f>VLOOKUP(A38,'Données projet'!$A$139:$I$159,9,0)</f>
        <v>8</v>
      </c>
      <c r="CS38" s="13">
        <f t="array" ref="CS38">INDEX(CR:CR,MIN(IF(ISNUMBER(CR38:CR234),ROW(CR38:CR234),"")))</f>
        <v>8</v>
      </c>
      <c r="CT38" s="13">
        <f>IF('Données projet'!$A$140&gt;35,CT37+CS38-DB37,IF(A38&lt;'Données projet'!$A$140,$CQ$205^A38,IF(A38='Données projet'!$A$140,'Données projet'!$B$140,CT37+CS38-DB37)))</f>
        <v>116</v>
      </c>
      <c r="CU38" s="18">
        <f>CT38*VLOOKUP('Données projet'!$B$13,Paramètres!$A$1:$I$89,3,0)*VLOOKUP('Données projet'!$B$13,Paramètres!$A$1:$I$89,5,0)</f>
        <v>124.86239999999999</v>
      </c>
      <c r="CV38" s="14">
        <f t="shared" si="41"/>
        <v>32.806439280561598</v>
      </c>
      <c r="CW38" s="22">
        <f t="shared" si="13"/>
        <v>274.60656174697812</v>
      </c>
      <c r="CX38" s="60">
        <f t="shared" si="14"/>
        <v>567.93989508031143</v>
      </c>
      <c r="CY38" s="60">
        <f ca="1">AVERAGE(OFFSET($CX$3,0,0,'Données projet'!$E$13+1,1))-AVERAGE(OFFSET($H$3,0,0,'Données projet'!$E$13+1,1))</f>
        <v>376.96388721258387</v>
      </c>
      <c r="CZ38" s="60">
        <f t="shared" si="42"/>
        <v>211.14628470344377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155.12820512820511</v>
      </c>
      <c r="DM38" s="13">
        <f>VLOOKUP(A38,'Données projet'!$A$165:$I$185,9,0)</f>
        <v>7.6923076923076881</v>
      </c>
      <c r="DN38" s="13">
        <f t="array" ref="DN38">INDEX(DM:DM,MIN(IF(ISNUMBER(DM38:DM234),ROW(DM38:DM234),"")))</f>
        <v>7.6923076923076881</v>
      </c>
      <c r="DO38" s="13">
        <f>IF('Données projet'!$A$166&gt;35,DO37+DN38-DW37,IF(A38&lt;'Données projet'!$A$166,$DL$205^A38,IF(A38='Données projet'!$A$166,'Données projet'!$B$166,DO37+DN38-DW37)))</f>
        <v>155.12820512820514</v>
      </c>
      <c r="DP38" s="18">
        <f>DO38*VLOOKUP('Données projet'!$B$14,Paramètres!$A$1:$I$89,3,0)*VLOOKUP('Données projet'!$B$14,Paramètres!$A$1:$I$89,5,0)</f>
        <v>104.06</v>
      </c>
      <c r="DQ38" s="14">
        <f t="shared" si="43"/>
        <v>27.926984861261673</v>
      </c>
      <c r="DR38" s="22">
        <f t="shared" si="16"/>
        <v>229.8773319666974</v>
      </c>
      <c r="DS38" s="60">
        <f t="shared" si="17"/>
        <v>523.21066530003077</v>
      </c>
      <c r="DT38" s="60">
        <f ca="1">AVERAGE(OFFSET($DS$3,0,0,'Données projet'!$E$14+1,1))-AVERAGE(OFFSET($H$3,0,0,'Données projet'!$E$14+1,1))</f>
        <v>212.33913923444732</v>
      </c>
      <c r="DU38" s="60">
        <f t="shared" si="44"/>
        <v>183.51194426094372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0" t="e">
        <f t="shared" si="20"/>
        <v>#N/A</v>
      </c>
      <c r="EO38" s="60" t="e">
        <f ca="1">AVERAGE(OFFSET($EN$3,0,0,'Données projet'!$E$15+1,1))-AVERAGE(OFFSET($H$3,0,0,'Données projet'!$E$15+1,1))</f>
        <v>#N/A</v>
      </c>
      <c r="EP38" s="60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0" t="e">
        <f t="shared" si="23"/>
        <v>#N/A</v>
      </c>
      <c r="FJ38" s="60" t="e">
        <f ca="1">AVERAGE(OFFSET($FI$3,0,0,'Données projet'!$E$16+1,1))-AVERAGE(OFFSET($H$3,0,0,'Données projet'!$E$16+1,1))</f>
        <v>#N/A</v>
      </c>
      <c r="FK38" s="60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0" t="e">
        <f t="shared" si="26"/>
        <v>#N/A</v>
      </c>
      <c r="GE38" s="60" t="e">
        <f ca="1">AVERAGE(OFFSET($GD$3,0,0,'Données projet'!$E$17+1,1))-AVERAGE(OFFSET($H$3,0,0,'Données projet'!$E$17+1,1))</f>
        <v>#N/A</v>
      </c>
      <c r="GF38" s="60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0" t="e">
        <f t="shared" si="29"/>
        <v>#N/A</v>
      </c>
      <c r="GZ38" s="60" t="e">
        <f ca="1">AVERAGE(OFFSET($GY$3,0,0,'Données projet'!$E$18+1,1))-AVERAGE(OFFSET($H$3,0,0,'Données projet'!$E$18+1,1))</f>
        <v>#N/A</v>
      </c>
      <c r="HA38" s="60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5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2">
        <f t="shared" si="32"/>
        <v>6.4044873715575248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8">
        <f t="shared" si="1"/>
        <v>338.72201550546265</v>
      </c>
      <c r="I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9.981538461538463</v>
      </c>
      <c r="N39" s="14">
        <f>IF('Données projet'!$A$36&gt;35,N38+M39-V38,IF(A39&lt;'Données projet'!$A$36,$K$205^A39,IF(A39='Données projet'!$A$36,'Données projet'!$B$36,N38+M39-V38)))</f>
        <v>157.87384615384613</v>
      </c>
      <c r="O39" s="14">
        <f>N39*VLOOKUP('Données projet'!$B$9,Paramètres!$A$1:$I$89,3,0)*VLOOKUP('Données projet'!$B$9,Paramètres!$A$1:$I$89,5,0)</f>
        <v>73.884959999999992</v>
      </c>
      <c r="P39" s="14">
        <f t="shared" si="33"/>
        <v>20.635176317181511</v>
      </c>
      <c r="Q39" s="22">
        <f t="shared" si="53"/>
        <v>164.62257075242445</v>
      </c>
      <c r="R39" s="60">
        <f t="shared" si="0"/>
        <v>457.95590408575777</v>
      </c>
      <c r="S39" s="60">
        <f ca="1">AVERAGE(OFFSET($R$3,0,0,'Données projet'!$E$9+1,1))-AVERAGE(OFFSET($H$3,0,0,'Données projet'!$E$9+1,1))</f>
        <v>146.40889017442277</v>
      </c>
      <c r="T39" s="60">
        <f t="shared" si="34"/>
        <v>70.859031694091868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11.2</v>
      </c>
      <c r="AI39" s="14">
        <f>IF('Données projet'!$A$62&gt;35,AI38+AH39-AQ38,IF(A39&lt;'Données projet'!$A$62,$AF$205^A39,IF(A39='Données projet'!$A$62,'Données projet'!$B$62,AI38+AH39-AQ38)))</f>
        <v>130.20000000000007</v>
      </c>
      <c r="AJ39" s="14">
        <f>AI39*VLOOKUP('Données projet'!$B$10,Paramètres!$A$1:$I$89,3,0)*VLOOKUP('Données projet'!$B$10,Paramètres!$A$1:$I$89,5,0)</f>
        <v>117.80496000000005</v>
      </c>
      <c r="AK39" s="14">
        <f t="shared" si="35"/>
        <v>31.162493487829593</v>
      </c>
      <c r="AL39" s="22">
        <f t="shared" si="4"/>
        <v>259.45164815796994</v>
      </c>
      <c r="AM39" s="60">
        <f t="shared" si="5"/>
        <v>552.78498149130326</v>
      </c>
      <c r="AN39" s="60">
        <f ca="1">AVERAGE(OFFSET($AM$3,0,0,'Données projet'!$E$10+1,1))-AVERAGE(OFFSET($H$3,0,0,'Données projet'!$E$10+1,1))</f>
        <v>404.14319681142746</v>
      </c>
      <c r="AO39" s="60">
        <f t="shared" si="36"/>
        <v>203.5274665601915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8.4</v>
      </c>
      <c r="BD39" s="13">
        <f>IF('Données projet'!$A$88&gt;35,BD38+BC39-BL38,IF(A39&lt;'Données projet'!$A$88,$BA$205^A39,IF(A39='Données projet'!$A$88,'Données projet'!$B$88,BD38+BC39-BL38)))</f>
        <v>124.4</v>
      </c>
      <c r="BE39" s="14">
        <f>BD39*VLOOKUP('Données projet'!$B$11,Paramètres!$A$1:$I$89,3,0)*VLOOKUP('Données projet'!$B$11,Paramètres!$A$1:$I$89,5,0)</f>
        <v>126.1416</v>
      </c>
      <c r="BF39" s="14">
        <f t="shared" si="37"/>
        <v>33.10323903126482</v>
      </c>
      <c r="BG39" s="22">
        <f t="shared" si="7"/>
        <v>277.35142797945286</v>
      </c>
      <c r="BH39" s="60">
        <f t="shared" si="8"/>
        <v>570.68476131278612</v>
      </c>
      <c r="BI39" s="60">
        <f ca="1">AVERAGE(OFFSET($BH$3,0,0,'Données projet'!$E$11+1,1))-AVERAGE(OFFSET($H$3,0,0,'Données projet'!$E$11+1,1))</f>
        <v>350.3652766444938</v>
      </c>
      <c r="BJ39" s="60">
        <f t="shared" si="38"/>
        <v>197.04549436738586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8.4</v>
      </c>
      <c r="BY39" s="13">
        <f>IF('Données projet'!$A$114&gt;35,BY38+BX39-CG38,IF(A39&lt;'Données projet'!$A$114,$BV$205^A39,IF(A39='Données projet'!$A$114,'Données projet'!$B$114,BY38+BX39-CG38)))</f>
        <v>124.4</v>
      </c>
      <c r="BZ39" s="14">
        <f>BY39*VLOOKUP('Données projet'!$B$12,Paramètres!$A$1:$I$89,3,0)*VLOOKUP('Données projet'!$B$12,Paramètres!$A$1:$I$89,5,0)</f>
        <v>120.31968000000001</v>
      </c>
      <c r="CA39" s="14">
        <f t="shared" si="39"/>
        <v>31.74954785566829</v>
      </c>
      <c r="CB39" s="22">
        <f t="shared" si="10"/>
        <v>264.85390518195555</v>
      </c>
      <c r="CC39" s="60">
        <f t="shared" si="11"/>
        <v>558.18723851528887</v>
      </c>
      <c r="CD39" s="60">
        <f ca="1">AVERAGE(OFFSET($CC$3,0,0,'Données projet'!$E$12+1,1))-AVERAGE(OFFSET($H$3,0,0,'Données projet'!$E$12+1,1))</f>
        <v>330.39429528665841</v>
      </c>
      <c r="CE39" s="60">
        <f t="shared" si="40"/>
        <v>186.45728006007261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8.4</v>
      </c>
      <c r="CT39" s="13">
        <f>IF('Données projet'!$A$140&gt;35,CT38+CS39-DB38,IF(A39&lt;'Données projet'!$A$140,$CQ$205^A39,IF(A39='Données projet'!$A$140,'Données projet'!$B$140,CT38+CS39-DB38)))</f>
        <v>124.4</v>
      </c>
      <c r="CU39" s="18">
        <f>CT39*VLOOKUP('Données projet'!$B$13,Paramètres!$A$1:$I$89,3,0)*VLOOKUP('Données projet'!$B$13,Paramètres!$A$1:$I$89,5,0)</f>
        <v>133.90415999999999</v>
      </c>
      <c r="CV39" s="14">
        <f t="shared" si="41"/>
        <v>34.896936615903982</v>
      </c>
      <c r="CW39" s="22">
        <f t="shared" si="13"/>
        <v>293.99524327269938</v>
      </c>
      <c r="CX39" s="60">
        <f t="shared" si="14"/>
        <v>587.3285766060327</v>
      </c>
      <c r="CY39" s="60">
        <f ca="1">AVERAGE(OFFSET($CX$3,0,0,'Données projet'!$E$13+1,1))-AVERAGE(OFFSET($H$3,0,0,'Données projet'!$E$13+1,1))</f>
        <v>376.96388721258387</v>
      </c>
      <c r="CZ39" s="60">
        <f t="shared" si="42"/>
        <v>211.14628470344377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7.1794871794871824</v>
      </c>
      <c r="DO39" s="13">
        <f>IF('Données projet'!$A$166&gt;35,DO38+DN39-DW38,IF(A39&lt;'Données projet'!$A$166,$DL$205^A39,IF(A39='Données projet'!$A$166,'Données projet'!$B$166,DO38+DN39-DW38)))</f>
        <v>162.30769230769232</v>
      </c>
      <c r="DP39" s="18">
        <f>DO39*VLOOKUP('Données projet'!$B$14,Paramètres!$A$1:$I$89,3,0)*VLOOKUP('Données projet'!$B$14,Paramètres!$A$1:$I$89,5,0)</f>
        <v>108.87600000000002</v>
      </c>
      <c r="DQ39" s="14">
        <f t="shared" si="43"/>
        <v>29.066003313709242</v>
      </c>
      <c r="DR39" s="22">
        <f t="shared" si="16"/>
        <v>240.24898910471029</v>
      </c>
      <c r="DS39" s="60">
        <f t="shared" si="17"/>
        <v>533.58232243804355</v>
      </c>
      <c r="DT39" s="60">
        <f ca="1">AVERAGE(OFFSET($DS$3,0,0,'Données projet'!$E$14+1,1))-AVERAGE(OFFSET($H$3,0,0,'Données projet'!$E$14+1,1))</f>
        <v>212.33913923444732</v>
      </c>
      <c r="DU39" s="60">
        <f t="shared" si="44"/>
        <v>183.51194426094372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0" t="e">
        <f t="shared" si="20"/>
        <v>#N/A</v>
      </c>
      <c r="EO39" s="60" t="e">
        <f ca="1">AVERAGE(OFFSET($EN$3,0,0,'Données projet'!$E$15+1,1))-AVERAGE(OFFSET($H$3,0,0,'Données projet'!$E$15+1,1))</f>
        <v>#N/A</v>
      </c>
      <c r="EP39" s="60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0" t="e">
        <f t="shared" si="23"/>
        <v>#N/A</v>
      </c>
      <c r="FJ39" s="60" t="e">
        <f ca="1">AVERAGE(OFFSET($FI$3,0,0,'Données projet'!$E$16+1,1))-AVERAGE(OFFSET($H$3,0,0,'Données projet'!$E$16+1,1))</f>
        <v>#N/A</v>
      </c>
      <c r="FK39" s="60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0" t="e">
        <f t="shared" si="26"/>
        <v>#N/A</v>
      </c>
      <c r="GE39" s="60" t="e">
        <f ca="1">AVERAGE(OFFSET($GD$3,0,0,'Données projet'!$E$17+1,1))-AVERAGE(OFFSET($H$3,0,0,'Données projet'!$E$17+1,1))</f>
        <v>#N/A</v>
      </c>
      <c r="GF39" s="60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0" t="e">
        <f t="shared" si="29"/>
        <v>#N/A</v>
      </c>
      <c r="GZ39" s="60" t="e">
        <f ca="1">AVERAGE(OFFSET($GY$3,0,0,'Données projet'!$E$18+1,1))-AVERAGE(OFFSET($H$3,0,0,'Données projet'!$E$18+1,1))</f>
        <v>#N/A</v>
      </c>
      <c r="HA39" s="60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5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2">
        <f t="shared" si="32"/>
        <v>6.5614304138099282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8">
        <f t="shared" si="1"/>
        <v>339.94630797071892</v>
      </c>
      <c r="I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9.981538461538463</v>
      </c>
      <c r="N40" s="14">
        <f>IF('Données projet'!$A$36&gt;35,N39+M40-V39,IF(A40&lt;'Données projet'!$A$36,$K$205^A40,IF(A40='Données projet'!$A$36,'Données projet'!$B$36,N39+M40-V39)))</f>
        <v>167.85538461538459</v>
      </c>
      <c r="O40" s="14">
        <f>N40*VLOOKUP('Données projet'!$B$9,Paramètres!$A$1:$I$89,3,0)*VLOOKUP('Données projet'!$B$9,Paramètres!$A$1:$I$89,5,0)</f>
        <v>78.556319999999985</v>
      </c>
      <c r="P40" s="14">
        <f t="shared" si="33"/>
        <v>21.783823615207403</v>
      </c>
      <c r="Q40" s="22">
        <f t="shared" si="53"/>
        <v>174.75908346315285</v>
      </c>
      <c r="R40" s="60">
        <f t="shared" si="0"/>
        <v>468.09241679648619</v>
      </c>
      <c r="S40" s="60">
        <f ca="1">AVERAGE(OFFSET($R$3,0,0,'Données projet'!$E$9+1,1))-AVERAGE(OFFSET($H$3,0,0,'Données projet'!$E$9+1,1))</f>
        <v>146.40889017442277</v>
      </c>
      <c r="T40" s="60">
        <f t="shared" si="34"/>
        <v>70.859031694091868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11.2</v>
      </c>
      <c r="AI40" s="14">
        <f>IF('Données projet'!$A$62&gt;35,AI39+AH40-AQ39,IF(A40&lt;'Données projet'!$A$62,$AF$205^A40,IF(A40='Données projet'!$A$62,'Données projet'!$B$62,AI39+AH40-AQ39)))</f>
        <v>141.40000000000006</v>
      </c>
      <c r="AJ40" s="14">
        <f>AI40*VLOOKUP('Données projet'!$B$10,Paramètres!$A$1:$I$89,3,0)*VLOOKUP('Données projet'!$B$10,Paramètres!$A$1:$I$89,5,0)</f>
        <v>127.93872000000005</v>
      </c>
      <c r="AK40" s="14">
        <f t="shared" si="35"/>
        <v>33.519615889545641</v>
      </c>
      <c r="AL40" s="22">
        <f t="shared" si="4"/>
        <v>281.20660167429202</v>
      </c>
      <c r="AM40" s="60">
        <f t="shared" si="5"/>
        <v>574.53993500762533</v>
      </c>
      <c r="AN40" s="60">
        <f ca="1">AVERAGE(OFFSET($AM$3,0,0,'Données projet'!$E$10+1,1))-AVERAGE(OFFSET($H$3,0,0,'Données projet'!$E$10+1,1))</f>
        <v>404.14319681142746</v>
      </c>
      <c r="AO40" s="60">
        <f t="shared" si="36"/>
        <v>203.5274665601915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8.4</v>
      </c>
      <c r="BD40" s="13">
        <f>IF('Données projet'!$A$88&gt;35,BD39+BC40-BL39,IF(A40&lt;'Données projet'!$A$88,$BA$205^A40,IF(A40='Données projet'!$A$88,'Données projet'!$B$88,BD39+BC40-BL39)))</f>
        <v>132.80000000000001</v>
      </c>
      <c r="BE40" s="14">
        <f>BD40*VLOOKUP('Données projet'!$B$11,Paramètres!$A$1:$I$89,3,0)*VLOOKUP('Données projet'!$B$11,Paramètres!$A$1:$I$89,5,0)</f>
        <v>134.65920000000003</v>
      </c>
      <c r="BF40" s="14">
        <f t="shared" si="37"/>
        <v>35.07074737441733</v>
      </c>
      <c r="BG40" s="22">
        <f t="shared" si="7"/>
        <v>295.61299167711019</v>
      </c>
      <c r="BH40" s="60">
        <f t="shared" si="8"/>
        <v>588.9463250104435</v>
      </c>
      <c r="BI40" s="60">
        <f ca="1">AVERAGE(OFFSET($BH$3,0,0,'Données projet'!$E$11+1,1))-AVERAGE(OFFSET($H$3,0,0,'Données projet'!$E$11+1,1))</f>
        <v>350.3652766444938</v>
      </c>
      <c r="BJ40" s="60">
        <f t="shared" si="38"/>
        <v>197.04549436738586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8.4</v>
      </c>
      <c r="BY40" s="13">
        <f>IF('Données projet'!$A$114&gt;35,BY39+BX40-CG39,IF(A40&lt;'Données projet'!$A$114,$BV$205^A40,IF(A40='Données projet'!$A$114,'Données projet'!$B$114,BY39+BX40-CG39)))</f>
        <v>132.80000000000001</v>
      </c>
      <c r="BZ40" s="14">
        <f>BY40*VLOOKUP('Données projet'!$B$12,Paramètres!$A$1:$I$89,3,0)*VLOOKUP('Données projet'!$B$12,Paramètres!$A$1:$I$89,5,0)</f>
        <v>128.44416000000001</v>
      </c>
      <c r="CA40" s="14">
        <f t="shared" si="39"/>
        <v>33.636598855068925</v>
      </c>
      <c r="CB40" s="22">
        <f t="shared" si="10"/>
        <v>282.29065500591173</v>
      </c>
      <c r="CC40" s="60">
        <f t="shared" si="11"/>
        <v>575.62398833924499</v>
      </c>
      <c r="CD40" s="60">
        <f ca="1">AVERAGE(OFFSET($CC$3,0,0,'Données projet'!$E$12+1,1))-AVERAGE(OFFSET($H$3,0,0,'Données projet'!$E$12+1,1))</f>
        <v>330.39429528665841</v>
      </c>
      <c r="CE40" s="60">
        <f t="shared" si="40"/>
        <v>186.45728006007261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8.4</v>
      </c>
      <c r="CT40" s="13">
        <f>IF('Données projet'!$A$140&gt;35,CT39+CS40-DB39,IF(A40&lt;'Données projet'!$A$140,$CQ$205^A40,IF(A40='Données projet'!$A$140,'Données projet'!$B$140,CT39+CS40-DB39)))</f>
        <v>132.80000000000001</v>
      </c>
      <c r="CU40" s="18">
        <f>CT40*VLOOKUP('Données projet'!$B$13,Paramètres!$A$1:$I$89,3,0)*VLOOKUP('Données projet'!$B$13,Paramètres!$A$1:$I$89,5,0)</f>
        <v>142.94592</v>
      </c>
      <c r="CV40" s="14">
        <f t="shared" si="41"/>
        <v>36.971054314096854</v>
      </c>
      <c r="CW40" s="22">
        <f t="shared" si="13"/>
        <v>313.35539693038533</v>
      </c>
      <c r="CX40" s="60">
        <f t="shared" si="14"/>
        <v>606.68873026371864</v>
      </c>
      <c r="CY40" s="60">
        <f ca="1">AVERAGE(OFFSET($CX$3,0,0,'Données projet'!$E$13+1,1))-AVERAGE(OFFSET($H$3,0,0,'Données projet'!$E$13+1,1))</f>
        <v>376.96388721258387</v>
      </c>
      <c r="CZ40" s="60">
        <f t="shared" si="42"/>
        <v>211.14628470344377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7.1794871794871824</v>
      </c>
      <c r="DO40" s="13">
        <f>IF('Données projet'!$A$166&gt;35,DO39+DN40-DW39,IF(A40&lt;'Données projet'!$A$166,$DL$205^A40,IF(A40='Données projet'!$A$166,'Données projet'!$B$166,DO39+DN40-DW39)))</f>
        <v>169.4871794871795</v>
      </c>
      <c r="DP40" s="18">
        <f>DO40*VLOOKUP('Données projet'!$B$14,Paramètres!$A$1:$I$89,3,0)*VLOOKUP('Données projet'!$B$14,Paramètres!$A$1:$I$89,5,0)</f>
        <v>113.69200000000001</v>
      </c>
      <c r="DQ40" s="14">
        <f t="shared" si="43"/>
        <v>30.199170227619074</v>
      </c>
      <c r="DR40" s="22">
        <f t="shared" si="16"/>
        <v>250.61045481310325</v>
      </c>
      <c r="DS40" s="60">
        <f t="shared" si="17"/>
        <v>543.94378814643653</v>
      </c>
      <c r="DT40" s="60">
        <f ca="1">AVERAGE(OFFSET($DS$3,0,0,'Données projet'!$E$14+1,1))-AVERAGE(OFFSET($H$3,0,0,'Données projet'!$E$14+1,1))</f>
        <v>212.33913923444732</v>
      </c>
      <c r="DU40" s="60">
        <f t="shared" si="44"/>
        <v>183.51194426094372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0" t="e">
        <f t="shared" si="20"/>
        <v>#N/A</v>
      </c>
      <c r="EO40" s="60" t="e">
        <f ca="1">AVERAGE(OFFSET($EN$3,0,0,'Données projet'!$E$15+1,1))-AVERAGE(OFFSET($H$3,0,0,'Données projet'!$E$15+1,1))</f>
        <v>#N/A</v>
      </c>
      <c r="EP40" s="60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0" t="e">
        <f t="shared" si="23"/>
        <v>#N/A</v>
      </c>
      <c r="FJ40" s="60" t="e">
        <f ca="1">AVERAGE(OFFSET($FI$3,0,0,'Données projet'!$E$16+1,1))-AVERAGE(OFFSET($H$3,0,0,'Données projet'!$E$16+1,1))</f>
        <v>#N/A</v>
      </c>
      <c r="FK40" s="60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0" t="e">
        <f t="shared" si="26"/>
        <v>#N/A</v>
      </c>
      <c r="GE40" s="60" t="e">
        <f ca="1">AVERAGE(OFFSET($GD$3,0,0,'Données projet'!$E$17+1,1))-AVERAGE(OFFSET($H$3,0,0,'Données projet'!$E$17+1,1))</f>
        <v>#N/A</v>
      </c>
      <c r="GF40" s="60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0" t="e">
        <f t="shared" si="29"/>
        <v>#N/A</v>
      </c>
      <c r="GZ40" s="60" t="e">
        <f ca="1">AVERAGE(OFFSET($GY$3,0,0,'Données projet'!$E$18+1,1))-AVERAGE(OFFSET($H$3,0,0,'Données projet'!$E$18+1,1))</f>
        <v>#N/A</v>
      </c>
      <c r="HA40" s="60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5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2">
        <f t="shared" si="32"/>
        <v>6.717880434124976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8">
        <f t="shared" si="1"/>
        <v>341.16974175610096</v>
      </c>
      <c r="I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9.981538461538463</v>
      </c>
      <c r="N41" s="14">
        <f>IF('Données projet'!$A$36&gt;35,N40+M41-V40,IF(A41&lt;'Données projet'!$A$36,$K$205^A41,IF(A41='Données projet'!$A$36,'Données projet'!$B$36,N40+M41-V40)))</f>
        <v>177.83692307692306</v>
      </c>
      <c r="O41" s="14">
        <f>N41*VLOOKUP('Données projet'!$B$9,Paramètres!$A$1:$I$89,3,0)*VLOOKUP('Données projet'!$B$9,Paramètres!$A$1:$I$89,5,0)</f>
        <v>83.227679999999978</v>
      </c>
      <c r="P41" s="14">
        <f t="shared" si="33"/>
        <v>22.924542798244513</v>
      </c>
      <c r="Q41" s="22">
        <f t="shared" si="53"/>
        <v>184.88178804027584</v>
      </c>
      <c r="R41" s="60">
        <f t="shared" si="0"/>
        <v>478.21512137360912</v>
      </c>
      <c r="S41" s="60">
        <f ca="1">AVERAGE(OFFSET($R$3,0,0,'Données projet'!$E$9+1,1))-AVERAGE(OFFSET($H$3,0,0,'Données projet'!$E$9+1,1))</f>
        <v>146.40889017442277</v>
      </c>
      <c r="T41" s="60">
        <f t="shared" si="34"/>
        <v>70.859031694091868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11.2</v>
      </c>
      <c r="AI41" s="14">
        <f>IF('Données projet'!$A$62&gt;35,AI40+AH41-AQ40,IF(A41&lt;'Données projet'!$A$62,$AF$205^A41,IF(A41='Données projet'!$A$62,'Données projet'!$B$62,AI40+AH41-AQ40)))</f>
        <v>152.60000000000005</v>
      </c>
      <c r="AJ41" s="14">
        <f>AI41*VLOOKUP('Données projet'!$B$10,Paramètres!$A$1:$I$89,3,0)*VLOOKUP('Données projet'!$B$10,Paramètres!$A$1:$I$89,5,0)</f>
        <v>138.07248000000004</v>
      </c>
      <c r="AK41" s="14">
        <f t="shared" si="35"/>
        <v>35.85508207677799</v>
      </c>
      <c r="AL41" s="22">
        <f t="shared" si="4"/>
        <v>302.92383728372175</v>
      </c>
      <c r="AM41" s="60">
        <f t="shared" si="5"/>
        <v>596.25717061705507</v>
      </c>
      <c r="AN41" s="60">
        <f ca="1">AVERAGE(OFFSET($AM$3,0,0,'Données projet'!$E$10+1,1))-AVERAGE(OFFSET($H$3,0,0,'Données projet'!$E$10+1,1))</f>
        <v>404.14319681142746</v>
      </c>
      <c r="AO41" s="60">
        <f t="shared" si="36"/>
        <v>203.5274665601915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8.4</v>
      </c>
      <c r="BD41" s="13">
        <f>IF('Données projet'!$A$88&gt;35,BD40+BC41-BL40,IF(A41&lt;'Données projet'!$A$88,$BA$205^A41,IF(A41='Données projet'!$A$88,'Données projet'!$B$88,BD40+BC41-BL40)))</f>
        <v>141.20000000000002</v>
      </c>
      <c r="BE41" s="14">
        <f>BD41*VLOOKUP('Données projet'!$B$11,Paramètres!$A$1:$I$89,3,0)*VLOOKUP('Données projet'!$B$11,Paramètres!$A$1:$I$89,5,0)</f>
        <v>143.17680000000004</v>
      </c>
      <c r="BF41" s="14">
        <f t="shared" si="37"/>
        <v>37.023812674521515</v>
      </c>
      <c r="BG41" s="22">
        <f t="shared" si="7"/>
        <v>313.84940040812506</v>
      </c>
      <c r="BH41" s="60">
        <f t="shared" si="8"/>
        <v>607.18273374145838</v>
      </c>
      <c r="BI41" s="60">
        <f ca="1">AVERAGE(OFFSET($BH$3,0,0,'Données projet'!$E$11+1,1))-AVERAGE(OFFSET($H$3,0,0,'Données projet'!$E$11+1,1))</f>
        <v>350.3652766444938</v>
      </c>
      <c r="BJ41" s="60">
        <f t="shared" si="38"/>
        <v>197.04549436738586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8.4</v>
      </c>
      <c r="BY41" s="13">
        <f>IF('Données projet'!$A$114&gt;35,BY40+BX41-CG40,IF(A41&lt;'Données projet'!$A$114,$BV$205^A41,IF(A41='Données projet'!$A$114,'Données projet'!$B$114,BY40+BX41-CG40)))</f>
        <v>141.20000000000002</v>
      </c>
      <c r="BZ41" s="14">
        <f>BY41*VLOOKUP('Données projet'!$B$12,Paramètres!$A$1:$I$89,3,0)*VLOOKUP('Données projet'!$B$12,Paramètres!$A$1:$I$89,5,0)</f>
        <v>136.56864000000002</v>
      </c>
      <c r="CA41" s="14">
        <f t="shared" si="39"/>
        <v>35.509797430964703</v>
      </c>
      <c r="CB41" s="22">
        <f t="shared" si="10"/>
        <v>299.70327852559689</v>
      </c>
      <c r="CC41" s="60">
        <f t="shared" si="11"/>
        <v>593.0366118589302</v>
      </c>
      <c r="CD41" s="60">
        <f ca="1">AVERAGE(OFFSET($CC$3,0,0,'Données projet'!$E$12+1,1))-AVERAGE(OFFSET($H$3,0,0,'Données projet'!$E$12+1,1))</f>
        <v>330.39429528665841</v>
      </c>
      <c r="CE41" s="60">
        <f t="shared" si="40"/>
        <v>186.45728006007261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8.4</v>
      </c>
      <c r="CT41" s="13">
        <f>IF('Données projet'!$A$140&gt;35,CT40+CS41-DB40,IF(A41&lt;'Données projet'!$A$140,$CQ$205^A41,IF(A41='Données projet'!$A$140,'Données projet'!$B$140,CT40+CS41-DB40)))</f>
        <v>141.20000000000002</v>
      </c>
      <c r="CU41" s="18">
        <f>CT41*VLOOKUP('Données projet'!$B$13,Paramètres!$A$1:$I$89,3,0)*VLOOKUP('Données projet'!$B$13,Paramètres!$A$1:$I$89,5,0)</f>
        <v>151.98768000000001</v>
      </c>
      <c r="CV41" s="14">
        <f t="shared" si="41"/>
        <v>39.029946373574369</v>
      </c>
      <c r="CW41" s="22">
        <f t="shared" si="13"/>
        <v>332.68903260064207</v>
      </c>
      <c r="CX41" s="60">
        <f t="shared" si="14"/>
        <v>626.02236593397538</v>
      </c>
      <c r="CY41" s="60">
        <f ca="1">AVERAGE(OFFSET($CX$3,0,0,'Données projet'!$E$13+1,1))-AVERAGE(OFFSET($H$3,0,0,'Données projet'!$E$13+1,1))</f>
        <v>376.96388721258387</v>
      </c>
      <c r="CZ41" s="60">
        <f t="shared" si="42"/>
        <v>211.14628470344377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7.1794871794871824</v>
      </c>
      <c r="DO41" s="13">
        <f>IF('Données projet'!$A$166&gt;35,DO40+DN41-DW40,IF(A41&lt;'Données projet'!$A$166,$DL$205^A41,IF(A41='Données projet'!$A$166,'Données projet'!$B$166,DO40+DN41-DW40)))</f>
        <v>176.66666666666669</v>
      </c>
      <c r="DP41" s="18">
        <f>DO41*VLOOKUP('Données projet'!$B$14,Paramètres!$A$1:$I$89,3,0)*VLOOKUP('Données projet'!$B$14,Paramètres!$A$1:$I$89,5,0)</f>
        <v>118.50800000000001</v>
      </c>
      <c r="DQ41" s="14">
        <f t="shared" si="43"/>
        <v>31.326761814194999</v>
      </c>
      <c r="DR41" s="22">
        <f t="shared" si="16"/>
        <v>260.96221015972299</v>
      </c>
      <c r="DS41" s="60">
        <f t="shared" si="17"/>
        <v>554.29554349305636</v>
      </c>
      <c r="DT41" s="60">
        <f ca="1">AVERAGE(OFFSET($DS$3,0,0,'Données projet'!$E$14+1,1))-AVERAGE(OFFSET($H$3,0,0,'Données projet'!$E$14+1,1))</f>
        <v>212.33913923444732</v>
      </c>
      <c r="DU41" s="60">
        <f t="shared" si="44"/>
        <v>183.51194426094372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0" t="e">
        <f t="shared" si="20"/>
        <v>#N/A</v>
      </c>
      <c r="EO41" s="60" t="e">
        <f ca="1">AVERAGE(OFFSET($EN$3,0,0,'Données projet'!$E$15+1,1))-AVERAGE(OFFSET($H$3,0,0,'Données projet'!$E$15+1,1))</f>
        <v>#N/A</v>
      </c>
      <c r="EP41" s="60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0" t="e">
        <f t="shared" si="23"/>
        <v>#N/A</v>
      </c>
      <c r="FJ41" s="60" t="e">
        <f ca="1">AVERAGE(OFFSET($FI$3,0,0,'Données projet'!$E$16+1,1))-AVERAGE(OFFSET($H$3,0,0,'Données projet'!$E$16+1,1))</f>
        <v>#N/A</v>
      </c>
      <c r="FK41" s="60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0" t="e">
        <f t="shared" si="26"/>
        <v>#N/A</v>
      </c>
      <c r="GE41" s="60" t="e">
        <f ca="1">AVERAGE(OFFSET($GD$3,0,0,'Données projet'!$E$17+1,1))-AVERAGE(OFFSET($H$3,0,0,'Données projet'!$E$17+1,1))</f>
        <v>#N/A</v>
      </c>
      <c r="GF41" s="60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0" t="e">
        <f t="shared" si="29"/>
        <v>#N/A</v>
      </c>
      <c r="GZ41" s="60" t="e">
        <f ca="1">AVERAGE(OFFSET($GY$3,0,0,'Données projet'!$E$18+1,1))-AVERAGE(OFFSET($H$3,0,0,'Données projet'!$E$18+1,1))</f>
        <v>#N/A</v>
      </c>
      <c r="HA41" s="60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5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2">
        <f t="shared" si="32"/>
        <v>6.8738518981865644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8">
        <f t="shared" si="1"/>
        <v>342.3923420560082</v>
      </c>
      <c r="I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9.981538461538463</v>
      </c>
      <c r="N42" s="14">
        <f>IF('Données projet'!$A$36&gt;35,N41+M42-V41,IF(A42&lt;'Données projet'!$A$36,$K$205^A42,IF(A42='Données projet'!$A$36,'Données projet'!$B$36,N41+M42-V41)))</f>
        <v>187.81846153846152</v>
      </c>
      <c r="O42" s="14">
        <f>N42*VLOOKUP('Données projet'!$B$9,Paramètres!$A$1:$I$89,3,0)*VLOOKUP('Données projet'!$B$9,Paramètres!$A$1:$I$89,5,0)</f>
        <v>87.899039999999985</v>
      </c>
      <c r="P42" s="14">
        <f t="shared" si="33"/>
        <v>24.05782956318463</v>
      </c>
      <c r="Q42" s="22">
        <f t="shared" si="53"/>
        <v>194.99154782254652</v>
      </c>
      <c r="R42" s="60">
        <f t="shared" si="0"/>
        <v>488.32488115587984</v>
      </c>
      <c r="S42" s="60">
        <f ca="1">AVERAGE(OFFSET($R$3,0,0,'Données projet'!$E$9+1,1))-AVERAGE(OFFSET($H$3,0,0,'Données projet'!$E$9+1,1))</f>
        <v>146.40889017442277</v>
      </c>
      <c r="T42" s="60">
        <f t="shared" si="34"/>
        <v>70.859031694091868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11.2</v>
      </c>
      <c r="AI42" s="14">
        <f>IF('Données projet'!$A$62&gt;35,AI41+AH42-AQ41,IF(A42&lt;'Données projet'!$A$62,$AF$205^A42,IF(A42='Données projet'!$A$62,'Données projet'!$B$62,AI41+AH42-AQ41)))</f>
        <v>163.80000000000004</v>
      </c>
      <c r="AJ42" s="14">
        <f>AI42*VLOOKUP('Données projet'!$B$10,Paramètres!$A$1:$I$89,3,0)*VLOOKUP('Données projet'!$B$10,Paramètres!$A$1:$I$89,5,0)</f>
        <v>148.20624000000004</v>
      </c>
      <c r="AK42" s="14">
        <f t="shared" si="35"/>
        <v>38.170662245893794</v>
      </c>
      <c r="AL42" s="22">
        <f t="shared" si="4"/>
        <v>324.60643807826506</v>
      </c>
      <c r="AM42" s="60">
        <f t="shared" si="5"/>
        <v>617.93977141159837</v>
      </c>
      <c r="AN42" s="60">
        <f ca="1">AVERAGE(OFFSET($AM$3,0,0,'Données projet'!$E$10+1,1))-AVERAGE(OFFSET($H$3,0,0,'Données projet'!$E$10+1,1))</f>
        <v>404.14319681142746</v>
      </c>
      <c r="AO42" s="60">
        <f t="shared" si="36"/>
        <v>203.5274665601915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8.4</v>
      </c>
      <c r="BD42" s="13">
        <f>IF('Données projet'!$A$88&gt;35,BD41+BC42-BL41,IF(A42&lt;'Données projet'!$A$88,$BA$205^A42,IF(A42='Données projet'!$A$88,'Données projet'!$B$88,BD41+BC42-BL41)))</f>
        <v>149.60000000000002</v>
      </c>
      <c r="BE42" s="14">
        <f>BD42*VLOOKUP('Données projet'!$B$11,Paramètres!$A$1:$I$89,3,0)*VLOOKUP('Données projet'!$B$11,Paramètres!$A$1:$I$89,5,0)</f>
        <v>151.69440000000003</v>
      </c>
      <c r="BF42" s="14">
        <f t="shared" si="37"/>
        <v>38.963392010880654</v>
      </c>
      <c r="BG42" s="22">
        <f t="shared" si="7"/>
        <v>332.06232108561716</v>
      </c>
      <c r="BH42" s="60">
        <f t="shared" si="8"/>
        <v>625.39565441895047</v>
      </c>
      <c r="BI42" s="60">
        <f ca="1">AVERAGE(OFFSET($BH$3,0,0,'Données projet'!$E$11+1,1))-AVERAGE(OFFSET($H$3,0,0,'Données projet'!$E$11+1,1))</f>
        <v>350.3652766444938</v>
      </c>
      <c r="BJ42" s="60">
        <f t="shared" si="38"/>
        <v>197.04549436738586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8.4</v>
      </c>
      <c r="BY42" s="13">
        <f>IF('Données projet'!$A$114&gt;35,BY41+BX42-CG41,IF(A42&lt;'Données projet'!$A$114,$BV$205^A42,IF(A42='Données projet'!$A$114,'Données projet'!$B$114,BY41+BX42-CG41)))</f>
        <v>149.60000000000002</v>
      </c>
      <c r="BZ42" s="14">
        <f>BY42*VLOOKUP('Données projet'!$B$12,Paramètres!$A$1:$I$89,3,0)*VLOOKUP('Données projet'!$B$12,Paramètres!$A$1:$I$89,5,0)</f>
        <v>144.69312000000002</v>
      </c>
      <c r="CA42" s="14">
        <f t="shared" si="39"/>
        <v>37.370061524802772</v>
      </c>
      <c r="CB42" s="22">
        <f t="shared" si="10"/>
        <v>317.09337448903148</v>
      </c>
      <c r="CC42" s="60">
        <f t="shared" si="11"/>
        <v>610.42670782236473</v>
      </c>
      <c r="CD42" s="60">
        <f ca="1">AVERAGE(OFFSET($CC$3,0,0,'Données projet'!$E$12+1,1))-AVERAGE(OFFSET($H$3,0,0,'Données projet'!$E$12+1,1))</f>
        <v>330.39429528665841</v>
      </c>
      <c r="CE42" s="60">
        <f t="shared" si="40"/>
        <v>186.45728006007261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8.4</v>
      </c>
      <c r="CT42" s="13">
        <f>IF('Données projet'!$A$140&gt;35,CT41+CS42-DB41,IF(A42&lt;'Données projet'!$A$140,$CQ$205^A42,IF(A42='Données projet'!$A$140,'Données projet'!$B$140,CT41+CS42-DB41)))</f>
        <v>149.60000000000002</v>
      </c>
      <c r="CU42" s="18">
        <f>CT42*VLOOKUP('Données projet'!$B$13,Paramètres!$A$1:$I$89,3,0)*VLOOKUP('Données projet'!$B$13,Paramètres!$A$1:$I$89,5,0)</f>
        <v>161.02944000000002</v>
      </c>
      <c r="CV42" s="14">
        <f t="shared" si="41"/>
        <v>41.074621732940685</v>
      </c>
      <c r="CW42" s="22">
        <f t="shared" si="13"/>
        <v>351.99790751820501</v>
      </c>
      <c r="CX42" s="60">
        <f t="shared" si="14"/>
        <v>645.33124085153827</v>
      </c>
      <c r="CY42" s="60">
        <f ca="1">AVERAGE(OFFSET($CX$3,0,0,'Données projet'!$E$13+1,1))-AVERAGE(OFFSET($H$3,0,0,'Données projet'!$E$13+1,1))</f>
        <v>376.96388721258387</v>
      </c>
      <c r="CZ42" s="60">
        <f t="shared" si="42"/>
        <v>211.14628470344377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7.1794871794871824</v>
      </c>
      <c r="DO42" s="13">
        <f>IF('Données projet'!$A$166&gt;35,DO41+DN42-DW41,IF(A42&lt;'Données projet'!$A$166,$DL$205^A42,IF(A42='Données projet'!$A$166,'Données projet'!$B$166,DO41+DN42-DW41)))</f>
        <v>183.84615384615387</v>
      </c>
      <c r="DP42" s="18">
        <f>DO42*VLOOKUP('Données projet'!$B$14,Paramètres!$A$1:$I$89,3,0)*VLOOKUP('Données projet'!$B$14,Paramètres!$A$1:$I$89,5,0)</f>
        <v>123.32400000000003</v>
      </c>
      <c r="DQ42" s="14">
        <f t="shared" si="43"/>
        <v>32.449030564483728</v>
      </c>
      <c r="DR42" s="22">
        <f t="shared" si="16"/>
        <v>271.30469489980919</v>
      </c>
      <c r="DS42" s="60">
        <f t="shared" si="17"/>
        <v>564.63802823314245</v>
      </c>
      <c r="DT42" s="60">
        <f ca="1">AVERAGE(OFFSET($DS$3,0,0,'Données projet'!$E$14+1,1))-AVERAGE(OFFSET($H$3,0,0,'Données projet'!$E$14+1,1))</f>
        <v>212.33913923444732</v>
      </c>
      <c r="DU42" s="60">
        <f t="shared" si="44"/>
        <v>183.51194426094372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0" t="e">
        <f t="shared" si="20"/>
        <v>#N/A</v>
      </c>
      <c r="EO42" s="60" t="e">
        <f ca="1">AVERAGE(OFFSET($EN$3,0,0,'Données projet'!$E$15+1,1))-AVERAGE(OFFSET($H$3,0,0,'Données projet'!$E$15+1,1))</f>
        <v>#N/A</v>
      </c>
      <c r="EP42" s="60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0" t="e">
        <f t="shared" si="23"/>
        <v>#N/A</v>
      </c>
      <c r="FJ42" s="60" t="e">
        <f ca="1">AVERAGE(OFFSET($FI$3,0,0,'Données projet'!$E$16+1,1))-AVERAGE(OFFSET($H$3,0,0,'Données projet'!$E$16+1,1))</f>
        <v>#N/A</v>
      </c>
      <c r="FK42" s="60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0" t="e">
        <f t="shared" si="26"/>
        <v>#N/A</v>
      </c>
      <c r="GE42" s="60" t="e">
        <f ca="1">AVERAGE(OFFSET($GD$3,0,0,'Données projet'!$E$17+1,1))-AVERAGE(OFFSET($H$3,0,0,'Données projet'!$E$17+1,1))</f>
        <v>#N/A</v>
      </c>
      <c r="GF42" s="60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0" t="e">
        <f t="shared" si="29"/>
        <v>#N/A</v>
      </c>
      <c r="GZ42" s="60" t="e">
        <f ca="1">AVERAGE(OFFSET($GY$3,0,0,'Données projet'!$E$18+1,1))-AVERAGE(OFFSET($H$3,0,0,'Données projet'!$E$18+1,1))</f>
        <v>#N/A</v>
      </c>
      <c r="HA42" s="60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5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2">
        <f t="shared" si="32"/>
        <v>7.0293584875852577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8">
        <f t="shared" si="1"/>
        <v>343.61413269921093</v>
      </c>
      <c r="I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197.79999999999998</v>
      </c>
      <c r="L43" s="13">
        <f>VLOOKUP(A43,'Données projet'!$A$35:$I$55,9,0)</f>
        <v>9.981538461538463</v>
      </c>
      <c r="M43" s="13">
        <f t="array" ref="M43">INDEX(L:L,MIN(IF(ISNUMBER(L43:L239),ROW(L43:L239),"")))</f>
        <v>9.981538461538463</v>
      </c>
      <c r="N43" s="14">
        <f>IF('Données projet'!$A$36&gt;35,N42+M43-V42,IF(A43&lt;'Données projet'!$A$36,$K$205^A43,IF(A43='Données projet'!$A$36,'Données projet'!$B$36,N42+M43-V42)))</f>
        <v>197.79999999999998</v>
      </c>
      <c r="O43" s="14">
        <f>N43*VLOOKUP('Données projet'!$B$9,Paramètres!$A$1:$I$89,3,0)*VLOOKUP('Données projet'!$B$9,Paramètres!$A$1:$I$89,5,0)</f>
        <v>92.570399999999978</v>
      </c>
      <c r="P43" s="14">
        <f t="shared" si="33"/>
        <v>25.184123943972491</v>
      </c>
      <c r="Q43" s="22">
        <f t="shared" si="53"/>
        <v>205.08912920241869</v>
      </c>
      <c r="R43" s="60">
        <f t="shared" si="0"/>
        <v>498.422462535752</v>
      </c>
      <c r="S43" s="60">
        <f ca="1">AVERAGE(OFFSET($R$3,0,0,'Données projet'!$E$9+1,1))-AVERAGE(OFFSET($H$3,0,0,'Données projet'!$E$9+1,1))</f>
        <v>146.40889017442277</v>
      </c>
      <c r="T43" s="60">
        <f t="shared" si="34"/>
        <v>70.859031694091868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175</v>
      </c>
      <c r="AG43" s="13">
        <f>VLOOKUP(A43,'Données projet'!$A$61:$I$81,9,0)</f>
        <v>11.2</v>
      </c>
      <c r="AH43" s="13">
        <f t="array" ref="AH43">INDEX(AG:AG,MIN(IF(ISNUMBER(AG43:AG239),ROW(AG43:AG239),"")))</f>
        <v>11.2</v>
      </c>
      <c r="AI43" s="14">
        <f>IF('Données projet'!$A$62&gt;35,AI42+AH43-AQ42,IF(A43&lt;'Données projet'!$A$62,$AF$205^A43,IF(A43='Données projet'!$A$62,'Données projet'!$B$62,AI42+AH43-AQ42)))</f>
        <v>175.00000000000003</v>
      </c>
      <c r="AJ43" s="14">
        <f>AI43*VLOOKUP('Données projet'!$B$10,Paramètres!$A$1:$I$89,3,0)*VLOOKUP('Données projet'!$B$10,Paramètres!$A$1:$I$89,5,0)</f>
        <v>158.34000000000003</v>
      </c>
      <c r="AK43" s="14">
        <f t="shared" si="35"/>
        <v>40.467870812652819</v>
      </c>
      <c r="AL43" s="22">
        <f t="shared" si="4"/>
        <v>346.25704166537042</v>
      </c>
      <c r="AM43" s="60">
        <f t="shared" si="5"/>
        <v>639.59037499870374</v>
      </c>
      <c r="AN43" s="60">
        <f ca="1">AVERAGE(OFFSET($AM$3,0,0,'Données projet'!$E$10+1,1))-AVERAGE(OFFSET($H$3,0,0,'Données projet'!$E$10+1,1))</f>
        <v>404.14319681142746</v>
      </c>
      <c r="AO43" s="60">
        <f t="shared" si="36"/>
        <v>203.5274665601915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158</v>
      </c>
      <c r="BB43" s="13">
        <f>VLOOKUP(A43,'Données projet'!$A$87:$I$107,9,0)</f>
        <v>8.4</v>
      </c>
      <c r="BC43" s="13">
        <f t="array" ref="BC43">INDEX(BB:BB,MIN(IF(ISNUMBER(BB43:BB239),ROW(BB43:BB239),"")))</f>
        <v>8.4</v>
      </c>
      <c r="BD43" s="13">
        <f>IF('Données projet'!$A$88&gt;35,BD42+BC43-BL42,IF(A43&lt;'Données projet'!$A$88,$BA$205^A43,IF(A43='Données projet'!$A$88,'Données projet'!$B$88,BD42+BC43-BL42)))</f>
        <v>158.00000000000003</v>
      </c>
      <c r="BE43" s="14">
        <f>BD43*VLOOKUP('Données projet'!$B$11,Paramètres!$A$1:$I$89,3,0)*VLOOKUP('Données projet'!$B$11,Paramètres!$A$1:$I$89,5,0)</f>
        <v>160.21200000000005</v>
      </c>
      <c r="BF43" s="14">
        <f t="shared" si="37"/>
        <v>40.890328912852695</v>
      </c>
      <c r="BG43" s="22">
        <f t="shared" si="7"/>
        <v>350.25322285655176</v>
      </c>
      <c r="BH43" s="60">
        <f t="shared" si="8"/>
        <v>643.58655618988507</v>
      </c>
      <c r="BI43" s="60">
        <f ca="1">AVERAGE(OFFSET($BH$3,0,0,'Données projet'!$E$11+1,1))-AVERAGE(OFFSET($H$3,0,0,'Données projet'!$E$11+1,1))</f>
        <v>350.3652766444938</v>
      </c>
      <c r="BJ43" s="60">
        <f t="shared" si="38"/>
        <v>197.04549436738586</v>
      </c>
      <c r="BK43" s="16">
        <f>IF(ISNA(VLOOKUP(A43,'Données projet'!$A$87:$I$107,3,0)),0,VLOOKUP(A43,'Données projet'!$A$87:$I$107,3,0))</f>
        <v>2</v>
      </c>
      <c r="BL43" s="16">
        <f>IF(ISNA(VLOOKUP(A43,'Données projet'!$A$87:$I$107,4,0)),0,VLOOKUP(A43,'Données projet'!$A$87:$I$107,4,0))</f>
        <v>42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158</v>
      </c>
      <c r="BW43" s="13">
        <f>VLOOKUP(A43,'Données projet'!$A$113:$I$133,9,0)</f>
        <v>8.4</v>
      </c>
      <c r="BX43" s="13">
        <f t="array" ref="BX43">INDEX(BW:BW,MIN(IF(ISNUMBER(BW43:BW239),ROW(BW43:BW239),"")))</f>
        <v>8.4</v>
      </c>
      <c r="BY43" s="13">
        <f>IF('Données projet'!$A$114&gt;35,BY42+BX43-CG42,IF(A43&lt;'Données projet'!$A$114,$BV$205^A43,IF(A43='Données projet'!$A$114,'Données projet'!$B$114,BY42+BX43-CG42)))</f>
        <v>158.00000000000003</v>
      </c>
      <c r="BZ43" s="14">
        <f>BY43*VLOOKUP('Données projet'!$B$12,Paramètres!$A$1:$I$89,3,0)*VLOOKUP('Données projet'!$B$12,Paramètres!$A$1:$I$89,5,0)</f>
        <v>152.81760000000003</v>
      </c>
      <c r="CA43" s="14">
        <f t="shared" si="39"/>
        <v>39.218200171484227</v>
      </c>
      <c r="CB43" s="22">
        <f t="shared" si="10"/>
        <v>334.46235196533502</v>
      </c>
      <c r="CC43" s="60">
        <f t="shared" si="11"/>
        <v>627.79568529866833</v>
      </c>
      <c r="CD43" s="60">
        <f ca="1">AVERAGE(OFFSET($CC$3,0,0,'Données projet'!$E$12+1,1))-AVERAGE(OFFSET($H$3,0,0,'Données projet'!$E$12+1,1))</f>
        <v>330.39429528665841</v>
      </c>
      <c r="CE43" s="60">
        <f t="shared" si="40"/>
        <v>186.45728006007261</v>
      </c>
      <c r="CF43" s="16">
        <f>IF(ISNA(VLOOKUP(A43,'Données projet'!$A$113:$I$133,3,0)),0,VLOOKUP(A43,'Données projet'!$A$113:$I$133,3,0))</f>
        <v>2</v>
      </c>
      <c r="CG43" s="16">
        <f>IF(ISNA(VLOOKUP(A43,'Données projet'!$A$113:$I$133,4,0)),0,VLOOKUP(A43,'Données projet'!$A$113:$I$133,4,0))</f>
        <v>42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158</v>
      </c>
      <c r="CR43" s="13">
        <f>VLOOKUP(A43,'Données projet'!$A$139:$I$159,9,0)</f>
        <v>8.4</v>
      </c>
      <c r="CS43" s="13">
        <f t="array" ref="CS43">INDEX(CR:CR,MIN(IF(ISNUMBER(CR43:CR239),ROW(CR43:CR239),"")))</f>
        <v>8.4</v>
      </c>
      <c r="CT43" s="13">
        <f>IF('Données projet'!$A$140&gt;35,CT42+CS43-DB42,IF(A43&lt;'Données projet'!$A$140,$CQ$205^A43,IF(A43='Données projet'!$A$140,'Données projet'!$B$140,CT42+CS43-DB42)))</f>
        <v>158.00000000000003</v>
      </c>
      <c r="CU43" s="18">
        <f>CT43*VLOOKUP('Données projet'!$B$13,Paramètres!$A$1:$I$89,3,0)*VLOOKUP('Données projet'!$B$13,Paramètres!$A$1:$I$89,5,0)</f>
        <v>170.07120000000003</v>
      </c>
      <c r="CV43" s="14">
        <f t="shared" si="41"/>
        <v>43.10596962815594</v>
      </c>
      <c r="CW43" s="22">
        <f t="shared" si="13"/>
        <v>371.28357043570503</v>
      </c>
      <c r="CX43" s="60">
        <f t="shared" si="14"/>
        <v>664.61690376903834</v>
      </c>
      <c r="CY43" s="60">
        <f ca="1">AVERAGE(OFFSET($CX$3,0,0,'Données projet'!$E$13+1,1))-AVERAGE(OFFSET($H$3,0,0,'Données projet'!$E$13+1,1))</f>
        <v>376.96388721258387</v>
      </c>
      <c r="CZ43" s="60">
        <f t="shared" si="42"/>
        <v>211.14628470344377</v>
      </c>
      <c r="DA43" s="16">
        <f>IF(ISNA(VLOOKUP(A43,'Données projet'!$A$139:$I$159,3,0)),0,VLOOKUP(A43,'Données projet'!$A$139:$I$159,3,0))</f>
        <v>2</v>
      </c>
      <c r="DB43" s="16">
        <f>IF(ISNA(VLOOKUP(A43,'Données projet'!$A$139:$I$159,4,0)),0,VLOOKUP(A43,'Données projet'!$A$139:$I$159,4,0))</f>
        <v>42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191.02564102564102</v>
      </c>
      <c r="DM43" s="13">
        <f>VLOOKUP(A43,'Données projet'!$A$165:$I$185,9,0)</f>
        <v>7.1794871794871824</v>
      </c>
      <c r="DN43" s="13">
        <f t="array" ref="DN43">INDEX(DM:DM,MIN(IF(ISNUMBER(DM43:DM239),ROW(DM43:DM239),"")))</f>
        <v>7.1794871794871824</v>
      </c>
      <c r="DO43" s="13">
        <f>IF('Données projet'!$A$166&gt;35,DO42+DN43-DW42,IF(A43&lt;'Données projet'!$A$166,$DL$205^A43,IF(A43='Données projet'!$A$166,'Données projet'!$B$166,DO42+DN43-DW42)))</f>
        <v>191.02564102564105</v>
      </c>
      <c r="DP43" s="18">
        <f>DO43*VLOOKUP('Données projet'!$B$14,Paramètres!$A$1:$I$89,3,0)*VLOOKUP('Données projet'!$B$14,Paramètres!$A$1:$I$89,5,0)</f>
        <v>128.14000000000001</v>
      </c>
      <c r="DQ43" s="14">
        <f t="shared" si="43"/>
        <v>33.566208132601098</v>
      </c>
      <c r="DR43" s="22">
        <f t="shared" si="16"/>
        <v>281.63831249761358</v>
      </c>
      <c r="DS43" s="60">
        <f t="shared" si="17"/>
        <v>574.97164583094695</v>
      </c>
      <c r="DT43" s="60">
        <f ca="1">AVERAGE(OFFSET($DS$3,0,0,'Données projet'!$E$14+1,1))-AVERAGE(OFFSET($H$3,0,0,'Données projet'!$E$14+1,1))</f>
        <v>212.33913923444732</v>
      </c>
      <c r="DU43" s="60">
        <f t="shared" si="44"/>
        <v>183.51194426094372</v>
      </c>
      <c r="DV43" s="16">
        <f>IF(ISNA(VLOOKUP(A43,'Données projet'!$A$165:$I$185,3,0)),0,VLOOKUP(A43,'Données projet'!$A$165:$I$185,3,0))</f>
        <v>3</v>
      </c>
      <c r="DW43" s="16">
        <f>IF(ISNA(VLOOKUP(A43,'Données projet'!$A$165:$I$185,4,0)),0,VLOOKUP(A43,'Données projet'!$A$165:$I$185,4,0))</f>
        <v>34.615384615384613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0" t="e">
        <f t="shared" si="20"/>
        <v>#N/A</v>
      </c>
      <c r="EO43" s="60" t="e">
        <f ca="1">AVERAGE(OFFSET($EN$3,0,0,'Données projet'!$E$15+1,1))-AVERAGE(OFFSET($H$3,0,0,'Données projet'!$E$15+1,1))</f>
        <v>#N/A</v>
      </c>
      <c r="EP43" s="60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0" t="e">
        <f t="shared" si="23"/>
        <v>#N/A</v>
      </c>
      <c r="FJ43" s="60" t="e">
        <f ca="1">AVERAGE(OFFSET($FI$3,0,0,'Données projet'!$E$16+1,1))-AVERAGE(OFFSET($H$3,0,0,'Données projet'!$E$16+1,1))</f>
        <v>#N/A</v>
      </c>
      <c r="FK43" s="60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0" t="e">
        <f t="shared" si="26"/>
        <v>#N/A</v>
      </c>
      <c r="GE43" s="60" t="e">
        <f ca="1">AVERAGE(OFFSET($GD$3,0,0,'Données projet'!$E$17+1,1))-AVERAGE(OFFSET($H$3,0,0,'Données projet'!$E$17+1,1))</f>
        <v>#N/A</v>
      </c>
      <c r="GF43" s="60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0" t="e">
        <f t="shared" si="29"/>
        <v>#N/A</v>
      </c>
      <c r="GZ43" s="60" t="e">
        <f ca="1">AVERAGE(OFFSET($GY$3,0,0,'Données projet'!$E$18+1,1))-AVERAGE(OFFSET($H$3,0,0,'Données projet'!$E$18+1,1))</f>
        <v>#N/A</v>
      </c>
      <c r="HA43" s="60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5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2">
        <f t="shared" si="32"/>
        <v>7.1844131608438397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8">
        <f t="shared" si="1"/>
        <v>344.83513625513632</v>
      </c>
      <c r="I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10.869230769230773</v>
      </c>
      <c r="N44" s="14">
        <f>IF('Données projet'!$A$36&gt;35,N43+M44-V43,IF(A44&lt;'Données projet'!$A$36,$K$205^A44,IF(A44='Données projet'!$A$36,'Données projet'!$B$36,N43+M44-V43)))</f>
        <v>208.66923076923075</v>
      </c>
      <c r="O44" s="14">
        <f>N44*VLOOKUP('Données projet'!$B$9,Paramètres!$A$1:$I$89,3,0)*VLOOKUP('Données projet'!$B$9,Paramètres!$A$1:$I$89,5,0)</f>
        <v>97.657199999999989</v>
      </c>
      <c r="P44" s="14">
        <f t="shared" si="33"/>
        <v>26.403090007431878</v>
      </c>
      <c r="Q44" s="22">
        <f t="shared" si="53"/>
        <v>216.07167176294379</v>
      </c>
      <c r="R44" s="60">
        <f t="shared" si="0"/>
        <v>509.40500509627714</v>
      </c>
      <c r="S44" s="60">
        <f ca="1">AVERAGE(OFFSET($R$3,0,0,'Données projet'!$E$9+1,1))-AVERAGE(OFFSET($H$3,0,0,'Données projet'!$E$9+1,1))</f>
        <v>146.40889017442277</v>
      </c>
      <c r="T44" s="60">
        <f t="shared" si="34"/>
        <v>70.859031694091868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11.4</v>
      </c>
      <c r="AI44" s="14">
        <f>IF('Données projet'!$A$62&gt;35,AI43+AH44-AQ43,IF(A44&lt;'Données projet'!$A$62,$AF$205^A44,IF(A44='Données projet'!$A$62,'Données projet'!$B$62,AI43+AH44-AQ43)))</f>
        <v>186.40000000000003</v>
      </c>
      <c r="AJ44" s="14">
        <f>AI44*VLOOKUP('Données projet'!$B$10,Paramètres!$A$1:$I$89,3,0)*VLOOKUP('Données projet'!$B$10,Paramètres!$A$1:$I$89,5,0)</f>
        <v>168.65472000000003</v>
      </c>
      <c r="AK44" s="14">
        <f t="shared" si="35"/>
        <v>42.78858644059585</v>
      </c>
      <c r="AL44" s="22">
        <f t="shared" si="4"/>
        <v>368.2637587173711</v>
      </c>
      <c r="AM44" s="60">
        <f t="shared" si="5"/>
        <v>661.59709205070442</v>
      </c>
      <c r="AN44" s="60">
        <f ca="1">AVERAGE(OFFSET($AM$3,0,0,'Données projet'!$E$10+1,1))-AVERAGE(OFFSET($H$3,0,0,'Données projet'!$E$10+1,1))</f>
        <v>404.14319681142746</v>
      </c>
      <c r="AO44" s="60">
        <f t="shared" si="36"/>
        <v>203.5274665601915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8.4</v>
      </c>
      <c r="BD44" s="13">
        <f>IF('Données projet'!$A$88&gt;35,BD43+BC44-BL43,IF(A44&lt;'Données projet'!$A$88,$BA$205^A44,IF(A44='Données projet'!$A$88,'Données projet'!$B$88,BD43+BC44-BL43)))</f>
        <v>124.40000000000003</v>
      </c>
      <c r="BE44" s="14">
        <f>BD44*VLOOKUP('Données projet'!$B$11,Paramètres!$A$1:$I$89,3,0)*VLOOKUP('Données projet'!$B$11,Paramètres!$A$1:$I$89,5,0)</f>
        <v>126.14160000000005</v>
      </c>
      <c r="BF44" s="14">
        <f t="shared" si="37"/>
        <v>33.10323903126482</v>
      </c>
      <c r="BG44" s="22">
        <f t="shared" si="7"/>
        <v>277.35142797945298</v>
      </c>
      <c r="BH44" s="60">
        <f t="shared" si="8"/>
        <v>570.68476131278635</v>
      </c>
      <c r="BI44" s="60">
        <f ca="1">AVERAGE(OFFSET($BH$3,0,0,'Données projet'!$E$11+1,1))-AVERAGE(OFFSET($H$3,0,0,'Données projet'!$E$11+1,1))</f>
        <v>350.3652766444938</v>
      </c>
      <c r="BJ44" s="60">
        <f t="shared" si="38"/>
        <v>197.04549436738586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8.4</v>
      </c>
      <c r="BY44" s="13">
        <f>IF('Données projet'!$A$114&gt;35,BY43+BX44-CG43,IF(A44&lt;'Données projet'!$A$114,$BV$205^A44,IF(A44='Données projet'!$A$114,'Données projet'!$B$114,BY43+BX44-CG43)))</f>
        <v>124.40000000000003</v>
      </c>
      <c r="BZ44" s="14">
        <f>BY44*VLOOKUP('Données projet'!$B$12,Paramètres!$A$1:$I$89,3,0)*VLOOKUP('Données projet'!$B$12,Paramètres!$A$1:$I$89,5,0)</f>
        <v>120.31968000000002</v>
      </c>
      <c r="CA44" s="14">
        <f t="shared" si="39"/>
        <v>31.74954785566829</v>
      </c>
      <c r="CB44" s="22">
        <f t="shared" si="10"/>
        <v>264.85390518195561</v>
      </c>
      <c r="CC44" s="60">
        <f t="shared" si="11"/>
        <v>558.18723851528898</v>
      </c>
      <c r="CD44" s="60">
        <f ca="1">AVERAGE(OFFSET($CC$3,0,0,'Données projet'!$E$12+1,1))-AVERAGE(OFFSET($H$3,0,0,'Données projet'!$E$12+1,1))</f>
        <v>330.39429528665841</v>
      </c>
      <c r="CE44" s="60">
        <f t="shared" si="40"/>
        <v>186.45728006007261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8.4</v>
      </c>
      <c r="CT44" s="13">
        <f>IF('Données projet'!$A$140&gt;35,CT43+CS44-DB43,IF(A44&lt;'Données projet'!$A$140,$CQ$205^A44,IF(A44='Données projet'!$A$140,'Données projet'!$B$140,CT43+CS44-DB43)))</f>
        <v>124.40000000000003</v>
      </c>
      <c r="CU44" s="18">
        <f>CT44*VLOOKUP('Données projet'!$B$13,Paramètres!$A$1:$I$89,3,0)*VLOOKUP('Données projet'!$B$13,Paramètres!$A$1:$I$89,5,0)</f>
        <v>133.90416000000002</v>
      </c>
      <c r="CV44" s="14">
        <f t="shared" si="41"/>
        <v>34.896936615903982</v>
      </c>
      <c r="CW44" s="22">
        <f t="shared" si="13"/>
        <v>293.99524327269938</v>
      </c>
      <c r="CX44" s="60">
        <f t="shared" si="14"/>
        <v>587.3285766060327</v>
      </c>
      <c r="CY44" s="60">
        <f ca="1">AVERAGE(OFFSET($CX$3,0,0,'Données projet'!$E$13+1,1))-AVERAGE(OFFSET($H$3,0,0,'Données projet'!$E$13+1,1))</f>
        <v>376.96388721258387</v>
      </c>
      <c r="CZ44" s="60">
        <f t="shared" si="42"/>
        <v>211.14628470344377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6.7948717948717956</v>
      </c>
      <c r="DO44" s="13">
        <f>IF('Données projet'!$A$166&gt;35,DO43+DN44-DW43,IF(A44&lt;'Données projet'!$A$166,$DL$205^A44,IF(A44='Données projet'!$A$166,'Données projet'!$B$166,DO43+DN44-DW43)))</f>
        <v>163.20512820512823</v>
      </c>
      <c r="DP44" s="18">
        <f>DO44*VLOOKUP('Données projet'!$B$14,Paramètres!$A$1:$I$89,3,0)*VLOOKUP('Données projet'!$B$14,Paramètres!$A$1:$I$89,5,0)</f>
        <v>109.47800000000001</v>
      </c>
      <c r="DQ44" s="14">
        <f t="shared" si="43"/>
        <v>29.207963273678622</v>
      </c>
      <c r="DR44" s="22">
        <f t="shared" si="16"/>
        <v>241.5447193683236</v>
      </c>
      <c r="DS44" s="60">
        <f t="shared" si="17"/>
        <v>534.87805270165688</v>
      </c>
      <c r="DT44" s="60">
        <f ca="1">AVERAGE(OFFSET($DS$3,0,0,'Données projet'!$E$14+1,1))-AVERAGE(OFFSET($H$3,0,0,'Données projet'!$E$14+1,1))</f>
        <v>212.33913923444732</v>
      </c>
      <c r="DU44" s="60">
        <f t="shared" si="44"/>
        <v>183.51194426094372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0" t="e">
        <f t="shared" si="20"/>
        <v>#N/A</v>
      </c>
      <c r="EO44" s="60" t="e">
        <f ca="1">AVERAGE(OFFSET($EN$3,0,0,'Données projet'!$E$15+1,1))-AVERAGE(OFFSET($H$3,0,0,'Données projet'!$E$15+1,1))</f>
        <v>#N/A</v>
      </c>
      <c r="EP44" s="60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0" t="e">
        <f t="shared" si="23"/>
        <v>#N/A</v>
      </c>
      <c r="FJ44" s="60" t="e">
        <f ca="1">AVERAGE(OFFSET($FI$3,0,0,'Données projet'!$E$16+1,1))-AVERAGE(OFFSET($H$3,0,0,'Données projet'!$E$16+1,1))</f>
        <v>#N/A</v>
      </c>
      <c r="FK44" s="60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0" t="e">
        <f t="shared" si="26"/>
        <v>#N/A</v>
      </c>
      <c r="GE44" s="60" t="e">
        <f ca="1">AVERAGE(OFFSET($GD$3,0,0,'Données projet'!$E$17+1,1))-AVERAGE(OFFSET($H$3,0,0,'Données projet'!$E$17+1,1))</f>
        <v>#N/A</v>
      </c>
      <c r="GF44" s="60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0" t="e">
        <f t="shared" si="29"/>
        <v>#N/A</v>
      </c>
      <c r="GZ44" s="60" t="e">
        <f ca="1">AVERAGE(OFFSET($GY$3,0,0,'Données projet'!$E$18+1,1))-AVERAGE(OFFSET($H$3,0,0,'Données projet'!$E$18+1,1))</f>
        <v>#N/A</v>
      </c>
      <c r="HA44" s="60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5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2">
        <f t="shared" si="32"/>
        <v>7.3390282083215048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8">
        <f t="shared" si="1"/>
        <v>346.05537412949326</v>
      </c>
      <c r="I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10.869230769230773</v>
      </c>
      <c r="N45" s="14">
        <f>IF('Données projet'!$A$36&gt;35,N44+M45-V44,IF(A45&lt;'Données projet'!$A$36,$K$205^A45,IF(A45='Données projet'!$A$36,'Données projet'!$B$36,N44+M45-V44)))</f>
        <v>219.53846153846152</v>
      </c>
      <c r="O45" s="14">
        <f>N45*VLOOKUP('Données projet'!$B$9,Paramètres!$A$1:$I$89,3,0)*VLOOKUP('Données projet'!$B$9,Paramètres!$A$1:$I$89,5,0)</f>
        <v>102.74399999999999</v>
      </c>
      <c r="P45" s="14">
        <f t="shared" si="33"/>
        <v>27.614684221611544</v>
      </c>
      <c r="Q45" s="22">
        <f t="shared" si="53"/>
        <v>227.04137501930674</v>
      </c>
      <c r="R45" s="60">
        <f t="shared" si="0"/>
        <v>520.37470835264003</v>
      </c>
      <c r="S45" s="60">
        <f ca="1">AVERAGE(OFFSET($R$3,0,0,'Données projet'!$E$9+1,1))-AVERAGE(OFFSET($H$3,0,0,'Données projet'!$E$9+1,1))</f>
        <v>146.40889017442277</v>
      </c>
      <c r="T45" s="60">
        <f t="shared" si="34"/>
        <v>70.859031694091868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11.4</v>
      </c>
      <c r="AI45" s="14">
        <f>IF('Données projet'!$A$62&gt;35,AI44+AH45-AQ44,IF(A45&lt;'Données projet'!$A$62,$AF$205^A45,IF(A45='Données projet'!$A$62,'Données projet'!$B$62,AI44+AH45-AQ44)))</f>
        <v>197.80000000000004</v>
      </c>
      <c r="AJ45" s="14">
        <f>AI45*VLOOKUP('Données projet'!$B$10,Paramètres!$A$1:$I$89,3,0)*VLOOKUP('Données projet'!$B$10,Paramètres!$A$1:$I$89,5,0)</f>
        <v>178.96944000000002</v>
      </c>
      <c r="AK45" s="14">
        <f t="shared" si="35"/>
        <v>45.092828990632619</v>
      </c>
      <c r="AL45" s="22">
        <f t="shared" si="4"/>
        <v>390.24178515868516</v>
      </c>
      <c r="AM45" s="60">
        <f t="shared" si="5"/>
        <v>683.57511849201842</v>
      </c>
      <c r="AN45" s="60">
        <f ca="1">AVERAGE(OFFSET($AM$3,0,0,'Données projet'!$E$10+1,1))-AVERAGE(OFFSET($H$3,0,0,'Données projet'!$E$10+1,1))</f>
        <v>404.14319681142746</v>
      </c>
      <c r="AO45" s="60">
        <f t="shared" si="36"/>
        <v>203.5274665601915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8.4</v>
      </c>
      <c r="BD45" s="13">
        <f>IF('Données projet'!$A$88&gt;35,BD44+BC45-BL44,IF(A45&lt;'Données projet'!$A$88,$BA$205^A45,IF(A45='Données projet'!$A$88,'Données projet'!$B$88,BD44+BC45-BL44)))</f>
        <v>132.80000000000004</v>
      </c>
      <c r="BE45" s="14">
        <f>BD45*VLOOKUP('Données projet'!$B$11,Paramètres!$A$1:$I$89,3,0)*VLOOKUP('Données projet'!$B$11,Paramètres!$A$1:$I$89,5,0)</f>
        <v>134.65920000000006</v>
      </c>
      <c r="BF45" s="14">
        <f t="shared" si="37"/>
        <v>35.07074737441733</v>
      </c>
      <c r="BG45" s="22">
        <f t="shared" si="7"/>
        <v>295.61299167711024</v>
      </c>
      <c r="BH45" s="60">
        <f t="shared" si="8"/>
        <v>588.94632501044362</v>
      </c>
      <c r="BI45" s="60">
        <f ca="1">AVERAGE(OFFSET($BH$3,0,0,'Données projet'!$E$11+1,1))-AVERAGE(OFFSET($H$3,0,0,'Données projet'!$E$11+1,1))</f>
        <v>350.3652766444938</v>
      </c>
      <c r="BJ45" s="60">
        <f t="shared" si="38"/>
        <v>197.04549436738586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8.4</v>
      </c>
      <c r="BY45" s="13">
        <f>IF('Données projet'!$A$114&gt;35,BY44+BX45-CG44,IF(A45&lt;'Données projet'!$A$114,$BV$205^A45,IF(A45='Données projet'!$A$114,'Données projet'!$B$114,BY44+BX45-CG44)))</f>
        <v>132.80000000000004</v>
      </c>
      <c r="BZ45" s="14">
        <f>BY45*VLOOKUP('Données projet'!$B$12,Paramètres!$A$1:$I$89,3,0)*VLOOKUP('Données projet'!$B$12,Paramètres!$A$1:$I$89,5,0)</f>
        <v>128.44416000000004</v>
      </c>
      <c r="CA45" s="14">
        <f t="shared" si="39"/>
        <v>33.636598855068954</v>
      </c>
      <c r="CB45" s="22">
        <f t="shared" si="10"/>
        <v>282.29065500591184</v>
      </c>
      <c r="CC45" s="60">
        <f t="shared" si="11"/>
        <v>575.62398833924522</v>
      </c>
      <c r="CD45" s="60">
        <f ca="1">AVERAGE(OFFSET($CC$3,0,0,'Données projet'!$E$12+1,1))-AVERAGE(OFFSET($H$3,0,0,'Données projet'!$E$12+1,1))</f>
        <v>330.39429528665841</v>
      </c>
      <c r="CE45" s="60">
        <f t="shared" si="40"/>
        <v>186.45728006007261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8.4</v>
      </c>
      <c r="CT45" s="13">
        <f>IF('Données projet'!$A$140&gt;35,CT44+CS45-DB44,IF(A45&lt;'Données projet'!$A$140,$CQ$205^A45,IF(A45='Données projet'!$A$140,'Données projet'!$B$140,CT44+CS45-DB44)))</f>
        <v>132.80000000000004</v>
      </c>
      <c r="CU45" s="18">
        <f>CT45*VLOOKUP('Données projet'!$B$13,Paramètres!$A$1:$I$89,3,0)*VLOOKUP('Données projet'!$B$13,Paramètres!$A$1:$I$89,5,0)</f>
        <v>142.94592000000003</v>
      </c>
      <c r="CV45" s="14">
        <f t="shared" si="41"/>
        <v>36.971054314096854</v>
      </c>
      <c r="CW45" s="22">
        <f t="shared" si="13"/>
        <v>313.35539693038538</v>
      </c>
      <c r="CX45" s="60">
        <f t="shared" si="14"/>
        <v>606.68873026371875</v>
      </c>
      <c r="CY45" s="60">
        <f ca="1">AVERAGE(OFFSET($CX$3,0,0,'Données projet'!$E$13+1,1))-AVERAGE(OFFSET($H$3,0,0,'Données projet'!$E$13+1,1))</f>
        <v>376.96388721258387</v>
      </c>
      <c r="CZ45" s="60">
        <f t="shared" si="42"/>
        <v>211.14628470344377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6.7948717948717956</v>
      </c>
      <c r="DO45" s="13">
        <f>IF('Données projet'!$A$166&gt;35,DO44+DN45-DW44,IF(A45&lt;'Données projet'!$A$166,$DL$205^A45,IF(A45='Données projet'!$A$166,'Données projet'!$B$166,DO44+DN45-DW44)))</f>
        <v>170.00000000000003</v>
      </c>
      <c r="DP45" s="18">
        <f>DO45*VLOOKUP('Données projet'!$B$14,Paramètres!$A$1:$I$89,3,0)*VLOOKUP('Données projet'!$B$14,Paramètres!$A$1:$I$89,5,0)</f>
        <v>114.03600000000002</v>
      </c>
      <c r="DQ45" s="14">
        <f t="shared" si="43"/>
        <v>30.279894261296121</v>
      </c>
      <c r="DR45" s="22">
        <f t="shared" si="16"/>
        <v>251.35018250509077</v>
      </c>
      <c r="DS45" s="60">
        <f t="shared" si="17"/>
        <v>544.68351583842411</v>
      </c>
      <c r="DT45" s="60">
        <f ca="1">AVERAGE(OFFSET($DS$3,0,0,'Données projet'!$E$14+1,1))-AVERAGE(OFFSET($H$3,0,0,'Données projet'!$E$14+1,1))</f>
        <v>212.33913923444732</v>
      </c>
      <c r="DU45" s="60">
        <f t="shared" si="44"/>
        <v>183.51194426094372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0" t="e">
        <f t="shared" si="20"/>
        <v>#N/A</v>
      </c>
      <c r="EO45" s="60" t="e">
        <f ca="1">AVERAGE(OFFSET($EN$3,0,0,'Données projet'!$E$15+1,1))-AVERAGE(OFFSET($H$3,0,0,'Données projet'!$E$15+1,1))</f>
        <v>#N/A</v>
      </c>
      <c r="EP45" s="60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0" t="e">
        <f t="shared" si="23"/>
        <v>#N/A</v>
      </c>
      <c r="FJ45" s="60" t="e">
        <f ca="1">AVERAGE(OFFSET($FI$3,0,0,'Données projet'!$E$16+1,1))-AVERAGE(OFFSET($H$3,0,0,'Données projet'!$E$16+1,1))</f>
        <v>#N/A</v>
      </c>
      <c r="FK45" s="60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0" t="e">
        <f t="shared" si="26"/>
        <v>#N/A</v>
      </c>
      <c r="GE45" s="60" t="e">
        <f ca="1">AVERAGE(OFFSET($GD$3,0,0,'Données projet'!$E$17+1,1))-AVERAGE(OFFSET($H$3,0,0,'Données projet'!$E$17+1,1))</f>
        <v>#N/A</v>
      </c>
      <c r="GF45" s="60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0" t="e">
        <f t="shared" si="29"/>
        <v>#N/A</v>
      </c>
      <c r="GZ45" s="60" t="e">
        <f ca="1">AVERAGE(OFFSET($GY$3,0,0,'Données projet'!$E$18+1,1))-AVERAGE(OFFSET($H$3,0,0,'Données projet'!$E$18+1,1))</f>
        <v>#N/A</v>
      </c>
      <c r="HA45" s="60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5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2">
        <f t="shared" si="32"/>
        <v>7.4932153017418166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8">
        <f t="shared" si="1"/>
        <v>347.27486665053362</v>
      </c>
      <c r="I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10.869230769230773</v>
      </c>
      <c r="N46" s="14">
        <f>IF('Données projet'!$A$36&gt;35,N45+M46-V45,IF(A46&lt;'Données projet'!$A$36,$K$205^A46,IF(A46='Données projet'!$A$36,'Données projet'!$B$36,N45+M46-V45)))</f>
        <v>230.40769230769229</v>
      </c>
      <c r="O46" s="14">
        <f>N46*VLOOKUP('Données projet'!$B$9,Paramètres!$A$1:$I$89,3,0)*VLOOKUP('Données projet'!$B$9,Paramètres!$A$1:$I$89,5,0)</f>
        <v>107.8308</v>
      </c>
      <c r="P46" s="14">
        <f t="shared" si="33"/>
        <v>28.819313214368158</v>
      </c>
      <c r="Q46" s="22">
        <f t="shared" si="53"/>
        <v>237.99894718169116</v>
      </c>
      <c r="R46" s="60">
        <f t="shared" si="0"/>
        <v>531.33228051502442</v>
      </c>
      <c r="S46" s="60">
        <f ca="1">AVERAGE(OFFSET($R$3,0,0,'Données projet'!$E$9+1,1))-AVERAGE(OFFSET($H$3,0,0,'Données projet'!$E$9+1,1))</f>
        <v>146.40889017442277</v>
      </c>
      <c r="T46" s="60">
        <f t="shared" si="34"/>
        <v>70.859031694091868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11.4</v>
      </c>
      <c r="AI46" s="14">
        <f>IF('Données projet'!$A$62&gt;35,AI45+AH46-AQ45,IF(A46&lt;'Données projet'!$A$62,$AF$205^A46,IF(A46='Données projet'!$A$62,'Données projet'!$B$62,AI45+AH46-AQ45)))</f>
        <v>209.20000000000005</v>
      </c>
      <c r="AJ46" s="14">
        <f>AI46*VLOOKUP('Données projet'!$B$10,Paramètres!$A$1:$I$89,3,0)*VLOOKUP('Données projet'!$B$10,Paramètres!$A$1:$I$89,5,0)</f>
        <v>189.28416000000001</v>
      </c>
      <c r="AK46" s="14">
        <f t="shared" si="35"/>
        <v>47.381656039514027</v>
      </c>
      <c r="AL46" s="22">
        <f t="shared" si="4"/>
        <v>412.19296293548695</v>
      </c>
      <c r="AM46" s="60">
        <f t="shared" si="5"/>
        <v>705.52629626882026</v>
      </c>
      <c r="AN46" s="60">
        <f ca="1">AVERAGE(OFFSET($AM$3,0,0,'Données projet'!$E$10+1,1))-AVERAGE(OFFSET($H$3,0,0,'Données projet'!$E$10+1,1))</f>
        <v>404.14319681142746</v>
      </c>
      <c r="AO46" s="60">
        <f t="shared" si="36"/>
        <v>203.5274665601915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8.4</v>
      </c>
      <c r="BD46" s="13">
        <f>IF('Données projet'!$A$88&gt;35,BD45+BC46-BL45,IF(A46&lt;'Données projet'!$A$88,$BA$205^A46,IF(A46='Données projet'!$A$88,'Données projet'!$B$88,BD45+BC46-BL45)))</f>
        <v>141.20000000000005</v>
      </c>
      <c r="BE46" s="14">
        <f>BD46*VLOOKUP('Données projet'!$B$11,Paramètres!$A$1:$I$89,3,0)*VLOOKUP('Données projet'!$B$11,Paramètres!$A$1:$I$89,5,0)</f>
        <v>143.17680000000004</v>
      </c>
      <c r="BF46" s="14">
        <f t="shared" si="37"/>
        <v>37.023812674521515</v>
      </c>
      <c r="BG46" s="22">
        <f t="shared" si="7"/>
        <v>313.84940040812506</v>
      </c>
      <c r="BH46" s="60">
        <f t="shared" si="8"/>
        <v>607.18273374145838</v>
      </c>
      <c r="BI46" s="60">
        <f ca="1">AVERAGE(OFFSET($BH$3,0,0,'Données projet'!$E$11+1,1))-AVERAGE(OFFSET($H$3,0,0,'Données projet'!$E$11+1,1))</f>
        <v>350.3652766444938</v>
      </c>
      <c r="BJ46" s="60">
        <f t="shared" si="38"/>
        <v>197.04549436738586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8.4</v>
      </c>
      <c r="BY46" s="13">
        <f>IF('Données projet'!$A$114&gt;35,BY45+BX46-CG45,IF(A46&lt;'Données projet'!$A$114,$BV$205^A46,IF(A46='Données projet'!$A$114,'Données projet'!$B$114,BY45+BX46-CG45)))</f>
        <v>141.20000000000005</v>
      </c>
      <c r="BZ46" s="14">
        <f>BY46*VLOOKUP('Données projet'!$B$12,Paramètres!$A$1:$I$89,3,0)*VLOOKUP('Données projet'!$B$12,Paramètres!$A$1:$I$89,5,0)</f>
        <v>136.56864000000004</v>
      </c>
      <c r="CA46" s="14">
        <f t="shared" si="39"/>
        <v>35.509797430964703</v>
      </c>
      <c r="CB46" s="22">
        <f t="shared" si="10"/>
        <v>299.70327852559694</v>
      </c>
      <c r="CC46" s="60">
        <f t="shared" si="11"/>
        <v>593.0366118589302</v>
      </c>
      <c r="CD46" s="60">
        <f ca="1">AVERAGE(OFFSET($CC$3,0,0,'Données projet'!$E$12+1,1))-AVERAGE(OFFSET($H$3,0,0,'Données projet'!$E$12+1,1))</f>
        <v>330.39429528665841</v>
      </c>
      <c r="CE46" s="60">
        <f t="shared" si="40"/>
        <v>186.45728006007261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8.4</v>
      </c>
      <c r="CT46" s="13">
        <f>IF('Données projet'!$A$140&gt;35,CT45+CS46-DB45,IF(A46&lt;'Données projet'!$A$140,$CQ$205^A46,IF(A46='Données projet'!$A$140,'Données projet'!$B$140,CT45+CS46-DB45)))</f>
        <v>141.20000000000005</v>
      </c>
      <c r="CU46" s="18">
        <f>CT46*VLOOKUP('Données projet'!$B$13,Paramètres!$A$1:$I$89,3,0)*VLOOKUP('Données projet'!$B$13,Paramètres!$A$1:$I$89,5,0)</f>
        <v>151.98768000000004</v>
      </c>
      <c r="CV46" s="14">
        <f t="shared" si="41"/>
        <v>39.029946373574369</v>
      </c>
      <c r="CW46" s="22">
        <f t="shared" si="13"/>
        <v>332.68903260064207</v>
      </c>
      <c r="CX46" s="60">
        <f t="shared" si="14"/>
        <v>626.02236593397538</v>
      </c>
      <c r="CY46" s="60">
        <f ca="1">AVERAGE(OFFSET($CX$3,0,0,'Données projet'!$E$13+1,1))-AVERAGE(OFFSET($H$3,0,0,'Données projet'!$E$13+1,1))</f>
        <v>376.96388721258387</v>
      </c>
      <c r="CZ46" s="60">
        <f t="shared" si="42"/>
        <v>211.14628470344377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6.7948717948717956</v>
      </c>
      <c r="DO46" s="13">
        <f>IF('Données projet'!$A$166&gt;35,DO45+DN46-DW45,IF(A46&lt;'Données projet'!$A$166,$DL$205^A46,IF(A46='Données projet'!$A$166,'Données projet'!$B$166,DO45+DN46-DW45)))</f>
        <v>176.79487179487182</v>
      </c>
      <c r="DP46" s="18">
        <f>DO46*VLOOKUP('Données projet'!$B$14,Paramètres!$A$1:$I$89,3,0)*VLOOKUP('Données projet'!$B$14,Paramètres!$A$1:$I$89,5,0)</f>
        <v>118.59400000000002</v>
      </c>
      <c r="DQ46" s="14">
        <f t="shared" si="43"/>
        <v>31.346848285873225</v>
      </c>
      <c r="DR46" s="22">
        <f t="shared" si="16"/>
        <v>261.14697743122923</v>
      </c>
      <c r="DS46" s="60">
        <f t="shared" si="17"/>
        <v>554.48031076456255</v>
      </c>
      <c r="DT46" s="60">
        <f ca="1">AVERAGE(OFFSET($DS$3,0,0,'Données projet'!$E$14+1,1))-AVERAGE(OFFSET($H$3,0,0,'Données projet'!$E$14+1,1))</f>
        <v>212.33913923444732</v>
      </c>
      <c r="DU46" s="60">
        <f t="shared" si="44"/>
        <v>183.51194426094372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0" t="e">
        <f t="shared" si="20"/>
        <v>#N/A</v>
      </c>
      <c r="EO46" s="60" t="e">
        <f ca="1">AVERAGE(OFFSET($EN$3,0,0,'Données projet'!$E$15+1,1))-AVERAGE(OFFSET($H$3,0,0,'Données projet'!$E$15+1,1))</f>
        <v>#N/A</v>
      </c>
      <c r="EP46" s="60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0" t="e">
        <f t="shared" si="23"/>
        <v>#N/A</v>
      </c>
      <c r="FJ46" s="60" t="e">
        <f ca="1">AVERAGE(OFFSET($FI$3,0,0,'Données projet'!$E$16+1,1))-AVERAGE(OFFSET($H$3,0,0,'Données projet'!$E$16+1,1))</f>
        <v>#N/A</v>
      </c>
      <c r="FK46" s="60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0" t="e">
        <f t="shared" si="26"/>
        <v>#N/A</v>
      </c>
      <c r="GE46" s="60" t="e">
        <f ca="1">AVERAGE(OFFSET($GD$3,0,0,'Données projet'!$E$17+1,1))-AVERAGE(OFFSET($H$3,0,0,'Données projet'!$E$17+1,1))</f>
        <v>#N/A</v>
      </c>
      <c r="GF46" s="60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0" t="e">
        <f t="shared" si="29"/>
        <v>#N/A</v>
      </c>
      <c r="GZ46" s="60" t="e">
        <f ca="1">AVERAGE(OFFSET($GY$3,0,0,'Données projet'!$E$18+1,1))-AVERAGE(OFFSET($H$3,0,0,'Données projet'!$E$18+1,1))</f>
        <v>#N/A</v>
      </c>
      <c r="HA46" s="60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5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2">
        <f t="shared" si="32"/>
        <v>7.6469855389835546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8">
        <f t="shared" si="1"/>
        <v>348.49363314706295</v>
      </c>
      <c r="I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10.869230769230773</v>
      </c>
      <c r="N47" s="14">
        <f>IF('Données projet'!$A$36&gt;35,N46+M47-V46,IF(A47&lt;'Données projet'!$A$36,$K$205^A47,IF(A47='Données projet'!$A$36,'Données projet'!$B$36,N46+M47-V46)))</f>
        <v>241.27692307692305</v>
      </c>
      <c r="O47" s="14">
        <f>N47*VLOOKUP('Données projet'!$B$9,Paramètres!$A$1:$I$89,3,0)*VLOOKUP('Données projet'!$B$9,Paramètres!$A$1:$I$89,5,0)</f>
        <v>112.91759999999999</v>
      </c>
      <c r="P47" s="14">
        <f t="shared" si="33"/>
        <v>30.017343081157474</v>
      </c>
      <c r="Q47" s="22">
        <f t="shared" si="53"/>
        <v>248.9450258663492</v>
      </c>
      <c r="R47" s="60">
        <f t="shared" si="0"/>
        <v>542.27835919968254</v>
      </c>
      <c r="S47" s="60">
        <f ca="1">AVERAGE(OFFSET($R$3,0,0,'Données projet'!$E$9+1,1))-AVERAGE(OFFSET($H$3,0,0,'Données projet'!$E$9+1,1))</f>
        <v>146.40889017442277</v>
      </c>
      <c r="T47" s="60">
        <f t="shared" si="34"/>
        <v>70.859031694091868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11.4</v>
      </c>
      <c r="AI47" s="14">
        <f>IF('Données projet'!$A$62&gt;35,AI46+AH47-AQ46,IF(A47&lt;'Données projet'!$A$62,$AF$205^A47,IF(A47='Données projet'!$A$62,'Données projet'!$B$62,AI46+AH47-AQ46)))</f>
        <v>220.60000000000005</v>
      </c>
      <c r="AJ47" s="14">
        <f>AI47*VLOOKUP('Données projet'!$B$10,Paramètres!$A$1:$I$89,3,0)*VLOOKUP('Données projet'!$B$10,Paramètres!$A$1:$I$89,5,0)</f>
        <v>199.59888000000004</v>
      </c>
      <c r="AK47" s="14">
        <f t="shared" si="35"/>
        <v>49.656003392529037</v>
      </c>
      <c r="AL47" s="22">
        <f t="shared" si="4"/>
        <v>434.11892190865478</v>
      </c>
      <c r="AM47" s="60">
        <f t="shared" si="5"/>
        <v>727.45225524198804</v>
      </c>
      <c r="AN47" s="60">
        <f ca="1">AVERAGE(OFFSET($AM$3,0,0,'Données projet'!$E$10+1,1))-AVERAGE(OFFSET($H$3,0,0,'Données projet'!$E$10+1,1))</f>
        <v>404.14319681142746</v>
      </c>
      <c r="AO47" s="60">
        <f t="shared" si="36"/>
        <v>203.5274665601915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8.4</v>
      </c>
      <c r="BD47" s="13">
        <f>IF('Données projet'!$A$88&gt;35,BD46+BC47-BL46,IF(A47&lt;'Données projet'!$A$88,$BA$205^A47,IF(A47='Données projet'!$A$88,'Données projet'!$B$88,BD46+BC47-BL46)))</f>
        <v>149.60000000000005</v>
      </c>
      <c r="BE47" s="14">
        <f>BD47*VLOOKUP('Données projet'!$B$11,Paramètres!$A$1:$I$89,3,0)*VLOOKUP('Données projet'!$B$11,Paramètres!$A$1:$I$89,5,0)</f>
        <v>151.69440000000006</v>
      </c>
      <c r="BF47" s="14">
        <f t="shared" si="37"/>
        <v>38.963392010880654</v>
      </c>
      <c r="BG47" s="22">
        <f t="shared" si="7"/>
        <v>332.06232108561721</v>
      </c>
      <c r="BH47" s="60">
        <f t="shared" si="8"/>
        <v>625.39565441895047</v>
      </c>
      <c r="BI47" s="60">
        <f ca="1">AVERAGE(OFFSET($BH$3,0,0,'Données projet'!$E$11+1,1))-AVERAGE(OFFSET($H$3,0,0,'Données projet'!$E$11+1,1))</f>
        <v>350.3652766444938</v>
      </c>
      <c r="BJ47" s="60">
        <f t="shared" si="38"/>
        <v>197.04549436738586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8.4</v>
      </c>
      <c r="BY47" s="13">
        <f>IF('Données projet'!$A$114&gt;35,BY46+BX47-CG46,IF(A47&lt;'Données projet'!$A$114,$BV$205^A47,IF(A47='Données projet'!$A$114,'Données projet'!$B$114,BY46+BX47-CG46)))</f>
        <v>149.60000000000005</v>
      </c>
      <c r="BZ47" s="14">
        <f>BY47*VLOOKUP('Données projet'!$B$12,Paramètres!$A$1:$I$89,3,0)*VLOOKUP('Données projet'!$B$12,Paramètres!$A$1:$I$89,5,0)</f>
        <v>144.69312000000005</v>
      </c>
      <c r="CA47" s="14">
        <f t="shared" si="39"/>
        <v>37.370061524802772</v>
      </c>
      <c r="CB47" s="22">
        <f t="shared" si="10"/>
        <v>317.09337448903153</v>
      </c>
      <c r="CC47" s="60">
        <f t="shared" si="11"/>
        <v>610.42670782236485</v>
      </c>
      <c r="CD47" s="60">
        <f ca="1">AVERAGE(OFFSET($CC$3,0,0,'Données projet'!$E$12+1,1))-AVERAGE(OFFSET($H$3,0,0,'Données projet'!$E$12+1,1))</f>
        <v>330.39429528665841</v>
      </c>
      <c r="CE47" s="60">
        <f t="shared" si="40"/>
        <v>186.45728006007261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8.4</v>
      </c>
      <c r="CT47" s="13">
        <f>IF('Données projet'!$A$140&gt;35,CT46+CS47-DB46,IF(A47&lt;'Données projet'!$A$140,$CQ$205^A47,IF(A47='Données projet'!$A$140,'Données projet'!$B$140,CT46+CS47-DB46)))</f>
        <v>149.60000000000005</v>
      </c>
      <c r="CU47" s="18">
        <f>CT47*VLOOKUP('Données projet'!$B$13,Paramètres!$A$1:$I$89,3,0)*VLOOKUP('Données projet'!$B$13,Paramètres!$A$1:$I$89,5,0)</f>
        <v>161.02944000000005</v>
      </c>
      <c r="CV47" s="14">
        <f t="shared" si="41"/>
        <v>41.074621732940727</v>
      </c>
      <c r="CW47" s="22">
        <f t="shared" si="13"/>
        <v>351.99790751820518</v>
      </c>
      <c r="CX47" s="60">
        <f t="shared" si="14"/>
        <v>645.3312408515385</v>
      </c>
      <c r="CY47" s="60">
        <f ca="1">AVERAGE(OFFSET($CX$3,0,0,'Données projet'!$E$13+1,1))-AVERAGE(OFFSET($H$3,0,0,'Données projet'!$E$13+1,1))</f>
        <v>376.96388721258387</v>
      </c>
      <c r="CZ47" s="60">
        <f t="shared" si="42"/>
        <v>211.14628470344377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6.7948717948717956</v>
      </c>
      <c r="DO47" s="13">
        <f>IF('Données projet'!$A$166&gt;35,DO46+DN47-DW46,IF(A47&lt;'Données projet'!$A$166,$DL$205^A47,IF(A47='Données projet'!$A$166,'Données projet'!$B$166,DO46+DN47-DW46)))</f>
        <v>183.58974358974362</v>
      </c>
      <c r="DP47" s="18">
        <f>DO47*VLOOKUP('Données projet'!$B$14,Paramètres!$A$1:$I$89,3,0)*VLOOKUP('Données projet'!$B$14,Paramètres!$A$1:$I$89,5,0)</f>
        <v>123.15200000000002</v>
      </c>
      <c r="DQ47" s="14">
        <f t="shared" si="43"/>
        <v>32.409038525483382</v>
      </c>
      <c r="DR47" s="22">
        <f t="shared" si="16"/>
        <v>270.93547543188362</v>
      </c>
      <c r="DS47" s="60">
        <f t="shared" si="17"/>
        <v>564.26880876521693</v>
      </c>
      <c r="DT47" s="60">
        <f ca="1">AVERAGE(OFFSET($DS$3,0,0,'Données projet'!$E$14+1,1))-AVERAGE(OFFSET($H$3,0,0,'Données projet'!$E$14+1,1))</f>
        <v>212.33913923444732</v>
      </c>
      <c r="DU47" s="60">
        <f t="shared" si="44"/>
        <v>183.51194426094372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0" t="e">
        <f t="shared" si="20"/>
        <v>#N/A</v>
      </c>
      <c r="EO47" s="60" t="e">
        <f ca="1">AVERAGE(OFFSET($EN$3,0,0,'Données projet'!$E$15+1,1))-AVERAGE(OFFSET($H$3,0,0,'Données projet'!$E$15+1,1))</f>
        <v>#N/A</v>
      </c>
      <c r="EP47" s="60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0" t="e">
        <f t="shared" si="23"/>
        <v>#N/A</v>
      </c>
      <c r="FJ47" s="60" t="e">
        <f ca="1">AVERAGE(OFFSET($FI$3,0,0,'Données projet'!$E$16+1,1))-AVERAGE(OFFSET($H$3,0,0,'Données projet'!$E$16+1,1))</f>
        <v>#N/A</v>
      </c>
      <c r="FK47" s="60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0" t="e">
        <f t="shared" si="26"/>
        <v>#N/A</v>
      </c>
      <c r="GE47" s="60" t="e">
        <f ca="1">AVERAGE(OFFSET($GD$3,0,0,'Données projet'!$E$17+1,1))-AVERAGE(OFFSET($H$3,0,0,'Données projet'!$E$17+1,1))</f>
        <v>#N/A</v>
      </c>
      <c r="GF47" s="60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0" t="e">
        <f t="shared" si="29"/>
        <v>#N/A</v>
      </c>
      <c r="GZ47" s="60" t="e">
        <f ca="1">AVERAGE(OFFSET($GY$3,0,0,'Données projet'!$E$18+1,1))-AVERAGE(OFFSET($H$3,0,0,'Données projet'!$E$18+1,1))</f>
        <v>#N/A</v>
      </c>
      <c r="HA47" s="60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5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2">
        <f t="shared" si="32"/>
        <v>7.8003494846849248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8">
        <f t="shared" si="1"/>
        <v>349.7116920191595</v>
      </c>
      <c r="I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252.14615384615385</v>
      </c>
      <c r="L48" s="13">
        <f>VLOOKUP(A48,'Données projet'!$A$35:$I$55,9,0)</f>
        <v>10.869230769230773</v>
      </c>
      <c r="M48" s="13">
        <f t="array" ref="M48">INDEX(L:L,MIN(IF(ISNUMBER(L48:L244),ROW(L48:L244),"")))</f>
        <v>10.869230769230773</v>
      </c>
      <c r="N48" s="14">
        <f>IF('Données projet'!$A$36&gt;35,N47+M48-V47,IF(A48&lt;'Données projet'!$A$36,$K$205^A48,IF(A48='Données projet'!$A$36,'Données projet'!$B$36,N47+M48-V47)))</f>
        <v>252.14615384615382</v>
      </c>
      <c r="O48" s="14">
        <f>N48*VLOOKUP('Données projet'!$B$9,Paramètres!$A$1:$I$89,3,0)*VLOOKUP('Données projet'!$B$9,Paramètres!$A$1:$I$89,5,0)</f>
        <v>118.00439999999999</v>
      </c>
      <c r="P48" s="14">
        <f t="shared" si="33"/>
        <v>31.209105068500421</v>
      </c>
      <c r="Q48" s="22">
        <f t="shared" si="53"/>
        <v>259.88018799430489</v>
      </c>
      <c r="R48" s="60">
        <f t="shared" si="0"/>
        <v>553.2135213276382</v>
      </c>
      <c r="S48" s="60">
        <f ca="1">AVERAGE(OFFSET($R$3,0,0,'Données projet'!$E$9+1,1))-AVERAGE(OFFSET($H$3,0,0,'Données projet'!$E$9+1,1))</f>
        <v>146.40889017442277</v>
      </c>
      <c r="T48" s="60">
        <f t="shared" si="34"/>
        <v>70.859031694091868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232</v>
      </c>
      <c r="AG48" s="13">
        <f>VLOOKUP(A48,'Données projet'!$A$61:$I$81,9,0)</f>
        <v>11.4</v>
      </c>
      <c r="AH48" s="13">
        <f t="array" ref="AH48">INDEX(AG:AG,MIN(IF(ISNUMBER(AG48:AG244),ROW(AG48:AG244),"")))</f>
        <v>11.4</v>
      </c>
      <c r="AI48" s="14">
        <f>IF('Données projet'!$A$62&gt;35,AI47+AH48-AQ47,IF(A48&lt;'Données projet'!$A$62,$AF$205^A48,IF(A48='Données projet'!$A$62,'Données projet'!$B$62,AI47+AH48-AQ47)))</f>
        <v>232.00000000000006</v>
      </c>
      <c r="AJ48" s="14">
        <f>AI48*VLOOKUP('Données projet'!$B$10,Paramètres!$A$1:$I$89,3,0)*VLOOKUP('Données projet'!$B$10,Paramètres!$A$1:$I$89,5,0)</f>
        <v>209.91360000000006</v>
      </c>
      <c r="AK48" s="14">
        <f t="shared" si="35"/>
        <v>51.916704672341361</v>
      </c>
      <c r="AL48" s="22">
        <f t="shared" si="4"/>
        <v>456.02111397099458</v>
      </c>
      <c r="AM48" s="60">
        <f t="shared" si="5"/>
        <v>749.35444730432789</v>
      </c>
      <c r="AN48" s="60">
        <f ca="1">AVERAGE(OFFSET($AM$3,0,0,'Données projet'!$E$10+1,1))-AVERAGE(OFFSET($H$3,0,0,'Données projet'!$E$10+1,1))</f>
        <v>404.14319681142746</v>
      </c>
      <c r="AO48" s="60">
        <f t="shared" si="36"/>
        <v>203.5274665601915</v>
      </c>
      <c r="AP48" s="16">
        <f>IF(ISNA(VLOOKUP(A48,'Données projet'!$A$61:$I$81,3,0)),0,VLOOKUP(A48,'Données projet'!$A$61:$I$81,3,0))</f>
        <v>3</v>
      </c>
      <c r="AQ48" s="16">
        <f>IF(ISNA(VLOOKUP(A48,'Données projet'!$A$61:$I$81,4,0)),0,VLOOKUP(A48,'Données projet'!$A$61:$I$81,4,0))</f>
        <v>56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158</v>
      </c>
      <c r="BB48" s="13">
        <f>VLOOKUP(A48,'Données projet'!$A$87:$I$107,9,0)</f>
        <v>8.4</v>
      </c>
      <c r="BC48" s="13">
        <f t="array" ref="BC48">INDEX(BB:BB,MIN(IF(ISNUMBER(BB48:BB244),ROW(BB48:BB244),"")))</f>
        <v>8.4</v>
      </c>
      <c r="BD48" s="13">
        <f>IF('Données projet'!$A$88&gt;35,BD47+BC48-BL47,IF(A48&lt;'Données projet'!$A$88,$BA$205^A48,IF(A48='Données projet'!$A$88,'Données projet'!$B$88,BD47+BC48-BL47)))</f>
        <v>158.00000000000006</v>
      </c>
      <c r="BE48" s="14">
        <f>BD48*VLOOKUP('Données projet'!$B$11,Paramètres!$A$1:$I$89,3,0)*VLOOKUP('Données projet'!$B$11,Paramètres!$A$1:$I$89,5,0)</f>
        <v>160.21200000000007</v>
      </c>
      <c r="BF48" s="14">
        <f t="shared" si="37"/>
        <v>40.890328912852731</v>
      </c>
      <c r="BG48" s="22">
        <f t="shared" si="7"/>
        <v>350.25322285655193</v>
      </c>
      <c r="BH48" s="60">
        <f t="shared" si="8"/>
        <v>643.58655618988519</v>
      </c>
      <c r="BI48" s="60">
        <f ca="1">AVERAGE(OFFSET($BH$3,0,0,'Données projet'!$E$11+1,1))-AVERAGE(OFFSET($H$3,0,0,'Données projet'!$E$11+1,1))</f>
        <v>350.3652766444938</v>
      </c>
      <c r="BJ48" s="60">
        <f t="shared" si="38"/>
        <v>197.04549436738586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158</v>
      </c>
      <c r="BW48" s="13">
        <f>VLOOKUP(A48,'Données projet'!$A$113:$I$133,9,0)</f>
        <v>8.4</v>
      </c>
      <c r="BX48" s="13">
        <f t="array" ref="BX48">INDEX(BW:BW,MIN(IF(ISNUMBER(BW48:BW244),ROW(BW48:BW244),"")))</f>
        <v>8.4</v>
      </c>
      <c r="BY48" s="13">
        <f>IF('Données projet'!$A$114&gt;35,BY47+BX48-CG47,IF(A48&lt;'Données projet'!$A$114,$BV$205^A48,IF(A48='Données projet'!$A$114,'Données projet'!$B$114,BY47+BX48-CG47)))</f>
        <v>158.00000000000006</v>
      </c>
      <c r="BZ48" s="14">
        <f>BY48*VLOOKUP('Données projet'!$B$12,Paramètres!$A$1:$I$89,3,0)*VLOOKUP('Données projet'!$B$12,Paramètres!$A$1:$I$89,5,0)</f>
        <v>152.81760000000006</v>
      </c>
      <c r="CA48" s="14">
        <f t="shared" si="39"/>
        <v>39.218200171484227</v>
      </c>
      <c r="CB48" s="22">
        <f t="shared" si="10"/>
        <v>334.46235196533513</v>
      </c>
      <c r="CC48" s="60">
        <f t="shared" si="11"/>
        <v>627.79568529866845</v>
      </c>
      <c r="CD48" s="60">
        <f ca="1">AVERAGE(OFFSET($CC$3,0,0,'Données projet'!$E$12+1,1))-AVERAGE(OFFSET($H$3,0,0,'Données projet'!$E$12+1,1))</f>
        <v>330.39429528665841</v>
      </c>
      <c r="CE48" s="60">
        <f t="shared" si="40"/>
        <v>186.45728006007261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158</v>
      </c>
      <c r="CR48" s="13">
        <f>VLOOKUP(A48,'Données projet'!$A$139:$I$159,9,0)</f>
        <v>8.4</v>
      </c>
      <c r="CS48" s="13">
        <f t="array" ref="CS48">INDEX(CR:CR,MIN(IF(ISNUMBER(CR48:CR244),ROW(CR48:CR244),"")))</f>
        <v>8.4</v>
      </c>
      <c r="CT48" s="13">
        <f>IF('Données projet'!$A$140&gt;35,CT47+CS48-DB47,IF(A48&lt;'Données projet'!$A$140,$CQ$205^A48,IF(A48='Données projet'!$A$140,'Données projet'!$B$140,CT47+CS48-DB47)))</f>
        <v>158.00000000000006</v>
      </c>
      <c r="CU48" s="18">
        <f>CT48*VLOOKUP('Données projet'!$B$13,Paramètres!$A$1:$I$89,3,0)*VLOOKUP('Données projet'!$B$13,Paramètres!$A$1:$I$89,5,0)</f>
        <v>170.07120000000003</v>
      </c>
      <c r="CV48" s="14">
        <f t="shared" si="41"/>
        <v>43.10596962815594</v>
      </c>
      <c r="CW48" s="22">
        <f t="shared" si="13"/>
        <v>371.28357043570503</v>
      </c>
      <c r="CX48" s="60">
        <f t="shared" si="14"/>
        <v>664.61690376903834</v>
      </c>
      <c r="CY48" s="60">
        <f ca="1">AVERAGE(OFFSET($CX$3,0,0,'Données projet'!$E$13+1,1))-AVERAGE(OFFSET($H$3,0,0,'Données projet'!$E$13+1,1))</f>
        <v>376.96388721258387</v>
      </c>
      <c r="CZ48" s="60">
        <f t="shared" si="42"/>
        <v>211.14628470344377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190.38461538461539</v>
      </c>
      <c r="DM48" s="13">
        <f>VLOOKUP(A48,'Données projet'!$A$165:$I$185,9,0)</f>
        <v>6.7948717948717956</v>
      </c>
      <c r="DN48" s="13">
        <f t="array" ref="DN48">INDEX(DM:DM,MIN(IF(ISNUMBER(DM48:DM244),ROW(DM48:DM244),"")))</f>
        <v>6.7948717948717956</v>
      </c>
      <c r="DO48" s="13">
        <f>IF('Données projet'!$A$166&gt;35,DO47+DN48-DW47,IF(A48&lt;'Données projet'!$A$166,$DL$205^A48,IF(A48='Données projet'!$A$166,'Données projet'!$B$166,DO47+DN48-DW47)))</f>
        <v>190.38461538461542</v>
      </c>
      <c r="DP48" s="18">
        <f>DO48*VLOOKUP('Données projet'!$B$14,Paramètres!$A$1:$I$89,3,0)*VLOOKUP('Données projet'!$B$14,Paramètres!$A$1:$I$89,5,0)</f>
        <v>127.71000000000002</v>
      </c>
      <c r="DQ48" s="14">
        <f t="shared" si="43"/>
        <v>33.466661484162984</v>
      </c>
      <c r="DR48" s="22">
        <f t="shared" si="16"/>
        <v>280.71601875158382</v>
      </c>
      <c r="DS48" s="60">
        <f t="shared" si="17"/>
        <v>574.04935208491713</v>
      </c>
      <c r="DT48" s="60">
        <f ca="1">AVERAGE(OFFSET($DS$3,0,0,'Données projet'!$E$14+1,1))-AVERAGE(OFFSET($H$3,0,0,'Données projet'!$E$14+1,1))</f>
        <v>212.33913923444732</v>
      </c>
      <c r="DU48" s="60">
        <f t="shared" si="44"/>
        <v>183.51194426094372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0" t="e">
        <f t="shared" si="20"/>
        <v>#N/A</v>
      </c>
      <c r="EO48" s="60" t="e">
        <f ca="1">AVERAGE(OFFSET($EN$3,0,0,'Données projet'!$E$15+1,1))-AVERAGE(OFFSET($H$3,0,0,'Données projet'!$E$15+1,1))</f>
        <v>#N/A</v>
      </c>
      <c r="EP48" s="60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0" t="e">
        <f t="shared" si="23"/>
        <v>#N/A</v>
      </c>
      <c r="FJ48" s="60" t="e">
        <f ca="1">AVERAGE(OFFSET($FI$3,0,0,'Données projet'!$E$16+1,1))-AVERAGE(OFFSET($H$3,0,0,'Données projet'!$E$16+1,1))</f>
        <v>#N/A</v>
      </c>
      <c r="FK48" s="60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0" t="e">
        <f t="shared" si="26"/>
        <v>#N/A</v>
      </c>
      <c r="GE48" s="60" t="e">
        <f ca="1">AVERAGE(OFFSET($GD$3,0,0,'Données projet'!$E$17+1,1))-AVERAGE(OFFSET($H$3,0,0,'Données projet'!$E$17+1,1))</f>
        <v>#N/A</v>
      </c>
      <c r="GF48" s="60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0" t="e">
        <f t="shared" si="29"/>
        <v>#N/A</v>
      </c>
      <c r="GZ48" s="60" t="e">
        <f ca="1">AVERAGE(OFFSET($GY$3,0,0,'Données projet'!$E$18+1,1))-AVERAGE(OFFSET($H$3,0,0,'Données projet'!$E$18+1,1))</f>
        <v>#N/A</v>
      </c>
      <c r="HA48" s="60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5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2">
        <f t="shared" si="32"/>
        <v>7.9533172071366991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8">
        <f t="shared" si="1"/>
        <v>350.92906080242972</v>
      </c>
      <c r="I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11.552307692307688</v>
      </c>
      <c r="N49" s="14">
        <f>IF('Données projet'!$A$36&gt;35,N48+M49-V48,IF(A49&lt;'Données projet'!$A$36,$K$205^A49,IF(A49='Données projet'!$A$36,'Données projet'!$B$36,N48+M49-V48)))</f>
        <v>263.69846153846152</v>
      </c>
      <c r="O49" s="14">
        <f>N49*VLOOKUP('Données projet'!$B$9,Paramètres!$A$1:$I$89,3,0)*VLOOKUP('Données projet'!$B$9,Paramètres!$A$1:$I$89,5,0)</f>
        <v>123.41087999999998</v>
      </c>
      <c r="P49" s="14">
        <f t="shared" si="33"/>
        <v>32.469228726018009</v>
      </c>
      <c r="Q49" s="22">
        <f t="shared" si="53"/>
        <v>271.49118936448139</v>
      </c>
      <c r="R49" s="60">
        <f t="shared" si="0"/>
        <v>564.8245226978147</v>
      </c>
      <c r="S49" s="60">
        <f ca="1">AVERAGE(OFFSET($R$3,0,0,'Données projet'!$E$9+1,1))-AVERAGE(OFFSET($H$3,0,0,'Données projet'!$E$9+1,1))</f>
        <v>146.40889017442277</v>
      </c>
      <c r="T49" s="60">
        <f t="shared" si="34"/>
        <v>70.859031694091868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11</v>
      </c>
      <c r="AI49" s="14">
        <f>IF('Données projet'!$A$62&gt;35,AI48+AH49-AQ48,IF(A49&lt;'Données projet'!$A$62,$AF$205^A49,IF(A49='Données projet'!$A$62,'Données projet'!$B$62,AI48+AH49-AQ48)))</f>
        <v>187.00000000000006</v>
      </c>
      <c r="AJ49" s="14">
        <f>AI49*VLOOKUP('Données projet'!$B$10,Paramètres!$A$1:$I$89,3,0)*VLOOKUP('Données projet'!$B$10,Paramètres!$A$1:$I$89,5,0)</f>
        <v>169.19760000000005</v>
      </c>
      <c r="AK49" s="14">
        <f t="shared" si="35"/>
        <v>42.910263223432885</v>
      </c>
      <c r="AL49" s="22">
        <f t="shared" si="4"/>
        <v>369.42119511414563</v>
      </c>
      <c r="AM49" s="60">
        <f t="shared" si="5"/>
        <v>662.75452844747895</v>
      </c>
      <c r="AN49" s="60">
        <f ca="1">AVERAGE(OFFSET($AM$3,0,0,'Données projet'!$E$10+1,1))-AVERAGE(OFFSET($H$3,0,0,'Données projet'!$E$10+1,1))</f>
        <v>404.14319681142746</v>
      </c>
      <c r="AO49" s="60">
        <f t="shared" si="36"/>
        <v>203.5274665601915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8.1999999999999993</v>
      </c>
      <c r="BD49" s="13">
        <f>IF('Données projet'!$A$88&gt;35,BD48+BC49-BL48,IF(A49&lt;'Données projet'!$A$88,$BA$205^A49,IF(A49='Données projet'!$A$88,'Données projet'!$B$88,BD48+BC49-BL48)))</f>
        <v>166.20000000000005</v>
      </c>
      <c r="BE49" s="14">
        <f>BD49*VLOOKUP('Données projet'!$B$11,Paramètres!$A$1:$I$89,3,0)*VLOOKUP('Données projet'!$B$11,Paramètres!$A$1:$I$89,5,0)</f>
        <v>168.52680000000007</v>
      </c>
      <c r="BF49" s="14">
        <f t="shared" si="37"/>
        <v>42.759908842532369</v>
      </c>
      <c r="BG49" s="22">
        <f t="shared" si="7"/>
        <v>367.991017900744</v>
      </c>
      <c r="BH49" s="60">
        <f t="shared" si="8"/>
        <v>661.32435123407731</v>
      </c>
      <c r="BI49" s="60">
        <f ca="1">AVERAGE(OFFSET($BH$3,0,0,'Données projet'!$E$11+1,1))-AVERAGE(OFFSET($H$3,0,0,'Données projet'!$E$11+1,1))</f>
        <v>350.3652766444938</v>
      </c>
      <c r="BJ49" s="60">
        <f t="shared" si="38"/>
        <v>197.04549436738586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8.1999999999999993</v>
      </c>
      <c r="BY49" s="13">
        <f>IF('Données projet'!$A$114&gt;35,BY48+BX49-CG48,IF(A49&lt;'Données projet'!$A$114,$BV$205^A49,IF(A49='Données projet'!$A$114,'Données projet'!$B$114,BY48+BX49-CG48)))</f>
        <v>166.20000000000005</v>
      </c>
      <c r="BZ49" s="14">
        <f>BY49*VLOOKUP('Données projet'!$B$12,Paramètres!$A$1:$I$89,3,0)*VLOOKUP('Données projet'!$B$12,Paramètres!$A$1:$I$89,5,0)</f>
        <v>160.74864000000005</v>
      </c>
      <c r="CA49" s="14">
        <f t="shared" si="39"/>
        <v>41.011327345272264</v>
      </c>
      <c r="CB49" s="22">
        <f t="shared" si="10"/>
        <v>351.39860979301596</v>
      </c>
      <c r="CC49" s="60">
        <f t="shared" si="11"/>
        <v>644.73194312634928</v>
      </c>
      <c r="CD49" s="60">
        <f ca="1">AVERAGE(OFFSET($CC$3,0,0,'Données projet'!$E$12+1,1))-AVERAGE(OFFSET($H$3,0,0,'Données projet'!$E$12+1,1))</f>
        <v>330.39429528665841</v>
      </c>
      <c r="CE49" s="60">
        <f t="shared" si="40"/>
        <v>186.45728006007261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8.1999999999999993</v>
      </c>
      <c r="CT49" s="13">
        <f>IF('Données projet'!$A$140&gt;35,CT48+CS49-DB48,IF(A49&lt;'Données projet'!$A$140,$CQ$205^A49,IF(A49='Données projet'!$A$140,'Données projet'!$B$140,CT48+CS49-DB48)))</f>
        <v>166.20000000000005</v>
      </c>
      <c r="CU49" s="18">
        <f>CT49*VLOOKUP('Données projet'!$B$13,Paramètres!$A$1:$I$89,3,0)*VLOOKUP('Données projet'!$B$13,Paramètres!$A$1:$I$89,5,0)</f>
        <v>178.89768000000004</v>
      </c>
      <c r="CV49" s="14">
        <f t="shared" si="41"/>
        <v>45.076852665999411</v>
      </c>
      <c r="CW49" s="22">
        <f t="shared" si="13"/>
        <v>390.08897772661572</v>
      </c>
      <c r="CX49" s="60">
        <f t="shared" si="14"/>
        <v>683.42231105994904</v>
      </c>
      <c r="CY49" s="60">
        <f ca="1">AVERAGE(OFFSET($CX$3,0,0,'Données projet'!$E$13+1,1))-AVERAGE(OFFSET($H$3,0,0,'Données projet'!$E$13+1,1))</f>
        <v>376.96388721258387</v>
      </c>
      <c r="CZ49" s="60">
        <f t="shared" si="42"/>
        <v>211.14628470344377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6.2820512820512819</v>
      </c>
      <c r="DO49" s="13">
        <f>IF('Données projet'!$A$166&gt;35,DO48+DN49-DW48,IF(A49&lt;'Données projet'!$A$166,$DL$205^A49,IF(A49='Données projet'!$A$166,'Données projet'!$B$166,DO48+DN49-DW48)))</f>
        <v>196.66666666666669</v>
      </c>
      <c r="DP49" s="18">
        <f>DO49*VLOOKUP('Données projet'!$B$14,Paramètres!$A$1:$I$89,3,0)*VLOOKUP('Données projet'!$B$14,Paramètres!$A$1:$I$89,5,0)</f>
        <v>131.92400000000001</v>
      </c>
      <c r="DQ49" s="14">
        <f t="shared" si="43"/>
        <v>34.440558391692079</v>
      </c>
      <c r="DR49" s="22">
        <f t="shared" si="16"/>
        <v>289.75160586553034</v>
      </c>
      <c r="DS49" s="60">
        <f t="shared" si="17"/>
        <v>583.08493919886359</v>
      </c>
      <c r="DT49" s="60">
        <f ca="1">AVERAGE(OFFSET($DS$3,0,0,'Données projet'!$E$14+1,1))-AVERAGE(OFFSET($H$3,0,0,'Données projet'!$E$14+1,1))</f>
        <v>212.33913923444732</v>
      </c>
      <c r="DU49" s="60">
        <f t="shared" si="44"/>
        <v>183.51194426094372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0" t="e">
        <f t="shared" si="20"/>
        <v>#N/A</v>
      </c>
      <c r="EO49" s="60" t="e">
        <f ca="1">AVERAGE(OFFSET($EN$3,0,0,'Données projet'!$E$15+1,1))-AVERAGE(OFFSET($H$3,0,0,'Données projet'!$E$15+1,1))</f>
        <v>#N/A</v>
      </c>
      <c r="EP49" s="60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0" t="e">
        <f t="shared" si="23"/>
        <v>#N/A</v>
      </c>
      <c r="FJ49" s="60" t="e">
        <f ca="1">AVERAGE(OFFSET($FI$3,0,0,'Données projet'!$E$16+1,1))-AVERAGE(OFFSET($H$3,0,0,'Données projet'!$E$16+1,1))</f>
        <v>#N/A</v>
      </c>
      <c r="FK49" s="60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0" t="e">
        <f t="shared" si="26"/>
        <v>#N/A</v>
      </c>
      <c r="GE49" s="60" t="e">
        <f ca="1">AVERAGE(OFFSET($GD$3,0,0,'Données projet'!$E$17+1,1))-AVERAGE(OFFSET($H$3,0,0,'Données projet'!$E$17+1,1))</f>
        <v>#N/A</v>
      </c>
      <c r="GF49" s="60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0" t="e">
        <f t="shared" si="29"/>
        <v>#N/A</v>
      </c>
      <c r="GZ49" s="60" t="e">
        <f ca="1">AVERAGE(OFFSET($GY$3,0,0,'Données projet'!$E$18+1,1))-AVERAGE(OFFSET($H$3,0,0,'Données projet'!$E$18+1,1))</f>
        <v>#N/A</v>
      </c>
      <c r="HA49" s="60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5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2">
        <f t="shared" si="32"/>
        <v>8.1058983118768051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8">
        <f t="shared" si="1"/>
        <v>352.14575622651876</v>
      </c>
      <c r="I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11.552307692307688</v>
      </c>
      <c r="N50" s="14">
        <f>IF('Données projet'!$A$36&gt;35,N49+M50-V49,IF(A50&lt;'Données projet'!$A$36,$K$205^A50,IF(A50='Données projet'!$A$36,'Données projet'!$B$36,N49+M50-V49)))</f>
        <v>275.25076923076921</v>
      </c>
      <c r="O50" s="14">
        <f>N50*VLOOKUP('Données projet'!$B$9,Paramètres!$A$1:$I$89,3,0)*VLOOKUP('Données projet'!$B$9,Paramètres!$A$1:$I$89,5,0)</f>
        <v>128.81735999999998</v>
      </c>
      <c r="P50" s="14">
        <f t="shared" si="33"/>
        <v>33.722940772317983</v>
      </c>
      <c r="Q50" s="22">
        <f t="shared" si="53"/>
        <v>283.09102384512045</v>
      </c>
      <c r="R50" s="60">
        <f t="shared" si="0"/>
        <v>576.42435717845376</v>
      </c>
      <c r="S50" s="60">
        <f ca="1">AVERAGE(OFFSET($R$3,0,0,'Données projet'!$E$9+1,1))-AVERAGE(OFFSET($H$3,0,0,'Données projet'!$E$9+1,1))</f>
        <v>146.40889017442277</v>
      </c>
      <c r="T50" s="60">
        <f t="shared" si="34"/>
        <v>70.859031694091868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11</v>
      </c>
      <c r="AI50" s="14">
        <f>IF('Données projet'!$A$62&gt;35,AI49+AH50-AQ49,IF(A50&lt;'Données projet'!$A$62,$AF$205^A50,IF(A50='Données projet'!$A$62,'Données projet'!$B$62,AI49+AH50-AQ49)))</f>
        <v>198.00000000000006</v>
      </c>
      <c r="AJ50" s="14">
        <f>AI50*VLOOKUP('Données projet'!$B$10,Paramètres!$A$1:$I$89,3,0)*VLOOKUP('Données projet'!$B$10,Paramètres!$A$1:$I$89,5,0)</f>
        <v>179.15040000000005</v>
      </c>
      <c r="AK50" s="14">
        <f t="shared" si="35"/>
        <v>45.133113803437347</v>
      </c>
      <c r="AL50" s="22">
        <f t="shared" si="4"/>
        <v>390.62711987432004</v>
      </c>
      <c r="AM50" s="60">
        <f t="shared" si="5"/>
        <v>683.96045320765336</v>
      </c>
      <c r="AN50" s="60">
        <f ca="1">AVERAGE(OFFSET($AM$3,0,0,'Données projet'!$E$10+1,1))-AVERAGE(OFFSET($H$3,0,0,'Données projet'!$E$10+1,1))</f>
        <v>404.14319681142746</v>
      </c>
      <c r="AO50" s="60">
        <f t="shared" si="36"/>
        <v>203.5274665601915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8.1999999999999993</v>
      </c>
      <c r="BD50" s="13">
        <f>IF('Données projet'!$A$88&gt;35,BD49+BC50-BL49,IF(A50&lt;'Données projet'!$A$88,$BA$205^A50,IF(A50='Données projet'!$A$88,'Données projet'!$B$88,BD49+BC50-BL49)))</f>
        <v>174.40000000000003</v>
      </c>
      <c r="BE50" s="14">
        <f>BD50*VLOOKUP('Données projet'!$B$11,Paramètres!$A$1:$I$89,3,0)*VLOOKUP('Données projet'!$B$11,Paramètres!$A$1:$I$89,5,0)</f>
        <v>176.84160000000006</v>
      </c>
      <c r="BF50" s="14">
        <f t="shared" si="37"/>
        <v>44.618778032982952</v>
      </c>
      <c r="BG50" s="22">
        <f t="shared" si="7"/>
        <v>385.71015840744536</v>
      </c>
      <c r="BH50" s="60">
        <f t="shared" si="8"/>
        <v>679.04349174077868</v>
      </c>
      <c r="BI50" s="60">
        <f ca="1">AVERAGE(OFFSET($BH$3,0,0,'Données projet'!$E$11+1,1))-AVERAGE(OFFSET($H$3,0,0,'Données projet'!$E$11+1,1))</f>
        <v>350.3652766444938</v>
      </c>
      <c r="BJ50" s="60">
        <f t="shared" si="38"/>
        <v>197.04549436738586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8.1999999999999993</v>
      </c>
      <c r="BY50" s="13">
        <f>IF('Données projet'!$A$114&gt;35,BY49+BX50-CG49,IF(A50&lt;'Données projet'!$A$114,$BV$205^A50,IF(A50='Données projet'!$A$114,'Données projet'!$B$114,BY49+BX50-CG49)))</f>
        <v>174.40000000000003</v>
      </c>
      <c r="BZ50" s="14">
        <f>BY50*VLOOKUP('Données projet'!$B$12,Paramètres!$A$1:$I$89,3,0)*VLOOKUP('Données projet'!$B$12,Paramètres!$A$1:$I$89,5,0)</f>
        <v>168.67968000000002</v>
      </c>
      <c r="CA50" s="14">
        <f t="shared" si="39"/>
        <v>42.794181774227013</v>
      </c>
      <c r="CB50" s="22">
        <f t="shared" si="10"/>
        <v>368.3169759234454</v>
      </c>
      <c r="CC50" s="60">
        <f t="shared" si="11"/>
        <v>661.65030925677866</v>
      </c>
      <c r="CD50" s="60">
        <f ca="1">AVERAGE(OFFSET($CC$3,0,0,'Données projet'!$E$12+1,1))-AVERAGE(OFFSET($H$3,0,0,'Données projet'!$E$12+1,1))</f>
        <v>330.39429528665841</v>
      </c>
      <c r="CE50" s="60">
        <f t="shared" si="40"/>
        <v>186.45728006007261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8.1999999999999993</v>
      </c>
      <c r="CT50" s="13">
        <f>IF('Données projet'!$A$140&gt;35,CT49+CS50-DB49,IF(A50&lt;'Données projet'!$A$140,$CQ$205^A50,IF(A50='Données projet'!$A$140,'Données projet'!$B$140,CT49+CS50-DB49)))</f>
        <v>174.40000000000003</v>
      </c>
      <c r="CU50" s="18">
        <f>CT50*VLOOKUP('Données projet'!$B$13,Paramètres!$A$1:$I$89,3,0)*VLOOKUP('Données projet'!$B$13,Paramètres!$A$1:$I$89,5,0)</f>
        <v>187.72416000000004</v>
      </c>
      <c r="CV50" s="14">
        <f t="shared" si="41"/>
        <v>47.036444603668812</v>
      </c>
      <c r="CW50" s="22">
        <f t="shared" si="13"/>
        <v>408.87471968472323</v>
      </c>
      <c r="CX50" s="60">
        <f t="shared" si="14"/>
        <v>702.20805301805649</v>
      </c>
      <c r="CY50" s="60">
        <f ca="1">AVERAGE(OFFSET($CX$3,0,0,'Données projet'!$E$13+1,1))-AVERAGE(OFFSET($H$3,0,0,'Données projet'!$E$13+1,1))</f>
        <v>376.96388721258387</v>
      </c>
      <c r="CZ50" s="60">
        <f t="shared" si="42"/>
        <v>211.14628470344377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6.2820512820512819</v>
      </c>
      <c r="DO50" s="13">
        <f>IF('Données projet'!$A$166&gt;35,DO49+DN50-DW49,IF(A50&lt;'Données projet'!$A$166,$DL$205^A50,IF(A50='Données projet'!$A$166,'Données projet'!$B$166,DO49+DN50-DW49)))</f>
        <v>202.94871794871796</v>
      </c>
      <c r="DP50" s="18">
        <f>DO50*VLOOKUP('Données projet'!$B$14,Paramètres!$A$1:$I$89,3,0)*VLOOKUP('Données projet'!$B$14,Paramètres!$A$1:$I$89,5,0)</f>
        <v>136.13800000000001</v>
      </c>
      <c r="DQ50" s="14">
        <f t="shared" si="43"/>
        <v>35.410840305135217</v>
      </c>
      <c r="DR50" s="22">
        <f t="shared" si="16"/>
        <v>298.78089686477716</v>
      </c>
      <c r="DS50" s="60">
        <f t="shared" si="17"/>
        <v>592.11423019811048</v>
      </c>
      <c r="DT50" s="60">
        <f ca="1">AVERAGE(OFFSET($DS$3,0,0,'Données projet'!$E$14+1,1))-AVERAGE(OFFSET($H$3,0,0,'Données projet'!$E$14+1,1))</f>
        <v>212.33913923444732</v>
      </c>
      <c r="DU50" s="60">
        <f t="shared" si="44"/>
        <v>183.51194426094372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0" t="e">
        <f t="shared" si="20"/>
        <v>#N/A</v>
      </c>
      <c r="EO50" s="60" t="e">
        <f ca="1">AVERAGE(OFFSET($EN$3,0,0,'Données projet'!$E$15+1,1))-AVERAGE(OFFSET($H$3,0,0,'Données projet'!$E$15+1,1))</f>
        <v>#N/A</v>
      </c>
      <c r="EP50" s="60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0" t="e">
        <f t="shared" si="23"/>
        <v>#N/A</v>
      </c>
      <c r="FJ50" s="60" t="e">
        <f ca="1">AVERAGE(OFFSET($FI$3,0,0,'Données projet'!$E$16+1,1))-AVERAGE(OFFSET($H$3,0,0,'Données projet'!$E$16+1,1))</f>
        <v>#N/A</v>
      </c>
      <c r="FK50" s="60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0" t="e">
        <f t="shared" si="26"/>
        <v>#N/A</v>
      </c>
      <c r="GE50" s="60" t="e">
        <f ca="1">AVERAGE(OFFSET($GD$3,0,0,'Données projet'!$E$17+1,1))-AVERAGE(OFFSET($H$3,0,0,'Données projet'!$E$17+1,1))</f>
        <v>#N/A</v>
      </c>
      <c r="GF50" s="60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0" t="e">
        <f t="shared" si="29"/>
        <v>#N/A</v>
      </c>
      <c r="GZ50" s="60" t="e">
        <f ca="1">AVERAGE(OFFSET($GY$3,0,0,'Données projet'!$E$18+1,1))-AVERAGE(OFFSET($H$3,0,0,'Données projet'!$E$18+1,1))</f>
        <v>#N/A</v>
      </c>
      <c r="HA50" s="60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5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2">
        <f t="shared" si="32"/>
        <v>8.2581019723450915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8">
        <f t="shared" si="1"/>
        <v>353.361794268501</v>
      </c>
      <c r="I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11.552307692307688</v>
      </c>
      <c r="N51" s="14">
        <f>IF('Données projet'!$A$36&gt;35,N50+M51-V50,IF(A51&lt;'Données projet'!$A$36,$K$205^A51,IF(A51='Données projet'!$A$36,'Données projet'!$B$36,N50+M51-V50)))</f>
        <v>286.8030769230769</v>
      </c>
      <c r="O51" s="14">
        <f>N51*VLOOKUP('Données projet'!$B$9,Paramètres!$A$1:$I$89,3,0)*VLOOKUP('Données projet'!$B$9,Paramètres!$A$1:$I$89,5,0)</f>
        <v>134.22384</v>
      </c>
      <c r="P51" s="14">
        <f t="shared" si="33"/>
        <v>34.970541073225803</v>
      </c>
      <c r="Q51" s="22">
        <f t="shared" si="53"/>
        <v>294.6802137025349</v>
      </c>
      <c r="R51" s="60">
        <f t="shared" si="0"/>
        <v>588.01354703586821</v>
      </c>
      <c r="S51" s="60">
        <f ca="1">AVERAGE(OFFSET($R$3,0,0,'Données projet'!$E$9+1,1))-AVERAGE(OFFSET($H$3,0,0,'Données projet'!$E$9+1,1))</f>
        <v>146.40889017442277</v>
      </c>
      <c r="T51" s="60">
        <f t="shared" si="34"/>
        <v>70.859031694091868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11</v>
      </c>
      <c r="AI51" s="14">
        <f>IF('Données projet'!$A$62&gt;35,AI50+AH51-AQ50,IF(A51&lt;'Données projet'!$A$62,$AF$205^A51,IF(A51='Données projet'!$A$62,'Données projet'!$B$62,AI50+AH51-AQ50)))</f>
        <v>209.00000000000006</v>
      </c>
      <c r="AJ51" s="14">
        <f>AI51*VLOOKUP('Données projet'!$B$10,Paramètres!$A$1:$I$89,3,0)*VLOOKUP('Données projet'!$B$10,Paramètres!$A$1:$I$89,5,0)</f>
        <v>189.10320000000004</v>
      </c>
      <c r="AK51" s="14">
        <f t="shared" si="35"/>
        <v>47.341628542787163</v>
      </c>
      <c r="AL51" s="22">
        <f t="shared" si="4"/>
        <v>411.8080763786877</v>
      </c>
      <c r="AM51" s="60">
        <f t="shared" si="5"/>
        <v>705.14140971202096</v>
      </c>
      <c r="AN51" s="60">
        <f ca="1">AVERAGE(OFFSET($AM$3,0,0,'Données projet'!$E$10+1,1))-AVERAGE(OFFSET($H$3,0,0,'Données projet'!$E$10+1,1))</f>
        <v>404.14319681142746</v>
      </c>
      <c r="AO51" s="60">
        <f t="shared" si="36"/>
        <v>203.5274665601915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8.1999999999999993</v>
      </c>
      <c r="BD51" s="13">
        <f>IF('Données projet'!$A$88&gt;35,BD50+BC51-BL50,IF(A51&lt;'Données projet'!$A$88,$BA$205^A51,IF(A51='Données projet'!$A$88,'Données projet'!$B$88,BD50+BC51-BL50)))</f>
        <v>182.60000000000002</v>
      </c>
      <c r="BE51" s="14">
        <f>BD51*VLOOKUP('Données projet'!$B$11,Paramètres!$A$1:$I$89,3,0)*VLOOKUP('Données projet'!$B$11,Paramètres!$A$1:$I$89,5,0)</f>
        <v>185.15640000000002</v>
      </c>
      <c r="BF51" s="14">
        <f t="shared" si="37"/>
        <v>46.467497591770453</v>
      </c>
      <c r="BG51" s="22">
        <f t="shared" si="7"/>
        <v>403.4116216390002</v>
      </c>
      <c r="BH51" s="60">
        <f t="shared" si="8"/>
        <v>696.74495497233352</v>
      </c>
      <c r="BI51" s="60">
        <f ca="1">AVERAGE(OFFSET($BH$3,0,0,'Données projet'!$E$11+1,1))-AVERAGE(OFFSET($H$3,0,0,'Données projet'!$E$11+1,1))</f>
        <v>350.3652766444938</v>
      </c>
      <c r="BJ51" s="60">
        <f t="shared" si="38"/>
        <v>197.04549436738586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8.1999999999999993</v>
      </c>
      <c r="BY51" s="13">
        <f>IF('Données projet'!$A$114&gt;35,BY50+BX51-CG50,IF(A51&lt;'Données projet'!$A$114,$BV$205^A51,IF(A51='Données projet'!$A$114,'Données projet'!$B$114,BY50+BX51-CG50)))</f>
        <v>182.60000000000002</v>
      </c>
      <c r="BZ51" s="14">
        <f>BY51*VLOOKUP('Données projet'!$B$12,Paramètres!$A$1:$I$89,3,0)*VLOOKUP('Données projet'!$B$12,Paramètres!$A$1:$I$89,5,0)</f>
        <v>176.61072000000004</v>
      </c>
      <c r="CA51" s="14">
        <f t="shared" si="39"/>
        <v>44.56730162053563</v>
      </c>
      <c r="CB51" s="22">
        <f t="shared" si="10"/>
        <v>385.21838765576626</v>
      </c>
      <c r="CC51" s="60">
        <f t="shared" si="11"/>
        <v>678.55172098909952</v>
      </c>
      <c r="CD51" s="60">
        <f ca="1">AVERAGE(OFFSET($CC$3,0,0,'Données projet'!$E$12+1,1))-AVERAGE(OFFSET($H$3,0,0,'Données projet'!$E$12+1,1))</f>
        <v>330.39429528665841</v>
      </c>
      <c r="CE51" s="60">
        <f t="shared" si="40"/>
        <v>186.45728006007261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8.1999999999999993</v>
      </c>
      <c r="CT51" s="13">
        <f>IF('Données projet'!$A$140&gt;35,CT50+CS51-DB50,IF(A51&lt;'Données projet'!$A$140,$CQ$205^A51,IF(A51='Données projet'!$A$140,'Données projet'!$B$140,CT50+CS51-DB50)))</f>
        <v>182.60000000000002</v>
      </c>
      <c r="CU51" s="18">
        <f>CT51*VLOOKUP('Données projet'!$B$13,Paramètres!$A$1:$I$89,3,0)*VLOOKUP('Données projet'!$B$13,Paramètres!$A$1:$I$89,5,0)</f>
        <v>196.55064000000002</v>
      </c>
      <c r="CV51" s="14">
        <f t="shared" si="41"/>
        <v>48.985336952319578</v>
      </c>
      <c r="CW51" s="22">
        <f t="shared" si="13"/>
        <v>427.6418265252899</v>
      </c>
      <c r="CX51" s="60">
        <f t="shared" si="14"/>
        <v>720.97515985862321</v>
      </c>
      <c r="CY51" s="60">
        <f ca="1">AVERAGE(OFFSET($CX$3,0,0,'Données projet'!$E$13+1,1))-AVERAGE(OFFSET($H$3,0,0,'Données projet'!$E$13+1,1))</f>
        <v>376.96388721258387</v>
      </c>
      <c r="CZ51" s="60">
        <f t="shared" si="42"/>
        <v>211.14628470344377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6.2820512820512819</v>
      </c>
      <c r="DO51" s="13">
        <f>IF('Données projet'!$A$166&gt;35,DO50+DN51-DW50,IF(A51&lt;'Données projet'!$A$166,$DL$205^A51,IF(A51='Données projet'!$A$166,'Données projet'!$B$166,DO50+DN51-DW50)))</f>
        <v>209.23076923076923</v>
      </c>
      <c r="DP51" s="18">
        <f>DO51*VLOOKUP('Données projet'!$B$14,Paramètres!$A$1:$I$89,3,0)*VLOOKUP('Données projet'!$B$14,Paramètres!$A$1:$I$89,5,0)</f>
        <v>140.352</v>
      </c>
      <c r="DQ51" s="14">
        <f t="shared" si="43"/>
        <v>36.377631963176114</v>
      </c>
      <c r="DR51" s="22">
        <f t="shared" si="16"/>
        <v>307.80410900253173</v>
      </c>
      <c r="DS51" s="60">
        <f t="shared" si="17"/>
        <v>601.13744233586499</v>
      </c>
      <c r="DT51" s="60">
        <f ca="1">AVERAGE(OFFSET($DS$3,0,0,'Données projet'!$E$14+1,1))-AVERAGE(OFFSET($H$3,0,0,'Données projet'!$E$14+1,1))</f>
        <v>212.33913923444732</v>
      </c>
      <c r="DU51" s="60">
        <f t="shared" si="44"/>
        <v>183.51194426094372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0" t="e">
        <f t="shared" si="20"/>
        <v>#N/A</v>
      </c>
      <c r="EO51" s="60" t="e">
        <f ca="1">AVERAGE(OFFSET($EN$3,0,0,'Données projet'!$E$15+1,1))-AVERAGE(OFFSET($H$3,0,0,'Données projet'!$E$15+1,1))</f>
        <v>#N/A</v>
      </c>
      <c r="EP51" s="60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0" t="e">
        <f t="shared" si="23"/>
        <v>#N/A</v>
      </c>
      <c r="FJ51" s="60" t="e">
        <f ca="1">AVERAGE(OFFSET($FI$3,0,0,'Données projet'!$E$16+1,1))-AVERAGE(OFFSET($H$3,0,0,'Données projet'!$E$16+1,1))</f>
        <v>#N/A</v>
      </c>
      <c r="FK51" s="60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0" t="e">
        <f t="shared" si="26"/>
        <v>#N/A</v>
      </c>
      <c r="GE51" s="60" t="e">
        <f ca="1">AVERAGE(OFFSET($GD$3,0,0,'Données projet'!$E$17+1,1))-AVERAGE(OFFSET($H$3,0,0,'Données projet'!$E$17+1,1))</f>
        <v>#N/A</v>
      </c>
      <c r="GF51" s="60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0" t="e">
        <f t="shared" si="29"/>
        <v>#N/A</v>
      </c>
      <c r="GZ51" s="60" t="e">
        <f ca="1">AVERAGE(OFFSET($GY$3,0,0,'Données projet'!$E$18+1,1))-AVERAGE(OFFSET($H$3,0,0,'Données projet'!$E$18+1,1))</f>
        <v>#N/A</v>
      </c>
      <c r="HA51" s="60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5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2">
        <f t="shared" si="32"/>
        <v>8.4099369579114391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8">
        <f t="shared" si="1"/>
        <v>354.57719020169571</v>
      </c>
      <c r="I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11.552307692307688</v>
      </c>
      <c r="N52" s="14">
        <f>IF('Données projet'!$A$36&gt;35,N51+M52-V51,IF(A52&lt;'Données projet'!$A$36,$K$205^A52,IF(A52='Données projet'!$A$36,'Données projet'!$B$36,N51+M52-V51)))</f>
        <v>298.35538461538459</v>
      </c>
      <c r="O52" s="14">
        <f>N52*VLOOKUP('Données projet'!$B$9,Paramètres!$A$1:$I$89,3,0)*VLOOKUP('Données projet'!$B$9,Paramètres!$A$1:$I$89,5,0)</f>
        <v>139.63031999999998</v>
      </c>
      <c r="P52" s="14">
        <f t="shared" si="33"/>
        <v>36.212303970383452</v>
      </c>
      <c r="Q52" s="22">
        <f t="shared" si="53"/>
        <v>306.25923674841783</v>
      </c>
      <c r="R52" s="60">
        <f t="shared" si="0"/>
        <v>599.59257008175109</v>
      </c>
      <c r="S52" s="60">
        <f ca="1">AVERAGE(OFFSET($R$3,0,0,'Données projet'!$E$9+1,1))-AVERAGE(OFFSET($H$3,0,0,'Données projet'!$E$9+1,1))</f>
        <v>146.40889017442277</v>
      </c>
      <c r="T52" s="60">
        <f t="shared" si="34"/>
        <v>70.859031694091868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11</v>
      </c>
      <c r="AI52" s="14">
        <f>IF('Données projet'!$A$62&gt;35,AI51+AH52-AQ51,IF(A52&lt;'Données projet'!$A$62,$AF$205^A52,IF(A52='Données projet'!$A$62,'Données projet'!$B$62,AI51+AH52-AQ51)))</f>
        <v>220.00000000000006</v>
      </c>
      <c r="AJ52" s="14">
        <f>AI52*VLOOKUP('Données projet'!$B$10,Paramètres!$A$1:$I$89,3,0)*VLOOKUP('Données projet'!$B$10,Paramètres!$A$1:$I$89,5,0)</f>
        <v>199.05600000000004</v>
      </c>
      <c r="AK52" s="14">
        <f t="shared" si="35"/>
        <v>49.536648006253934</v>
      </c>
      <c r="AL52" s="22">
        <f t="shared" si="4"/>
        <v>432.96552861089231</v>
      </c>
      <c r="AM52" s="60">
        <f t="shared" si="5"/>
        <v>726.29886194422556</v>
      </c>
      <c r="AN52" s="60">
        <f ca="1">AVERAGE(OFFSET($AM$3,0,0,'Données projet'!$E$10+1,1))-AVERAGE(OFFSET($H$3,0,0,'Données projet'!$E$10+1,1))</f>
        <v>404.14319681142746</v>
      </c>
      <c r="AO52" s="60">
        <f t="shared" si="36"/>
        <v>203.5274665601915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8.1999999999999993</v>
      </c>
      <c r="BD52" s="13">
        <f>IF('Données projet'!$A$88&gt;35,BD51+BC52-BL51,IF(A52&lt;'Données projet'!$A$88,$BA$205^A52,IF(A52='Données projet'!$A$88,'Données projet'!$B$88,BD51+BC52-BL51)))</f>
        <v>190.8</v>
      </c>
      <c r="BE52" s="14">
        <f>BD52*VLOOKUP('Données projet'!$B$11,Paramètres!$A$1:$I$89,3,0)*VLOOKUP('Données projet'!$B$11,Paramètres!$A$1:$I$89,5,0)</f>
        <v>193.47120000000001</v>
      </c>
      <c r="BF52" s="14">
        <f t="shared" si="37"/>
        <v>48.306575382296536</v>
      </c>
      <c r="BG52" s="22">
        <f t="shared" si="7"/>
        <v>421.09629212416644</v>
      </c>
      <c r="BH52" s="60">
        <f t="shared" si="8"/>
        <v>714.4296254574997</v>
      </c>
      <c r="BI52" s="60">
        <f ca="1">AVERAGE(OFFSET($BH$3,0,0,'Données projet'!$E$11+1,1))-AVERAGE(OFFSET($H$3,0,0,'Données projet'!$E$11+1,1))</f>
        <v>350.3652766444938</v>
      </c>
      <c r="BJ52" s="60">
        <f t="shared" si="38"/>
        <v>197.04549436738586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8.1999999999999993</v>
      </c>
      <c r="BY52" s="13">
        <f>IF('Données projet'!$A$114&gt;35,BY51+BX52-CG51,IF(A52&lt;'Données projet'!$A$114,$BV$205^A52,IF(A52='Données projet'!$A$114,'Données projet'!$B$114,BY51+BX52-CG51)))</f>
        <v>190.8</v>
      </c>
      <c r="BZ52" s="14">
        <f>BY52*VLOOKUP('Données projet'!$B$12,Paramètres!$A$1:$I$89,3,0)*VLOOKUP('Données projet'!$B$12,Paramètres!$A$1:$I$89,5,0)</f>
        <v>184.54176000000001</v>
      </c>
      <c r="CA52" s="14">
        <f t="shared" si="39"/>
        <v>46.33117397953523</v>
      </c>
      <c r="CB52" s="22">
        <f t="shared" si="10"/>
        <v>402.10369334769052</v>
      </c>
      <c r="CC52" s="60">
        <f t="shared" si="11"/>
        <v>695.43702668102378</v>
      </c>
      <c r="CD52" s="60">
        <f ca="1">AVERAGE(OFFSET($CC$3,0,0,'Données projet'!$E$12+1,1))-AVERAGE(OFFSET($H$3,0,0,'Données projet'!$E$12+1,1))</f>
        <v>330.39429528665841</v>
      </c>
      <c r="CE52" s="60">
        <f t="shared" si="40"/>
        <v>186.45728006007261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8.1999999999999993</v>
      </c>
      <c r="CT52" s="13">
        <f>IF('Données projet'!$A$140&gt;35,CT51+CS52-DB51,IF(A52&lt;'Données projet'!$A$140,$CQ$205^A52,IF(A52='Données projet'!$A$140,'Données projet'!$B$140,CT51+CS52-DB51)))</f>
        <v>190.8</v>
      </c>
      <c r="CU52" s="18">
        <f>CT52*VLOOKUP('Données projet'!$B$13,Paramètres!$A$1:$I$89,3,0)*VLOOKUP('Données projet'!$B$13,Paramètres!$A$1:$I$89,5,0)</f>
        <v>205.37711999999999</v>
      </c>
      <c r="CV52" s="14">
        <f t="shared" si="41"/>
        <v>50.924065093909938</v>
      </c>
      <c r="CW52" s="22">
        <f t="shared" si="13"/>
        <v>446.39123070522641</v>
      </c>
      <c r="CX52" s="60">
        <f t="shared" si="14"/>
        <v>739.72456403855972</v>
      </c>
      <c r="CY52" s="60">
        <f ca="1">AVERAGE(OFFSET($CX$3,0,0,'Données projet'!$E$13+1,1))-AVERAGE(OFFSET($H$3,0,0,'Données projet'!$E$13+1,1))</f>
        <v>376.96388721258387</v>
      </c>
      <c r="CZ52" s="60">
        <f t="shared" si="42"/>
        <v>211.14628470344377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6.2820512820512819</v>
      </c>
      <c r="DO52" s="13">
        <f>IF('Données projet'!$A$166&gt;35,DO51+DN52-DW51,IF(A52&lt;'Données projet'!$A$166,$DL$205^A52,IF(A52='Données projet'!$A$166,'Données projet'!$B$166,DO51+DN52-DW51)))</f>
        <v>215.5128205128205</v>
      </c>
      <c r="DP52" s="18">
        <f>DO52*VLOOKUP('Données projet'!$B$14,Paramètres!$A$1:$I$89,3,0)*VLOOKUP('Données projet'!$B$14,Paramètres!$A$1:$I$89,5,0)</f>
        <v>144.566</v>
      </c>
      <c r="DQ52" s="14">
        <f t="shared" si="43"/>
        <v>37.341050188349875</v>
      </c>
      <c r="DR52" s="22">
        <f t="shared" si="16"/>
        <v>316.82144574470937</v>
      </c>
      <c r="DS52" s="60">
        <f t="shared" si="17"/>
        <v>610.15477907804268</v>
      </c>
      <c r="DT52" s="60">
        <f ca="1">AVERAGE(OFFSET($DS$3,0,0,'Données projet'!$E$14+1,1))-AVERAGE(OFFSET($H$3,0,0,'Données projet'!$E$14+1,1))</f>
        <v>212.33913923444732</v>
      </c>
      <c r="DU52" s="60">
        <f t="shared" si="44"/>
        <v>183.51194426094372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0" t="e">
        <f t="shared" si="20"/>
        <v>#N/A</v>
      </c>
      <c r="EO52" s="60" t="e">
        <f ca="1">AVERAGE(OFFSET($EN$3,0,0,'Données projet'!$E$15+1,1))-AVERAGE(OFFSET($H$3,0,0,'Données projet'!$E$15+1,1))</f>
        <v>#N/A</v>
      </c>
      <c r="EP52" s="60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0" t="e">
        <f t="shared" si="23"/>
        <v>#N/A</v>
      </c>
      <c r="FJ52" s="60" t="e">
        <f ca="1">AVERAGE(OFFSET($FI$3,0,0,'Données projet'!$E$16+1,1))-AVERAGE(OFFSET($H$3,0,0,'Données projet'!$E$16+1,1))</f>
        <v>#N/A</v>
      </c>
      <c r="FK52" s="60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0" t="e">
        <f t="shared" si="26"/>
        <v>#N/A</v>
      </c>
      <c r="GE52" s="60" t="e">
        <f ca="1">AVERAGE(OFFSET($GD$3,0,0,'Données projet'!$E$17+1,1))-AVERAGE(OFFSET($H$3,0,0,'Données projet'!$E$17+1,1))</f>
        <v>#N/A</v>
      </c>
      <c r="GF52" s="60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0" t="e">
        <f t="shared" si="29"/>
        <v>#N/A</v>
      </c>
      <c r="GZ52" s="60" t="e">
        <f ca="1">AVERAGE(OFFSET($GY$3,0,0,'Données projet'!$E$18+1,1))-AVERAGE(OFFSET($H$3,0,0,'Données projet'!$E$18+1,1))</f>
        <v>#N/A</v>
      </c>
      <c r="HA52" s="60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5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2">
        <f t="shared" si="32"/>
        <v>8.5614116595512399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8">
        <f t="shared" si="1"/>
        <v>355.79195864038502</v>
      </c>
      <c r="I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309.90769230769229</v>
      </c>
      <c r="L53" s="13">
        <f>VLOOKUP(A53,'Données projet'!$A$35:$I$55,9,0)</f>
        <v>11.552307692307688</v>
      </c>
      <c r="M53" s="13">
        <f t="array" ref="M53">INDEX(L:L,MIN(IF(ISNUMBER(L53:L249),ROW(L53:L249),"")))</f>
        <v>11.552307692307688</v>
      </c>
      <c r="N53" s="14">
        <f>IF('Données projet'!$A$36&gt;35,N52+M53-V52,IF(A53&lt;'Données projet'!$A$36,$K$205^A53,IF(A53='Données projet'!$A$36,'Données projet'!$B$36,N52+M53-V52)))</f>
        <v>309.90769230769229</v>
      </c>
      <c r="O53" s="14">
        <f>N53*VLOOKUP('Données projet'!$B$9,Paramètres!$A$1:$I$89,3,0)*VLOOKUP('Données projet'!$B$9,Paramètres!$A$1:$I$89,5,0)</f>
        <v>145.0368</v>
      </c>
      <c r="P53" s="14">
        <f t="shared" si="33"/>
        <v>37.448481357413236</v>
      </c>
      <c r="Q53" s="22">
        <f t="shared" si="53"/>
        <v>317.82853169749472</v>
      </c>
      <c r="R53" s="60">
        <f t="shared" si="0"/>
        <v>611.16186503082804</v>
      </c>
      <c r="S53" s="60">
        <f ca="1">AVERAGE(OFFSET($R$3,0,0,'Données projet'!$E$9+1,1))-AVERAGE(OFFSET($H$3,0,0,'Données projet'!$E$9+1,1))</f>
        <v>146.40889017442277</v>
      </c>
      <c r="T53" s="60">
        <f t="shared" si="34"/>
        <v>70.859031694091868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231</v>
      </c>
      <c r="AG53" s="13">
        <f>VLOOKUP(A53,'Données projet'!$A$61:$I$81,9,0)</f>
        <v>11</v>
      </c>
      <c r="AH53" s="13">
        <f t="array" ref="AH53">INDEX(AG:AG,MIN(IF(ISNUMBER(AG53:AG249),ROW(AG53:AG249),"")))</f>
        <v>11</v>
      </c>
      <c r="AI53" s="14">
        <f>IF('Données projet'!$A$62&gt;35,AI52+AH53-AQ52,IF(A53&lt;'Données projet'!$A$62,$AF$205^A53,IF(A53='Données projet'!$A$62,'Données projet'!$B$62,AI52+AH53-AQ52)))</f>
        <v>231.00000000000006</v>
      </c>
      <c r="AJ53" s="14">
        <f>AI53*VLOOKUP('Données projet'!$B$10,Paramètres!$A$1:$I$89,3,0)*VLOOKUP('Données projet'!$B$10,Paramètres!$A$1:$I$89,5,0)</f>
        <v>209.00880000000004</v>
      </c>
      <c r="AK53" s="14">
        <f t="shared" si="35"/>
        <v>51.718923953824252</v>
      </c>
      <c r="AL53" s="22">
        <f t="shared" si="4"/>
        <v>454.10078588624395</v>
      </c>
      <c r="AM53" s="60">
        <f t="shared" si="5"/>
        <v>747.43411921957727</v>
      </c>
      <c r="AN53" s="60">
        <f ca="1">AVERAGE(OFFSET($AM$3,0,0,'Données projet'!$E$10+1,1))-AVERAGE(OFFSET($H$3,0,0,'Données projet'!$E$10+1,1))</f>
        <v>404.14319681142746</v>
      </c>
      <c r="AO53" s="60">
        <f t="shared" si="36"/>
        <v>203.5274665601915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199</v>
      </c>
      <c r="BB53" s="13">
        <f>VLOOKUP(A53,'Données projet'!$A$87:$I$107,9,0)</f>
        <v>8.1999999999999993</v>
      </c>
      <c r="BC53" s="13">
        <f t="array" ref="BC53">INDEX(BB:BB,MIN(IF(ISNUMBER(BB53:BB249),ROW(BB53:BB249),"")))</f>
        <v>8.1999999999999993</v>
      </c>
      <c r="BD53" s="13">
        <f>IF('Données projet'!$A$88&gt;35,BD52+BC53-BL52,IF(A53&lt;'Données projet'!$A$88,$BA$205^A53,IF(A53='Données projet'!$A$88,'Données projet'!$B$88,BD52+BC53-BL52)))</f>
        <v>199</v>
      </c>
      <c r="BE53" s="14">
        <f>BD53*VLOOKUP('Données projet'!$B$11,Paramètres!$A$1:$I$89,3,0)*VLOOKUP('Données projet'!$B$11,Paramètres!$A$1:$I$89,5,0)</f>
        <v>201.786</v>
      </c>
      <c r="BF53" s="14">
        <f t="shared" si="37"/>
        <v>50.136473146268756</v>
      </c>
      <c r="BG53" s="22">
        <f t="shared" si="7"/>
        <v>438.76497406308476</v>
      </c>
      <c r="BH53" s="60">
        <f t="shared" si="8"/>
        <v>732.09830739641802</v>
      </c>
      <c r="BI53" s="60">
        <f ca="1">AVERAGE(OFFSET($BH$3,0,0,'Données projet'!$E$11+1,1))-AVERAGE(OFFSET($H$3,0,0,'Données projet'!$E$11+1,1))</f>
        <v>350.3652766444938</v>
      </c>
      <c r="BJ53" s="60">
        <f t="shared" si="38"/>
        <v>197.04549436738586</v>
      </c>
      <c r="BK53" s="16">
        <f>IF(ISNA(VLOOKUP(A53,'Données projet'!$A$87:$I$107,3,0)),0,VLOOKUP(A53,'Données projet'!$A$87:$I$107,3,0))</f>
        <v>3</v>
      </c>
      <c r="BL53" s="16">
        <f>IF(ISNA(VLOOKUP(A53,'Données projet'!$A$87:$I$107,4,0)),0,VLOOKUP(A53,'Données projet'!$A$87:$I$107,4,0))</f>
        <v>42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199</v>
      </c>
      <c r="BW53" s="13">
        <f>VLOOKUP(A53,'Données projet'!$A$113:$I$133,9,0)</f>
        <v>8.1999999999999993</v>
      </c>
      <c r="BX53" s="13">
        <f t="array" ref="BX53">INDEX(BW:BW,MIN(IF(ISNUMBER(BW53:BW249),ROW(BW53:BW249),"")))</f>
        <v>8.1999999999999993</v>
      </c>
      <c r="BY53" s="13">
        <f>IF('Données projet'!$A$114&gt;35,BY52+BX53-CG52,IF(A53&lt;'Données projet'!$A$114,$BV$205^A53,IF(A53='Données projet'!$A$114,'Données projet'!$B$114,BY52+BX53-CG52)))</f>
        <v>199</v>
      </c>
      <c r="BZ53" s="14">
        <f>BY53*VLOOKUP('Données projet'!$B$12,Paramètres!$A$1:$I$89,3,0)*VLOOKUP('Données projet'!$B$12,Paramètres!$A$1:$I$89,5,0)</f>
        <v>192.47280000000001</v>
      </c>
      <c r="CA53" s="14">
        <f t="shared" si="39"/>
        <v>48.086241710923829</v>
      </c>
      <c r="CB53" s="22">
        <f t="shared" si="10"/>
        <v>418.97366431319239</v>
      </c>
      <c r="CC53" s="60">
        <f t="shared" si="11"/>
        <v>712.3069976465257</v>
      </c>
      <c r="CD53" s="60">
        <f ca="1">AVERAGE(OFFSET($CC$3,0,0,'Données projet'!$E$12+1,1))-AVERAGE(OFFSET($H$3,0,0,'Données projet'!$E$12+1,1))</f>
        <v>330.39429528665841</v>
      </c>
      <c r="CE53" s="60">
        <f t="shared" si="40"/>
        <v>186.45728006007261</v>
      </c>
      <c r="CF53" s="16">
        <f>IF(ISNA(VLOOKUP(A53,'Données projet'!$A$113:$I$133,3,0)),0,VLOOKUP(A53,'Données projet'!$A$113:$I$133,3,0))</f>
        <v>3</v>
      </c>
      <c r="CG53" s="16">
        <f>IF(ISNA(VLOOKUP(A53,'Données projet'!$A$113:$I$133,4,0)),0,VLOOKUP(A53,'Données projet'!$A$113:$I$133,4,0))</f>
        <v>42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199</v>
      </c>
      <c r="CR53" s="13">
        <f>VLOOKUP(A53,'Données projet'!$A$139:$I$159,9,0)</f>
        <v>8.1999999999999993</v>
      </c>
      <c r="CS53" s="13">
        <f t="array" ref="CS53">INDEX(CR:CR,MIN(IF(ISNUMBER(CR53:CR249),ROW(CR53:CR249),"")))</f>
        <v>8.1999999999999993</v>
      </c>
      <c r="CT53" s="13">
        <f>IF('Données projet'!$A$140&gt;35,CT52+CS53-DB52,IF(A53&lt;'Données projet'!$A$140,$CQ$205^A53,IF(A53='Données projet'!$A$140,'Données projet'!$B$140,CT52+CS53-DB52)))</f>
        <v>199</v>
      </c>
      <c r="CU53" s="18">
        <f>CT53*VLOOKUP('Données projet'!$B$13,Paramètres!$A$1:$I$89,3,0)*VLOOKUP('Données projet'!$B$13,Paramètres!$A$1:$I$89,5,0)</f>
        <v>214.20360000000002</v>
      </c>
      <c r="CV53" s="14">
        <f t="shared" si="41"/>
        <v>52.853115789602029</v>
      </c>
      <c r="CW53" s="22">
        <f t="shared" si="13"/>
        <v>465.12378000022358</v>
      </c>
      <c r="CX53" s="60">
        <f t="shared" si="14"/>
        <v>758.45711333355689</v>
      </c>
      <c r="CY53" s="60">
        <f ca="1">AVERAGE(OFFSET($CX$3,0,0,'Données projet'!$E$13+1,1))-AVERAGE(OFFSET($H$3,0,0,'Données projet'!$E$13+1,1))</f>
        <v>376.96388721258387</v>
      </c>
      <c r="CZ53" s="60">
        <f t="shared" si="42"/>
        <v>211.14628470344377</v>
      </c>
      <c r="DA53" s="16">
        <f>IF(ISNA(VLOOKUP(A53,'Données projet'!$A$139:$I$159,3,0)),0,VLOOKUP(A53,'Données projet'!$A$139:$I$159,3,0))</f>
        <v>3</v>
      </c>
      <c r="DB53" s="16">
        <f>IF(ISNA(VLOOKUP(A53,'Données projet'!$A$139:$I$159,4,0)),0,VLOOKUP(A53,'Données projet'!$A$139:$I$159,4,0))</f>
        <v>42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221.7948717948718</v>
      </c>
      <c r="DM53" s="13">
        <f>VLOOKUP(A53,'Données projet'!$A$165:$I$185,9,0)</f>
        <v>6.2820512820512819</v>
      </c>
      <c r="DN53" s="13">
        <f t="array" ref="DN53">INDEX(DM:DM,MIN(IF(ISNUMBER(DM53:DM249),ROW(DM53:DM249),"")))</f>
        <v>6.2820512820512819</v>
      </c>
      <c r="DO53" s="13">
        <f>IF('Données projet'!$A$166&gt;35,DO52+DN53-DW52,IF(A53&lt;'Données projet'!$A$166,$DL$205^A53,IF(A53='Données projet'!$A$166,'Données projet'!$B$166,DO52+DN53-DW52)))</f>
        <v>221.79487179487177</v>
      </c>
      <c r="DP53" s="18">
        <f>DO53*VLOOKUP('Données projet'!$B$14,Paramètres!$A$1:$I$89,3,0)*VLOOKUP('Données projet'!$B$14,Paramètres!$A$1:$I$89,5,0)</f>
        <v>148.78</v>
      </c>
      <c r="DQ53" s="14">
        <f t="shared" si="43"/>
        <v>38.301204605347834</v>
      </c>
      <c r="DR53" s="22">
        <f t="shared" si="16"/>
        <v>325.8330980209808</v>
      </c>
      <c r="DS53" s="60">
        <f t="shared" si="17"/>
        <v>619.16643135431411</v>
      </c>
      <c r="DT53" s="60">
        <f ca="1">AVERAGE(OFFSET($DS$3,0,0,'Données projet'!$E$14+1,1))-AVERAGE(OFFSET($H$3,0,0,'Données projet'!$E$14+1,1))</f>
        <v>212.33913923444732</v>
      </c>
      <c r="DU53" s="60">
        <f t="shared" si="44"/>
        <v>183.51194426094372</v>
      </c>
      <c r="DV53" s="16">
        <f>IF(ISNA(VLOOKUP(A53,'Données projet'!$A$165:$I$185,3,0)),0,VLOOKUP(A53,'Données projet'!$A$165:$I$185,3,0))</f>
        <v>4</v>
      </c>
      <c r="DW53" s="16">
        <f>IF(ISNA(VLOOKUP(A53,'Données projet'!$A$165:$I$185,4,0)),0,VLOOKUP(A53,'Données projet'!$A$165:$I$185,4,0))</f>
        <v>32.692307692307693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0" t="e">
        <f t="shared" si="20"/>
        <v>#N/A</v>
      </c>
      <c r="EO53" s="60" t="e">
        <f ca="1">AVERAGE(OFFSET($EN$3,0,0,'Données projet'!$E$15+1,1))-AVERAGE(OFFSET($H$3,0,0,'Données projet'!$E$15+1,1))</f>
        <v>#N/A</v>
      </c>
      <c r="EP53" s="60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0" t="e">
        <f t="shared" si="23"/>
        <v>#N/A</v>
      </c>
      <c r="FJ53" s="60" t="e">
        <f ca="1">AVERAGE(OFFSET($FI$3,0,0,'Données projet'!$E$16+1,1))-AVERAGE(OFFSET($H$3,0,0,'Données projet'!$E$16+1,1))</f>
        <v>#N/A</v>
      </c>
      <c r="FK53" s="60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0" t="e">
        <f t="shared" si="26"/>
        <v>#N/A</v>
      </c>
      <c r="GE53" s="60" t="e">
        <f ca="1">AVERAGE(OFFSET($GD$3,0,0,'Données projet'!$E$17+1,1))-AVERAGE(OFFSET($H$3,0,0,'Données projet'!$E$17+1,1))</f>
        <v>#N/A</v>
      </c>
      <c r="GF53" s="60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0" t="e">
        <f t="shared" si="29"/>
        <v>#N/A</v>
      </c>
      <c r="GZ53" s="60" t="e">
        <f ca="1">AVERAGE(OFFSET($GY$3,0,0,'Données projet'!$E$18+1,1))-AVERAGE(OFFSET($H$3,0,0,'Données projet'!$E$18+1,1))</f>
        <v>#N/A</v>
      </c>
      <c r="HA53" s="60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5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2">
        <f t="shared" si="32"/>
        <v>8.7125341134088217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8">
        <f t="shared" si="1"/>
        <v>357.00611358085365</v>
      </c>
      <c r="I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>
        <f>VLOOKUP(A54,'Données projet'!$A$35:$I$55,2,0)</f>
        <v>321.8384615384615</v>
      </c>
      <c r="L54" s="13">
        <f>VLOOKUP(A54,'Données projet'!$A$35:$I$55,9,0)</f>
        <v>11.930769230769215</v>
      </c>
      <c r="M54" s="13">
        <f t="array" ref="M54">INDEX(L:L,MIN(IF(ISNUMBER(L54:L250),ROW(L54:L250),"")))</f>
        <v>11.930769230769215</v>
      </c>
      <c r="N54" s="14">
        <f>IF('Données projet'!$A$36&gt;35,N53+M54-V53,IF(A54&lt;'Données projet'!$A$36,$K$205^A54,IF(A54='Données projet'!$A$36,'Données projet'!$B$36,N53+M54-V53)))</f>
        <v>321.8384615384615</v>
      </c>
      <c r="O54" s="14">
        <f>N54*VLOOKUP('Données projet'!$B$9,Paramètres!$A$1:$I$89,3,0)*VLOOKUP('Données projet'!$B$9,Paramètres!$A$1:$I$89,5,0)</f>
        <v>150.62039999999996</v>
      </c>
      <c r="P54" s="14">
        <f t="shared" si="33"/>
        <v>38.719539861211025</v>
      </c>
      <c r="Q54" s="22">
        <f t="shared" si="53"/>
        <v>329.76706192494242</v>
      </c>
      <c r="R54" s="60">
        <f t="shared" si="0"/>
        <v>623.10039525827574</v>
      </c>
      <c r="S54" s="60">
        <f ca="1">AVERAGE(OFFSET($R$3,0,0,'Données projet'!$E$9+1,1))-AVERAGE(OFFSET($H$3,0,0,'Données projet'!$E$9+1,1))</f>
        <v>146.40889017442277</v>
      </c>
      <c r="T54" s="60">
        <f t="shared" si="34"/>
        <v>70.859031694091868</v>
      </c>
      <c r="U54" s="16">
        <f>IF(ISNA(VLOOKUP(A54,'Données projet'!$A$35:$I$55,3,0)),0,VLOOKUP(A54,'Données projet'!$A$35:$I$55,3,0))</f>
        <v>1</v>
      </c>
      <c r="V54" s="16">
        <f>IF(ISNA(VLOOKUP(A54,'Données projet'!$A$35:$I$55,4,0)),0,VLOOKUP(A54,'Données projet'!$A$35:$I$55,4,0))</f>
        <v>100.30769230769231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10.199999999999999</v>
      </c>
      <c r="AI54" s="14">
        <f>IF('Données projet'!$A$62&gt;35,AI53+AH54-AQ53,IF(A54&lt;'Données projet'!$A$62,$AF$205^A54,IF(A54='Données projet'!$A$62,'Données projet'!$B$62,AI53+AH54-AQ53)))</f>
        <v>241.20000000000005</v>
      </c>
      <c r="AJ54" s="14">
        <f>AI54*VLOOKUP('Données projet'!$B$10,Paramètres!$A$1:$I$89,3,0)*VLOOKUP('Données projet'!$B$10,Paramètres!$A$1:$I$89,5,0)</f>
        <v>218.23776000000004</v>
      </c>
      <c r="AK54" s="14">
        <f t="shared" si="35"/>
        <v>53.731692470599071</v>
      </c>
      <c r="AL54" s="22">
        <f t="shared" si="4"/>
        <v>473.68012971962668</v>
      </c>
      <c r="AM54" s="60">
        <f t="shared" si="5"/>
        <v>767.01346305295999</v>
      </c>
      <c r="AN54" s="60">
        <f ca="1">AVERAGE(OFFSET($AM$3,0,0,'Données projet'!$E$10+1,1))-AVERAGE(OFFSET($H$3,0,0,'Données projet'!$E$10+1,1))</f>
        <v>404.14319681142746</v>
      </c>
      <c r="AO54" s="60">
        <f t="shared" si="36"/>
        <v>203.5274665601915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8</v>
      </c>
      <c r="BD54" s="13">
        <f>IF('Données projet'!$A$88&gt;35,BD53+BC54-BL53,IF(A54&lt;'Données projet'!$A$88,$BA$205^A54,IF(A54='Données projet'!$A$88,'Données projet'!$B$88,BD53+BC54-BL53)))</f>
        <v>165</v>
      </c>
      <c r="BE54" s="14">
        <f>BD54*VLOOKUP('Données projet'!$B$11,Paramètres!$A$1:$I$89,3,0)*VLOOKUP('Données projet'!$B$11,Paramètres!$A$1:$I$89,5,0)</f>
        <v>167.31</v>
      </c>
      <c r="BF54" s="14">
        <f t="shared" si="37"/>
        <v>42.486994942347515</v>
      </c>
      <c r="BG54" s="22">
        <f t="shared" si="7"/>
        <v>365.39643285792187</v>
      </c>
      <c r="BH54" s="60">
        <f t="shared" si="8"/>
        <v>658.72976619125518</v>
      </c>
      <c r="BI54" s="60">
        <f ca="1">AVERAGE(OFFSET($BH$3,0,0,'Données projet'!$E$11+1,1))-AVERAGE(OFFSET($H$3,0,0,'Données projet'!$E$11+1,1))</f>
        <v>350.3652766444938</v>
      </c>
      <c r="BJ54" s="60">
        <f t="shared" si="38"/>
        <v>197.04549436738586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8</v>
      </c>
      <c r="BY54" s="13">
        <f>IF('Données projet'!$A$114&gt;35,BY53+BX54-CG53,IF(A54&lt;'Données projet'!$A$114,$BV$205^A54,IF(A54='Données projet'!$A$114,'Données projet'!$B$114,BY53+BX54-CG53)))</f>
        <v>165</v>
      </c>
      <c r="BZ54" s="14">
        <f>BY54*VLOOKUP('Données projet'!$B$12,Paramètres!$A$1:$I$89,3,0)*VLOOKUP('Données projet'!$B$12,Paramètres!$A$1:$I$89,5,0)</f>
        <v>159.58799999999999</v>
      </c>
      <c r="CA54" s="14">
        <f t="shared" si="39"/>
        <v>40.74957371668588</v>
      </c>
      <c r="CB54" s="22">
        <f t="shared" si="10"/>
        <v>348.92127422322784</v>
      </c>
      <c r="CC54" s="60">
        <f t="shared" si="11"/>
        <v>642.25460755656115</v>
      </c>
      <c r="CD54" s="60">
        <f ca="1">AVERAGE(OFFSET($CC$3,0,0,'Données projet'!$E$12+1,1))-AVERAGE(OFFSET($H$3,0,0,'Données projet'!$E$12+1,1))</f>
        <v>330.39429528665841</v>
      </c>
      <c r="CE54" s="60">
        <f t="shared" si="40"/>
        <v>186.45728006007261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8</v>
      </c>
      <c r="CT54" s="13">
        <f>IF('Données projet'!$A$140&gt;35,CT53+CS54-DB53,IF(A54&lt;'Données projet'!$A$140,$CQ$205^A54,IF(A54='Données projet'!$A$140,'Données projet'!$B$140,CT53+CS54-DB53)))</f>
        <v>165</v>
      </c>
      <c r="CU54" s="18">
        <f>CT54*VLOOKUP('Données projet'!$B$13,Paramètres!$A$1:$I$89,3,0)*VLOOKUP('Données projet'!$B$13,Paramètres!$A$1:$I$89,5,0)</f>
        <v>177.60599999999999</v>
      </c>
      <c r="CV54" s="14">
        <f t="shared" si="41"/>
        <v>44.789150937858665</v>
      </c>
      <c r="CW54" s="22">
        <f t="shared" si="13"/>
        <v>387.33822121677048</v>
      </c>
      <c r="CX54" s="60">
        <f t="shared" si="14"/>
        <v>680.67155455010379</v>
      </c>
      <c r="CY54" s="60">
        <f ca="1">AVERAGE(OFFSET($CX$3,0,0,'Données projet'!$E$13+1,1))-AVERAGE(OFFSET($H$3,0,0,'Données projet'!$E$13+1,1))</f>
        <v>376.96388721258387</v>
      </c>
      <c r="CZ54" s="60">
        <f t="shared" si="42"/>
        <v>211.14628470344377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5.7692307692307683</v>
      </c>
      <c r="DO54" s="13">
        <f>IF('Données projet'!$A$166&gt;35,DO53+DN54-DW53,IF(A54&lt;'Données projet'!$A$166,$DL$205^A54,IF(A54='Données projet'!$A$166,'Données projet'!$B$166,DO53+DN54-DW53)))</f>
        <v>194.87179487179486</v>
      </c>
      <c r="DP54" s="18">
        <f>DO54*VLOOKUP('Données projet'!$B$14,Paramètres!$A$1:$I$89,3,0)*VLOOKUP('Données projet'!$B$14,Paramètres!$A$1:$I$89,5,0)</f>
        <v>130.72</v>
      </c>
      <c r="DQ54" s="14">
        <f t="shared" si="43"/>
        <v>34.162676675108806</v>
      </c>
      <c r="DR54" s="22">
        <f t="shared" si="16"/>
        <v>287.17066187581446</v>
      </c>
      <c r="DS54" s="60">
        <f t="shared" si="17"/>
        <v>580.50399520914777</v>
      </c>
      <c r="DT54" s="60">
        <f ca="1">AVERAGE(OFFSET($DS$3,0,0,'Données projet'!$E$14+1,1))-AVERAGE(OFFSET($H$3,0,0,'Données projet'!$E$14+1,1))</f>
        <v>212.33913923444732</v>
      </c>
      <c r="DU54" s="60">
        <f t="shared" si="44"/>
        <v>183.51194426094372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0" t="e">
        <f t="shared" si="20"/>
        <v>#N/A</v>
      </c>
      <c r="EO54" s="60" t="e">
        <f ca="1">AVERAGE(OFFSET($EN$3,0,0,'Données projet'!$E$15+1,1))-AVERAGE(OFFSET($H$3,0,0,'Données projet'!$E$15+1,1))</f>
        <v>#N/A</v>
      </c>
      <c r="EP54" s="60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0" t="e">
        <f t="shared" si="23"/>
        <v>#N/A</v>
      </c>
      <c r="FJ54" s="60" t="e">
        <f ca="1">AVERAGE(OFFSET($FI$3,0,0,'Données projet'!$E$16+1,1))-AVERAGE(OFFSET($H$3,0,0,'Données projet'!$E$16+1,1))</f>
        <v>#N/A</v>
      </c>
      <c r="FK54" s="60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0" t="e">
        <f t="shared" si="26"/>
        <v>#N/A</v>
      </c>
      <c r="GE54" s="60" t="e">
        <f ca="1">AVERAGE(OFFSET($GD$3,0,0,'Données projet'!$E$17+1,1))-AVERAGE(OFFSET($H$3,0,0,'Données projet'!$E$17+1,1))</f>
        <v>#N/A</v>
      </c>
      <c r="GF54" s="60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0" t="e">
        <f t="shared" si="29"/>
        <v>#N/A</v>
      </c>
      <c r="GZ54" s="60" t="e">
        <f ca="1">AVERAGE(OFFSET($GY$3,0,0,'Données projet'!$E$18+1,1))-AVERAGE(OFFSET($H$3,0,0,'Données projet'!$E$18+1,1))</f>
        <v>#N/A</v>
      </c>
      <c r="HA54" s="60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5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2">
        <f t="shared" si="32"/>
        <v>8.8633120224605459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8">
        <f t="shared" si="1"/>
        <v>358.21966843911872</v>
      </c>
      <c r="I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10.486538461538473</v>
      </c>
      <c r="N55" s="14">
        <f>IF('Données projet'!$A$36&gt;35,N54+M55-V54,IF(A55&lt;'Données projet'!$A$36,$K$205^A55,IF(A55='Données projet'!$A$36,'Données projet'!$B$36,N54+M55-V54)))</f>
        <v>232.01730769230767</v>
      </c>
      <c r="O55" s="14">
        <f>N55*VLOOKUP('Données projet'!$B$9,Paramètres!$A$1:$I$89,3,0)*VLOOKUP('Données projet'!$B$9,Paramètres!$A$1:$I$89,5,0)</f>
        <v>108.58409999999999</v>
      </c>
      <c r="P55" s="14">
        <f t="shared" si="33"/>
        <v>28.997136372788482</v>
      </c>
      <c r="Q55" s="22">
        <f t="shared" si="53"/>
        <v>239.62065334927328</v>
      </c>
      <c r="R55" s="60">
        <f t="shared" si="0"/>
        <v>532.95398668260657</v>
      </c>
      <c r="S55" s="60">
        <f ca="1">AVERAGE(OFFSET($R$3,0,0,'Données projet'!$E$9+1,1))-AVERAGE(OFFSET($H$3,0,0,'Données projet'!$E$9+1,1))</f>
        <v>146.40889017442277</v>
      </c>
      <c r="T55" s="60">
        <f t="shared" si="34"/>
        <v>70.859031694091868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10.199999999999999</v>
      </c>
      <c r="AI55" s="14">
        <f>IF('Données projet'!$A$62&gt;35,AI54+AH55-AQ54,IF(A55&lt;'Données projet'!$A$62,$AF$205^A55,IF(A55='Données projet'!$A$62,'Données projet'!$B$62,AI54+AH55-AQ54)))</f>
        <v>251.40000000000003</v>
      </c>
      <c r="AJ55" s="14">
        <f>AI55*VLOOKUP('Données projet'!$B$10,Paramètres!$A$1:$I$89,3,0)*VLOOKUP('Données projet'!$B$10,Paramètres!$A$1:$I$89,5,0)</f>
        <v>227.46672000000004</v>
      </c>
      <c r="AK55" s="14">
        <f t="shared" si="35"/>
        <v>55.734574592438989</v>
      </c>
      <c r="AL55" s="22">
        <f t="shared" si="4"/>
        <v>493.24225474849794</v>
      </c>
      <c r="AM55" s="60">
        <f t="shared" si="5"/>
        <v>786.57558808183126</v>
      </c>
      <c r="AN55" s="60">
        <f ca="1">AVERAGE(OFFSET($AM$3,0,0,'Données projet'!$E$10+1,1))-AVERAGE(OFFSET($H$3,0,0,'Données projet'!$E$10+1,1))</f>
        <v>404.14319681142746</v>
      </c>
      <c r="AO55" s="60">
        <f t="shared" si="36"/>
        <v>203.5274665601915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8</v>
      </c>
      <c r="BD55" s="13">
        <f>IF('Données projet'!$A$88&gt;35,BD54+BC55-BL54,IF(A55&lt;'Données projet'!$A$88,$BA$205^A55,IF(A55='Données projet'!$A$88,'Données projet'!$B$88,BD54+BC55-BL54)))</f>
        <v>173</v>
      </c>
      <c r="BE55" s="14">
        <f>BD55*VLOOKUP('Données projet'!$B$11,Paramètres!$A$1:$I$89,3,0)*VLOOKUP('Données projet'!$B$11,Paramètres!$A$1:$I$89,5,0)</f>
        <v>175.422</v>
      </c>
      <c r="BF55" s="14">
        <f t="shared" si="37"/>
        <v>44.302143412304737</v>
      </c>
      <c r="BG55" s="22">
        <f t="shared" si="7"/>
        <v>382.68621644309741</v>
      </c>
      <c r="BH55" s="60">
        <f t="shared" si="8"/>
        <v>676.01954977643072</v>
      </c>
      <c r="BI55" s="60">
        <f ca="1">AVERAGE(OFFSET($BH$3,0,0,'Données projet'!$E$11+1,1))-AVERAGE(OFFSET($H$3,0,0,'Données projet'!$E$11+1,1))</f>
        <v>350.3652766444938</v>
      </c>
      <c r="BJ55" s="60">
        <f t="shared" si="38"/>
        <v>197.04549436738586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8</v>
      </c>
      <c r="BY55" s="13">
        <f>IF('Données projet'!$A$114&gt;35,BY54+BX55-CG54,IF(A55&lt;'Données projet'!$A$114,$BV$205^A55,IF(A55='Données projet'!$A$114,'Données projet'!$B$114,BY54+BX55-CG54)))</f>
        <v>173</v>
      </c>
      <c r="BZ55" s="14">
        <f>BY55*VLOOKUP('Données projet'!$B$12,Paramètres!$A$1:$I$89,3,0)*VLOOKUP('Données projet'!$B$12,Paramètres!$A$1:$I$89,5,0)</f>
        <v>167.32560000000001</v>
      </c>
      <c r="CA55" s="14">
        <f t="shared" si="39"/>
        <v>42.490495297127609</v>
      </c>
      <c r="CB55" s="22">
        <f t="shared" si="10"/>
        <v>365.42969930916388</v>
      </c>
      <c r="CC55" s="60">
        <f t="shared" si="11"/>
        <v>658.76303264249714</v>
      </c>
      <c r="CD55" s="60">
        <f ca="1">AVERAGE(OFFSET($CC$3,0,0,'Données projet'!$E$12+1,1))-AVERAGE(OFFSET($H$3,0,0,'Données projet'!$E$12+1,1))</f>
        <v>330.39429528665841</v>
      </c>
      <c r="CE55" s="60">
        <f t="shared" si="40"/>
        <v>186.45728006007261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8</v>
      </c>
      <c r="CT55" s="13">
        <f>IF('Données projet'!$A$140&gt;35,CT54+CS55-DB54,IF(A55&lt;'Données projet'!$A$140,$CQ$205^A55,IF(A55='Données projet'!$A$140,'Données projet'!$B$140,CT54+CS55-DB54)))</f>
        <v>173</v>
      </c>
      <c r="CU55" s="18">
        <f>CT55*VLOOKUP('Données projet'!$B$13,Paramètres!$A$1:$I$89,3,0)*VLOOKUP('Données projet'!$B$13,Paramètres!$A$1:$I$89,5,0)</f>
        <v>186.21719999999999</v>
      </c>
      <c r="CV55" s="14">
        <f t="shared" si="41"/>
        <v>46.702653149673253</v>
      </c>
      <c r="CW55" s="22">
        <f t="shared" si="13"/>
        <v>405.66874423568089</v>
      </c>
      <c r="CX55" s="60">
        <f t="shared" si="14"/>
        <v>699.0020775690142</v>
      </c>
      <c r="CY55" s="60">
        <f ca="1">AVERAGE(OFFSET($CX$3,0,0,'Données projet'!$E$13+1,1))-AVERAGE(OFFSET($H$3,0,0,'Données projet'!$E$13+1,1))</f>
        <v>376.96388721258387</v>
      </c>
      <c r="CZ55" s="60">
        <f t="shared" si="42"/>
        <v>211.14628470344377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5.7692307692307683</v>
      </c>
      <c r="DO55" s="13">
        <f>IF('Données projet'!$A$166&gt;35,DO54+DN55-DW54,IF(A55&lt;'Données projet'!$A$166,$DL$205^A55,IF(A55='Données projet'!$A$166,'Données projet'!$B$166,DO54+DN55-DW54)))</f>
        <v>200.64102564102564</v>
      </c>
      <c r="DP55" s="18">
        <f>DO55*VLOOKUP('Données projet'!$B$14,Paramètres!$A$1:$I$89,3,0)*VLOOKUP('Données projet'!$B$14,Paramètres!$A$1:$I$89,5,0)</f>
        <v>134.59</v>
      </c>
      <c r="DQ55" s="14">
        <f t="shared" si="43"/>
        <v>35.054822215165878</v>
      </c>
      <c r="DR55" s="22">
        <f t="shared" si="16"/>
        <v>295.46473202474721</v>
      </c>
      <c r="DS55" s="60">
        <f t="shared" si="17"/>
        <v>588.79806535808052</v>
      </c>
      <c r="DT55" s="60">
        <f ca="1">AVERAGE(OFFSET($DS$3,0,0,'Données projet'!$E$14+1,1))-AVERAGE(OFFSET($H$3,0,0,'Données projet'!$E$14+1,1))</f>
        <v>212.33913923444732</v>
      </c>
      <c r="DU55" s="60">
        <f t="shared" si="44"/>
        <v>183.51194426094372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0" t="e">
        <f t="shared" si="20"/>
        <v>#N/A</v>
      </c>
      <c r="EO55" s="60" t="e">
        <f ca="1">AVERAGE(OFFSET($EN$3,0,0,'Données projet'!$E$15+1,1))-AVERAGE(OFFSET($H$3,0,0,'Données projet'!$E$15+1,1))</f>
        <v>#N/A</v>
      </c>
      <c r="EP55" s="60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0" t="e">
        <f t="shared" si="23"/>
        <v>#N/A</v>
      </c>
      <c r="FJ55" s="60" t="e">
        <f ca="1">AVERAGE(OFFSET($FI$3,0,0,'Données projet'!$E$16+1,1))-AVERAGE(OFFSET($H$3,0,0,'Données projet'!$E$16+1,1))</f>
        <v>#N/A</v>
      </c>
      <c r="FK55" s="60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0" t="e">
        <f t="shared" si="26"/>
        <v>#N/A</v>
      </c>
      <c r="GE55" s="60" t="e">
        <f ca="1">AVERAGE(OFFSET($GD$3,0,0,'Données projet'!$E$17+1,1))-AVERAGE(OFFSET($H$3,0,0,'Données projet'!$E$17+1,1))</f>
        <v>#N/A</v>
      </c>
      <c r="GF55" s="60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0" t="e">
        <f t="shared" si="29"/>
        <v>#N/A</v>
      </c>
      <c r="GZ55" s="60" t="e">
        <f ca="1">AVERAGE(OFFSET($GY$3,0,0,'Données projet'!$E$18+1,1))-AVERAGE(OFFSET($H$3,0,0,'Données projet'!$E$18+1,1))</f>
        <v>#N/A</v>
      </c>
      <c r="HA55" s="60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5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2">
        <f t="shared" si="32"/>
        <v>9.0137527764644076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8">
        <f t="shared" si="1"/>
        <v>359.43263608567548</v>
      </c>
      <c r="I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10.486538461538473</v>
      </c>
      <c r="N56" s="14">
        <f>IF('Données projet'!$A$36&gt;35,N55+M56-V55,IF(A56&lt;'Données projet'!$A$36,$K$205^A56,IF(A56='Données projet'!$A$36,'Données projet'!$B$36,N55+M56-V55)))</f>
        <v>242.50384615384615</v>
      </c>
      <c r="O56" s="14">
        <f>N56*VLOOKUP('Données projet'!$B$9,Paramètres!$A$1:$I$89,3,0)*VLOOKUP('Données projet'!$B$9,Paramètres!$A$1:$I$89,5,0)</f>
        <v>113.4918</v>
      </c>
      <c r="P56" s="14">
        <f t="shared" si="33"/>
        <v>30.152177633560324</v>
      </c>
      <c r="Q56" s="22">
        <f t="shared" si="53"/>
        <v>250.17992771178422</v>
      </c>
      <c r="R56" s="60">
        <f t="shared" si="0"/>
        <v>543.51326104511759</v>
      </c>
      <c r="S56" s="60">
        <f ca="1">AVERAGE(OFFSET($R$3,0,0,'Données projet'!$E$9+1,1))-AVERAGE(OFFSET($H$3,0,0,'Données projet'!$E$9+1,1))</f>
        <v>146.40889017442277</v>
      </c>
      <c r="T56" s="60">
        <f t="shared" si="34"/>
        <v>70.859031694091868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10.199999999999999</v>
      </c>
      <c r="AI56" s="14">
        <f>IF('Données projet'!$A$62&gt;35,AI55+AH56-AQ55,IF(A56&lt;'Données projet'!$A$62,$AF$205^A56,IF(A56='Données projet'!$A$62,'Données projet'!$B$62,AI55+AH56-AQ55)))</f>
        <v>261.60000000000002</v>
      </c>
      <c r="AJ56" s="14">
        <f>AI56*VLOOKUP('Données projet'!$B$10,Paramètres!$A$1:$I$89,3,0)*VLOOKUP('Données projet'!$B$10,Paramètres!$A$1:$I$89,5,0)</f>
        <v>236.69568000000001</v>
      </c>
      <c r="AK56" s="14">
        <f t="shared" si="35"/>
        <v>57.72801732243034</v>
      </c>
      <c r="AL56" s="22">
        <f t="shared" si="4"/>
        <v>512.78793950323291</v>
      </c>
      <c r="AM56" s="60">
        <f t="shared" si="5"/>
        <v>806.12127283656628</v>
      </c>
      <c r="AN56" s="60">
        <f ca="1">AVERAGE(OFFSET($AM$3,0,0,'Données projet'!$E$10+1,1))-AVERAGE(OFFSET($H$3,0,0,'Données projet'!$E$10+1,1))</f>
        <v>404.14319681142746</v>
      </c>
      <c r="AO56" s="60">
        <f t="shared" si="36"/>
        <v>203.5274665601915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8</v>
      </c>
      <c r="BD56" s="13">
        <f>IF('Données projet'!$A$88&gt;35,BD55+BC56-BL55,IF(A56&lt;'Données projet'!$A$88,$BA$205^A56,IF(A56='Données projet'!$A$88,'Données projet'!$B$88,BD55+BC56-BL55)))</f>
        <v>181</v>
      </c>
      <c r="BE56" s="14">
        <f>BD56*VLOOKUP('Données projet'!$B$11,Paramètres!$A$1:$I$89,3,0)*VLOOKUP('Données projet'!$B$11,Paramètres!$A$1:$I$89,5,0)</f>
        <v>183.53400000000002</v>
      </c>
      <c r="BF56" s="14">
        <f t="shared" si="37"/>
        <v>46.107544136839593</v>
      </c>
      <c r="BG56" s="22">
        <f t="shared" si="7"/>
        <v>399.95902270499568</v>
      </c>
      <c r="BH56" s="60">
        <f t="shared" si="8"/>
        <v>693.29235603832899</v>
      </c>
      <c r="BI56" s="60">
        <f ca="1">AVERAGE(OFFSET($BH$3,0,0,'Données projet'!$E$11+1,1))-AVERAGE(OFFSET($H$3,0,0,'Données projet'!$E$11+1,1))</f>
        <v>350.3652766444938</v>
      </c>
      <c r="BJ56" s="60">
        <f t="shared" si="38"/>
        <v>197.04549436738586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8</v>
      </c>
      <c r="BY56" s="13">
        <f>IF('Données projet'!$A$114&gt;35,BY55+BX56-CG55,IF(A56&lt;'Données projet'!$A$114,$BV$205^A56,IF(A56='Données projet'!$A$114,'Données projet'!$B$114,BY55+BX56-CG55)))</f>
        <v>181</v>
      </c>
      <c r="BZ56" s="14">
        <f>BY56*VLOOKUP('Données projet'!$B$12,Paramètres!$A$1:$I$89,3,0)*VLOOKUP('Données projet'!$B$12,Paramètres!$A$1:$I$89,5,0)</f>
        <v>175.06319999999999</v>
      </c>
      <c r="CA56" s="14">
        <f t="shared" si="39"/>
        <v>44.22206774682472</v>
      </c>
      <c r="CB56" s="22">
        <f t="shared" si="10"/>
        <v>381.9218413257197</v>
      </c>
      <c r="CC56" s="60">
        <f t="shared" si="11"/>
        <v>675.25517465905295</v>
      </c>
      <c r="CD56" s="60">
        <f ca="1">AVERAGE(OFFSET($CC$3,0,0,'Données projet'!$E$12+1,1))-AVERAGE(OFFSET($H$3,0,0,'Données projet'!$E$12+1,1))</f>
        <v>330.39429528665841</v>
      </c>
      <c r="CE56" s="60">
        <f t="shared" si="40"/>
        <v>186.45728006007261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8</v>
      </c>
      <c r="CT56" s="13">
        <f>IF('Données projet'!$A$140&gt;35,CT55+CS56-DB55,IF(A56&lt;'Données projet'!$A$140,$CQ$205^A56,IF(A56='Données projet'!$A$140,'Données projet'!$B$140,CT55+CS56-DB55)))</f>
        <v>181</v>
      </c>
      <c r="CU56" s="18">
        <f>CT56*VLOOKUP('Données projet'!$B$13,Paramètres!$A$1:$I$89,3,0)*VLOOKUP('Données projet'!$B$13,Paramètres!$A$1:$I$89,5,0)</f>
        <v>194.82839999999999</v>
      </c>
      <c r="CV56" s="14">
        <f t="shared" si="41"/>
        <v>48.605879434898533</v>
      </c>
      <c r="CW56" s="22">
        <f t="shared" si="13"/>
        <v>423.98137001578152</v>
      </c>
      <c r="CX56" s="60">
        <f t="shared" si="14"/>
        <v>717.31470334911478</v>
      </c>
      <c r="CY56" s="60">
        <f ca="1">AVERAGE(OFFSET($CX$3,0,0,'Données projet'!$E$13+1,1))-AVERAGE(OFFSET($H$3,0,0,'Données projet'!$E$13+1,1))</f>
        <v>376.96388721258387</v>
      </c>
      <c r="CZ56" s="60">
        <f t="shared" si="42"/>
        <v>211.14628470344377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5.7692307692307683</v>
      </c>
      <c r="DO56" s="13">
        <f>IF('Données projet'!$A$166&gt;35,DO55+DN56-DW55,IF(A56&lt;'Données projet'!$A$166,$DL$205^A56,IF(A56='Données projet'!$A$166,'Données projet'!$B$166,DO55+DN56-DW55)))</f>
        <v>206.41025641025641</v>
      </c>
      <c r="DP56" s="18">
        <f>DO56*VLOOKUP('Données projet'!$B$14,Paramètres!$A$1:$I$89,3,0)*VLOOKUP('Données projet'!$B$14,Paramètres!$A$1:$I$89,5,0)</f>
        <v>138.45999999999998</v>
      </c>
      <c r="DQ56" s="14">
        <f t="shared" si="43"/>
        <v>35.943986332761526</v>
      </c>
      <c r="DR56" s="22">
        <f t="shared" si="16"/>
        <v>303.75360952955964</v>
      </c>
      <c r="DS56" s="60">
        <f t="shared" si="17"/>
        <v>597.08694286289301</v>
      </c>
      <c r="DT56" s="60">
        <f ca="1">AVERAGE(OFFSET($DS$3,0,0,'Données projet'!$E$14+1,1))-AVERAGE(OFFSET($H$3,0,0,'Données projet'!$E$14+1,1))</f>
        <v>212.33913923444732</v>
      </c>
      <c r="DU56" s="60">
        <f t="shared" si="44"/>
        <v>183.51194426094372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0" t="e">
        <f t="shared" si="20"/>
        <v>#N/A</v>
      </c>
      <c r="EO56" s="60" t="e">
        <f ca="1">AVERAGE(OFFSET($EN$3,0,0,'Données projet'!$E$15+1,1))-AVERAGE(OFFSET($H$3,0,0,'Données projet'!$E$15+1,1))</f>
        <v>#N/A</v>
      </c>
      <c r="EP56" s="60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0" t="e">
        <f t="shared" si="23"/>
        <v>#N/A</v>
      </c>
      <c r="FJ56" s="60" t="e">
        <f ca="1">AVERAGE(OFFSET($FI$3,0,0,'Données projet'!$E$16+1,1))-AVERAGE(OFFSET($H$3,0,0,'Données projet'!$E$16+1,1))</f>
        <v>#N/A</v>
      </c>
      <c r="FK56" s="60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0" t="e">
        <f t="shared" si="26"/>
        <v>#N/A</v>
      </c>
      <c r="GE56" s="60" t="e">
        <f ca="1">AVERAGE(OFFSET($GD$3,0,0,'Données projet'!$E$17+1,1))-AVERAGE(OFFSET($H$3,0,0,'Données projet'!$E$17+1,1))</f>
        <v>#N/A</v>
      </c>
      <c r="GF56" s="60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0" t="e">
        <f t="shared" si="29"/>
        <v>#N/A</v>
      </c>
      <c r="GZ56" s="60" t="e">
        <f ca="1">AVERAGE(OFFSET($GY$3,0,0,'Données projet'!$E$18+1,1))-AVERAGE(OFFSET($H$3,0,0,'Données projet'!$E$18+1,1))</f>
        <v>#N/A</v>
      </c>
      <c r="HA56" s="60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5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2">
        <f t="shared" si="32"/>
        <v>9.163863470361429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8">
        <f t="shared" si="1"/>
        <v>360.64502887754611</v>
      </c>
      <c r="I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10.486538461538473</v>
      </c>
      <c r="N57" s="14">
        <f>IF('Données projet'!$A$36&gt;35,N56+M57-V56,IF(A57&lt;'Données projet'!$A$36,$K$205^A57,IF(A57='Données projet'!$A$36,'Données projet'!$B$36,N56+M57-V56)))</f>
        <v>252.99038461538464</v>
      </c>
      <c r="O57" s="14">
        <f>N57*VLOOKUP('Données projet'!$B$9,Paramètres!$A$1:$I$89,3,0)*VLOOKUP('Données projet'!$B$9,Paramètres!$A$1:$I$89,5,0)</f>
        <v>118.3995</v>
      </c>
      <c r="P57" s="14">
        <f t="shared" si="33"/>
        <v>31.301417740061346</v>
      </c>
      <c r="Q57" s="22">
        <f t="shared" si="53"/>
        <v>260.7290983972735</v>
      </c>
      <c r="R57" s="60">
        <f t="shared" si="0"/>
        <v>554.06243173060682</v>
      </c>
      <c r="S57" s="60">
        <f ca="1">AVERAGE(OFFSET($R$3,0,0,'Données projet'!$E$9+1,1))-AVERAGE(OFFSET($H$3,0,0,'Données projet'!$E$9+1,1))</f>
        <v>146.40889017442277</v>
      </c>
      <c r="T57" s="60">
        <f t="shared" si="34"/>
        <v>70.859031694091868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10.199999999999999</v>
      </c>
      <c r="AI57" s="14">
        <f>IF('Données projet'!$A$62&gt;35,AI56+AH57-AQ56,IF(A57&lt;'Données projet'!$A$62,$AF$205^A57,IF(A57='Données projet'!$A$62,'Données projet'!$B$62,AI56+AH57-AQ56)))</f>
        <v>271.8</v>
      </c>
      <c r="AJ57" s="14">
        <f>AI57*VLOOKUP('Données projet'!$B$10,Paramètres!$A$1:$I$89,3,0)*VLOOKUP('Données projet'!$B$10,Paramètres!$A$1:$I$89,5,0)</f>
        <v>245.92464000000001</v>
      </c>
      <c r="AK57" s="14">
        <f t="shared" si="35"/>
        <v>59.712430831913537</v>
      </c>
      <c r="AL57" s="22">
        <f t="shared" si="4"/>
        <v>532.31789836558266</v>
      </c>
      <c r="AM57" s="60">
        <f t="shared" si="5"/>
        <v>825.65123169891604</v>
      </c>
      <c r="AN57" s="60">
        <f ca="1">AVERAGE(OFFSET($AM$3,0,0,'Données projet'!$E$10+1,1))-AVERAGE(OFFSET($H$3,0,0,'Données projet'!$E$10+1,1))</f>
        <v>404.14319681142746</v>
      </c>
      <c r="AO57" s="60">
        <f t="shared" si="36"/>
        <v>203.5274665601915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8</v>
      </c>
      <c r="BD57" s="13">
        <f>IF('Données projet'!$A$88&gt;35,BD56+BC57-BL56,IF(A57&lt;'Données projet'!$A$88,$BA$205^A57,IF(A57='Données projet'!$A$88,'Données projet'!$B$88,BD56+BC57-BL56)))</f>
        <v>189</v>
      </c>
      <c r="BE57" s="14">
        <f>BD57*VLOOKUP('Données projet'!$B$11,Paramètres!$A$1:$I$89,3,0)*VLOOKUP('Données projet'!$B$11,Paramètres!$A$1:$I$89,5,0)</f>
        <v>191.64600000000002</v>
      </c>
      <c r="BF57" s="14">
        <f t="shared" si="37"/>
        <v>47.903677189291635</v>
      </c>
      <c r="BG57" s="22">
        <f t="shared" si="7"/>
        <v>417.21568777134962</v>
      </c>
      <c r="BH57" s="60">
        <f t="shared" si="8"/>
        <v>710.54902110468288</v>
      </c>
      <c r="BI57" s="60">
        <f ca="1">AVERAGE(OFFSET($BH$3,0,0,'Données projet'!$E$11+1,1))-AVERAGE(OFFSET($H$3,0,0,'Données projet'!$E$11+1,1))</f>
        <v>350.3652766444938</v>
      </c>
      <c r="BJ57" s="60">
        <f t="shared" si="38"/>
        <v>197.04549436738586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8</v>
      </c>
      <c r="BY57" s="13">
        <f>IF('Données projet'!$A$114&gt;35,BY56+BX57-CG56,IF(A57&lt;'Données projet'!$A$114,$BV$205^A57,IF(A57='Données projet'!$A$114,'Données projet'!$B$114,BY56+BX57-CG56)))</f>
        <v>189</v>
      </c>
      <c r="BZ57" s="14">
        <f>BY57*VLOOKUP('Données projet'!$B$12,Paramètres!$A$1:$I$89,3,0)*VLOOKUP('Données projet'!$B$12,Paramètres!$A$1:$I$89,5,0)</f>
        <v>182.80079999999998</v>
      </c>
      <c r="CA57" s="14">
        <f t="shared" si="39"/>
        <v>45.944751507471658</v>
      </c>
      <c r="CB57" s="22">
        <f t="shared" si="10"/>
        <v>398.39850220884642</v>
      </c>
      <c r="CC57" s="60">
        <f t="shared" si="11"/>
        <v>691.73183554217974</v>
      </c>
      <c r="CD57" s="60">
        <f ca="1">AVERAGE(OFFSET($CC$3,0,0,'Données projet'!$E$12+1,1))-AVERAGE(OFFSET($H$3,0,0,'Données projet'!$E$12+1,1))</f>
        <v>330.39429528665841</v>
      </c>
      <c r="CE57" s="60">
        <f t="shared" si="40"/>
        <v>186.45728006007261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8</v>
      </c>
      <c r="CT57" s="13">
        <f>IF('Données projet'!$A$140&gt;35,CT56+CS57-DB56,IF(A57&lt;'Données projet'!$A$140,$CQ$205^A57,IF(A57='Données projet'!$A$140,'Données projet'!$B$140,CT56+CS57-DB56)))</f>
        <v>189</v>
      </c>
      <c r="CU57" s="18">
        <f>CT57*VLOOKUP('Données projet'!$B$13,Paramètres!$A$1:$I$89,3,0)*VLOOKUP('Données projet'!$B$13,Paramètres!$A$1:$I$89,5,0)</f>
        <v>203.43960000000001</v>
      </c>
      <c r="CV57" s="14">
        <f t="shared" si="41"/>
        <v>50.499335879627459</v>
      </c>
      <c r="CW57" s="22">
        <f t="shared" si="13"/>
        <v>442.27697999035109</v>
      </c>
      <c r="CX57" s="60">
        <f t="shared" si="14"/>
        <v>735.61031332368441</v>
      </c>
      <c r="CY57" s="60">
        <f ca="1">AVERAGE(OFFSET($CX$3,0,0,'Données projet'!$E$13+1,1))-AVERAGE(OFFSET($H$3,0,0,'Données projet'!$E$13+1,1))</f>
        <v>376.96388721258387</v>
      </c>
      <c r="CZ57" s="60">
        <f t="shared" si="42"/>
        <v>211.14628470344377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5.7692307692307683</v>
      </c>
      <c r="DO57" s="13">
        <f>IF('Données projet'!$A$166&gt;35,DO56+DN57-DW56,IF(A57&lt;'Données projet'!$A$166,$DL$205^A57,IF(A57='Données projet'!$A$166,'Données projet'!$B$166,DO56+DN57-DW56)))</f>
        <v>212.17948717948718</v>
      </c>
      <c r="DP57" s="18">
        <f>DO57*VLOOKUP('Données projet'!$B$14,Paramètres!$A$1:$I$89,3,0)*VLOOKUP('Données projet'!$B$14,Paramètres!$A$1:$I$89,5,0)</f>
        <v>142.33000000000001</v>
      </c>
      <c r="DQ57" s="14">
        <f t="shared" si="43"/>
        <v>36.830261932722308</v>
      </c>
      <c r="DR57" s="22">
        <f t="shared" si="16"/>
        <v>312.03745619949137</v>
      </c>
      <c r="DS57" s="60">
        <f t="shared" si="17"/>
        <v>605.37078953282469</v>
      </c>
      <c r="DT57" s="60">
        <f ca="1">AVERAGE(OFFSET($DS$3,0,0,'Données projet'!$E$14+1,1))-AVERAGE(OFFSET($H$3,0,0,'Données projet'!$E$14+1,1))</f>
        <v>212.33913923444732</v>
      </c>
      <c r="DU57" s="60">
        <f t="shared" si="44"/>
        <v>183.51194426094372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0" t="e">
        <f t="shared" si="20"/>
        <v>#N/A</v>
      </c>
      <c r="EO57" s="60" t="e">
        <f ca="1">AVERAGE(OFFSET($EN$3,0,0,'Données projet'!$E$15+1,1))-AVERAGE(OFFSET($H$3,0,0,'Données projet'!$E$15+1,1))</f>
        <v>#N/A</v>
      </c>
      <c r="EP57" s="60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0" t="e">
        <f t="shared" si="23"/>
        <v>#N/A</v>
      </c>
      <c r="FJ57" s="60" t="e">
        <f ca="1">AVERAGE(OFFSET($FI$3,0,0,'Données projet'!$E$16+1,1))-AVERAGE(OFFSET($H$3,0,0,'Données projet'!$E$16+1,1))</f>
        <v>#N/A</v>
      </c>
      <c r="FK57" s="60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0" t="e">
        <f t="shared" si="26"/>
        <v>#N/A</v>
      </c>
      <c r="GE57" s="60" t="e">
        <f ca="1">AVERAGE(OFFSET($GD$3,0,0,'Données projet'!$E$17+1,1))-AVERAGE(OFFSET($H$3,0,0,'Données projet'!$E$17+1,1))</f>
        <v>#N/A</v>
      </c>
      <c r="GF57" s="60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0" t="e">
        <f t="shared" si="29"/>
        <v>#N/A</v>
      </c>
      <c r="GZ57" s="60" t="e">
        <f ca="1">AVERAGE(OFFSET($GY$3,0,0,'Données projet'!$E$18+1,1))-AVERAGE(OFFSET($H$3,0,0,'Données projet'!$E$18+1,1))</f>
        <v>#N/A</v>
      </c>
      <c r="HA57" s="60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5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2">
        <f t="shared" si="32"/>
        <v>9.3136509212754071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8">
        <f t="shared" si="1"/>
        <v>361.85685868788795</v>
      </c>
      <c r="I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263.47692307692307</v>
      </c>
      <c r="L58" s="13">
        <f>VLOOKUP(A58,'Données projet'!$A$35:$I$55,9,0)</f>
        <v>10.486538461538473</v>
      </c>
      <c r="M58" s="13">
        <f t="array" ref="M58">INDEX(L:L,MIN(IF(ISNUMBER(L58:L254),ROW(L58:L254),"")))</f>
        <v>10.486538461538473</v>
      </c>
      <c r="N58" s="14">
        <f>IF('Données projet'!$A$36&gt;35,N57+M58-V57,IF(A58&lt;'Données projet'!$A$36,$K$205^A58,IF(A58='Données projet'!$A$36,'Données projet'!$B$36,N57+M58-V57)))</f>
        <v>263.47692307692313</v>
      </c>
      <c r="O58" s="14">
        <f>N58*VLOOKUP('Données projet'!$B$9,Paramètres!$A$1:$I$89,3,0)*VLOOKUP('Données projet'!$B$9,Paramètres!$A$1:$I$89,5,0)</f>
        <v>123.30720000000002</v>
      </c>
      <c r="P58" s="14">
        <f t="shared" si="33"/>
        <v>32.445124651567795</v>
      </c>
      <c r="Q58" s="22">
        <f t="shared" si="53"/>
        <v>271.26863210148059</v>
      </c>
      <c r="R58" s="60">
        <f t="shared" si="0"/>
        <v>564.60196543481391</v>
      </c>
      <c r="S58" s="60">
        <f ca="1">AVERAGE(OFFSET($R$3,0,0,'Données projet'!$E$9+1,1))-AVERAGE(OFFSET($H$3,0,0,'Données projet'!$E$9+1,1))</f>
        <v>146.40889017442277</v>
      </c>
      <c r="T58" s="60">
        <f t="shared" si="34"/>
        <v>70.859031694091868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282</v>
      </c>
      <c r="AG58" s="13">
        <f>VLOOKUP(A58,'Données projet'!$A$61:$I$81,9,0)</f>
        <v>10.199999999999999</v>
      </c>
      <c r="AH58" s="13">
        <f t="array" ref="AH58">INDEX(AG:AG,MIN(IF(ISNUMBER(AG58:AG254),ROW(AG58:AG254),"")))</f>
        <v>10.199999999999999</v>
      </c>
      <c r="AI58" s="14">
        <f>IF('Données projet'!$A$62&gt;35,AI57+AH58-AQ57,IF(A58&lt;'Données projet'!$A$62,$AF$205^A58,IF(A58='Données projet'!$A$62,'Données projet'!$B$62,AI57+AH58-AQ57)))</f>
        <v>282</v>
      </c>
      <c r="AJ58" s="14">
        <f>AI58*VLOOKUP('Données projet'!$B$10,Paramètres!$A$1:$I$89,3,0)*VLOOKUP('Données projet'!$B$10,Paramètres!$A$1:$I$89,5,0)</f>
        <v>255.15360000000001</v>
      </c>
      <c r="AK58" s="14">
        <f t="shared" si="35"/>
        <v>61.688192762754426</v>
      </c>
      <c r="AL58" s="22">
        <f t="shared" si="4"/>
        <v>551.83278906179726</v>
      </c>
      <c r="AM58" s="60">
        <f t="shared" si="5"/>
        <v>845.16612239513051</v>
      </c>
      <c r="AN58" s="60">
        <f ca="1">AVERAGE(OFFSET($AM$3,0,0,'Données projet'!$E$10+1,1))-AVERAGE(OFFSET($H$3,0,0,'Données projet'!$E$10+1,1))</f>
        <v>404.14319681142746</v>
      </c>
      <c r="AO58" s="60">
        <f t="shared" si="36"/>
        <v>203.5274665601915</v>
      </c>
      <c r="AP58" s="16">
        <f>IF(ISNA(VLOOKUP(A58,'Données projet'!$A$61:$I$81,3,0)),0,VLOOKUP(A58,'Données projet'!$A$61:$I$81,3,0))</f>
        <v>4</v>
      </c>
      <c r="AQ58" s="16">
        <f>IF(ISNA(VLOOKUP(A58,'Données projet'!$A$61:$I$81,4,0)),0,VLOOKUP(A58,'Données projet'!$A$61:$I$81,4,0))</f>
        <v>56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197</v>
      </c>
      <c r="BB58" s="13">
        <f>VLOOKUP(A58,'Données projet'!$A$87:$I$107,9,0)</f>
        <v>8</v>
      </c>
      <c r="BC58" s="13">
        <f t="array" ref="BC58">INDEX(BB:BB,MIN(IF(ISNUMBER(BB58:BB254),ROW(BB58:BB254),"")))</f>
        <v>8</v>
      </c>
      <c r="BD58" s="13">
        <f>IF('Données projet'!$A$88&gt;35,BD57+BC58-BL57,IF(A58&lt;'Données projet'!$A$88,$BA$205^A58,IF(A58='Données projet'!$A$88,'Données projet'!$B$88,BD57+BC58-BL57)))</f>
        <v>197</v>
      </c>
      <c r="BE58" s="14">
        <f>BD58*VLOOKUP('Données projet'!$B$11,Paramètres!$A$1:$I$89,3,0)*VLOOKUP('Données projet'!$B$11,Paramètres!$A$1:$I$89,5,0)</f>
        <v>199.75800000000004</v>
      </c>
      <c r="BF58" s="14">
        <f t="shared" si="37"/>
        <v>49.690979702964015</v>
      </c>
      <c r="BG58" s="22">
        <f t="shared" si="7"/>
        <v>434.45697298266236</v>
      </c>
      <c r="BH58" s="60">
        <f t="shared" si="8"/>
        <v>727.79030631599562</v>
      </c>
      <c r="BI58" s="60">
        <f ca="1">AVERAGE(OFFSET($BH$3,0,0,'Données projet'!$E$11+1,1))-AVERAGE(OFFSET($H$3,0,0,'Données projet'!$E$11+1,1))</f>
        <v>350.3652766444938</v>
      </c>
      <c r="BJ58" s="60">
        <f t="shared" si="38"/>
        <v>197.04549436738586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197</v>
      </c>
      <c r="BW58" s="13">
        <f>VLOOKUP(A58,'Données projet'!$A$113:$I$133,9,0)</f>
        <v>8</v>
      </c>
      <c r="BX58" s="13">
        <f t="array" ref="BX58">INDEX(BW:BW,MIN(IF(ISNUMBER(BW58:BW254),ROW(BW58:BW254),"")))</f>
        <v>8</v>
      </c>
      <c r="BY58" s="13">
        <f>IF('Données projet'!$A$114&gt;35,BY57+BX58-CG57,IF(A58&lt;'Données projet'!$A$114,$BV$205^A58,IF(A58='Données projet'!$A$114,'Données projet'!$B$114,BY57+BX58-CG57)))</f>
        <v>197</v>
      </c>
      <c r="BZ58" s="14">
        <f>BY58*VLOOKUP('Données projet'!$B$12,Paramètres!$A$1:$I$89,3,0)*VLOOKUP('Données projet'!$B$12,Paramètres!$A$1:$I$89,5,0)</f>
        <v>190.5384</v>
      </c>
      <c r="CA58" s="14">
        <f t="shared" si="39"/>
        <v>47.658965836673829</v>
      </c>
      <c r="CB58" s="22">
        <f t="shared" si="10"/>
        <v>414.86041216554025</v>
      </c>
      <c r="CC58" s="60">
        <f t="shared" si="11"/>
        <v>708.19374549887357</v>
      </c>
      <c r="CD58" s="60">
        <f ca="1">AVERAGE(OFFSET($CC$3,0,0,'Données projet'!$E$12+1,1))-AVERAGE(OFFSET($H$3,0,0,'Données projet'!$E$12+1,1))</f>
        <v>330.39429528665841</v>
      </c>
      <c r="CE58" s="60">
        <f t="shared" si="40"/>
        <v>186.45728006007261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197</v>
      </c>
      <c r="CR58" s="13">
        <f>VLOOKUP(A58,'Données projet'!$A$139:$I$159,9,0)</f>
        <v>8</v>
      </c>
      <c r="CS58" s="13">
        <f t="array" ref="CS58">INDEX(CR:CR,MIN(IF(ISNUMBER(CR58:CR254),ROW(CR58:CR254),"")))</f>
        <v>8</v>
      </c>
      <c r="CT58" s="13">
        <f>IF('Données projet'!$A$140&gt;35,CT57+CS58-DB57,IF(A58&lt;'Données projet'!$A$140,$CQ$205^A58,IF(A58='Données projet'!$A$140,'Données projet'!$B$140,CT57+CS58-DB57)))</f>
        <v>197</v>
      </c>
      <c r="CU58" s="18">
        <f>CT58*VLOOKUP('Données projet'!$B$13,Paramètres!$A$1:$I$89,3,0)*VLOOKUP('Données projet'!$B$13,Paramètres!$A$1:$I$89,5,0)</f>
        <v>212.05079999999998</v>
      </c>
      <c r="CV58" s="14">
        <f t="shared" si="41"/>
        <v>52.383483303212302</v>
      </c>
      <c r="CW58" s="22">
        <f t="shared" si="13"/>
        <v>460.55637675309475</v>
      </c>
      <c r="CX58" s="60">
        <f t="shared" si="14"/>
        <v>753.88971008642807</v>
      </c>
      <c r="CY58" s="60">
        <f ca="1">AVERAGE(OFFSET($CX$3,0,0,'Données projet'!$E$13+1,1))-AVERAGE(OFFSET($H$3,0,0,'Données projet'!$E$13+1,1))</f>
        <v>376.96388721258387</v>
      </c>
      <c r="CZ58" s="60">
        <f t="shared" si="42"/>
        <v>211.14628470344377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217.94871794871793</v>
      </c>
      <c r="DM58" s="13">
        <f>VLOOKUP(A58,'Données projet'!$A$165:$I$185,9,0)</f>
        <v>5.7692307692307683</v>
      </c>
      <c r="DN58" s="13">
        <f t="array" ref="DN58">INDEX(DM:DM,MIN(IF(ISNUMBER(DM58:DM254),ROW(DM58:DM254),"")))</f>
        <v>5.7692307692307683</v>
      </c>
      <c r="DO58" s="13">
        <f>IF('Données projet'!$A$166&gt;35,DO57+DN58-DW57,IF(A58&lt;'Données projet'!$A$166,$DL$205^A58,IF(A58='Données projet'!$A$166,'Données projet'!$B$166,DO57+DN58-DW57)))</f>
        <v>217.94871794871796</v>
      </c>
      <c r="DP58" s="18">
        <f>DO58*VLOOKUP('Données projet'!$B$14,Paramètres!$A$1:$I$89,3,0)*VLOOKUP('Données projet'!$B$14,Paramètres!$A$1:$I$89,5,0)</f>
        <v>146.19999999999999</v>
      </c>
      <c r="DQ58" s="14">
        <f t="shared" si="43"/>
        <v>37.713736580072478</v>
      </c>
      <c r="DR58" s="22">
        <f t="shared" si="16"/>
        <v>320.31642454362617</v>
      </c>
      <c r="DS58" s="60">
        <f t="shared" si="17"/>
        <v>613.64975787695948</v>
      </c>
      <c r="DT58" s="60">
        <f ca="1">AVERAGE(OFFSET($DS$3,0,0,'Données projet'!$E$14+1,1))-AVERAGE(OFFSET($H$3,0,0,'Données projet'!$E$14+1,1))</f>
        <v>212.33913923444732</v>
      </c>
      <c r="DU58" s="60">
        <f t="shared" si="44"/>
        <v>183.51194426094372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0" t="e">
        <f t="shared" si="20"/>
        <v>#N/A</v>
      </c>
      <c r="EO58" s="60" t="e">
        <f ca="1">AVERAGE(OFFSET($EN$3,0,0,'Données projet'!$E$15+1,1))-AVERAGE(OFFSET($H$3,0,0,'Données projet'!$E$15+1,1))</f>
        <v>#N/A</v>
      </c>
      <c r="EP58" s="60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0" t="e">
        <f t="shared" si="23"/>
        <v>#N/A</v>
      </c>
      <c r="FJ58" s="60" t="e">
        <f ca="1">AVERAGE(OFFSET($FI$3,0,0,'Données projet'!$E$16+1,1))-AVERAGE(OFFSET($H$3,0,0,'Données projet'!$E$16+1,1))</f>
        <v>#N/A</v>
      </c>
      <c r="FK58" s="60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0" t="e">
        <f t="shared" si="26"/>
        <v>#N/A</v>
      </c>
      <c r="GE58" s="60" t="e">
        <f ca="1">AVERAGE(OFFSET($GD$3,0,0,'Données projet'!$E$17+1,1))-AVERAGE(OFFSET($H$3,0,0,'Données projet'!$E$17+1,1))</f>
        <v>#N/A</v>
      </c>
      <c r="GF58" s="60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0" t="e">
        <f t="shared" si="29"/>
        <v>#N/A</v>
      </c>
      <c r="GZ58" s="60" t="e">
        <f ca="1">AVERAGE(OFFSET($GY$3,0,0,'Données projet'!$E$18+1,1))-AVERAGE(OFFSET($H$3,0,0,'Données projet'!$E$18+1,1))</f>
        <v>#N/A</v>
      </c>
      <c r="HA58" s="60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5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2">
        <f t="shared" si="32"/>
        <v>9.4631216842413828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8">
        <f t="shared" si="1"/>
        <v>363.068136933387</v>
      </c>
      <c r="I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10.784615384615382</v>
      </c>
      <c r="N59" s="14">
        <f>IF('Données projet'!$A$36&gt;35,N58+M59-V58,IF(A59&lt;'Données projet'!$A$36,$K$205^A59,IF(A59='Données projet'!$A$36,'Données projet'!$B$36,N58+M59-V58)))</f>
        <v>274.26153846153852</v>
      </c>
      <c r="O59" s="14">
        <f>N59*VLOOKUP('Données projet'!$B$9,Paramètres!$A$1:$I$89,3,0)*VLOOKUP('Données projet'!$B$9,Paramètres!$A$1:$I$89,5,0)</f>
        <v>128.35440000000003</v>
      </c>
      <c r="P59" s="14">
        <f t="shared" si="33"/>
        <v>33.615828021214249</v>
      </c>
      <c r="Q59" s="22">
        <f t="shared" si="53"/>
        <v>282.09814713694817</v>
      </c>
      <c r="R59" s="60">
        <f t="shared" si="0"/>
        <v>575.43148047028149</v>
      </c>
      <c r="S59" s="60">
        <f ca="1">AVERAGE(OFFSET($R$3,0,0,'Données projet'!$E$9+1,1))-AVERAGE(OFFSET($H$3,0,0,'Données projet'!$E$9+1,1))</f>
        <v>146.40889017442277</v>
      </c>
      <c r="T59" s="60">
        <f t="shared" si="34"/>
        <v>70.859031694091868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9.4</v>
      </c>
      <c r="AI59" s="14">
        <f>IF('Données projet'!$A$62&gt;35,AI58+AH59-AQ58,IF(A59&lt;'Données projet'!$A$62,$AF$205^A59,IF(A59='Données projet'!$A$62,'Données projet'!$B$62,AI58+AH59-AQ58)))</f>
        <v>235.39999999999998</v>
      </c>
      <c r="AJ59" s="14">
        <f>AI59*VLOOKUP('Données projet'!$B$10,Paramètres!$A$1:$I$89,3,0)*VLOOKUP('Données projet'!$B$10,Paramètres!$A$1:$I$89,5,0)</f>
        <v>212.98991999999998</v>
      </c>
      <c r="AK59" s="14">
        <f t="shared" si="35"/>
        <v>52.588419883221171</v>
      </c>
      <c r="AL59" s="22">
        <f t="shared" si="4"/>
        <v>462.54894196327677</v>
      </c>
      <c r="AM59" s="60">
        <f t="shared" si="5"/>
        <v>755.88227529661003</v>
      </c>
      <c r="AN59" s="60">
        <f ca="1">AVERAGE(OFFSET($AM$3,0,0,'Données projet'!$E$10+1,1))-AVERAGE(OFFSET($H$3,0,0,'Données projet'!$E$10+1,1))</f>
        <v>404.14319681142746</v>
      </c>
      <c r="AO59" s="60">
        <f t="shared" si="36"/>
        <v>203.5274665601915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7.6</v>
      </c>
      <c r="BD59" s="13">
        <f>IF('Données projet'!$A$88&gt;35,BD58+BC59-BL58,IF(A59&lt;'Données projet'!$A$88,$BA$205^A59,IF(A59='Données projet'!$A$88,'Données projet'!$B$88,BD58+BC59-BL58)))</f>
        <v>204.6</v>
      </c>
      <c r="BE59" s="14">
        <f>BD59*VLOOKUP('Données projet'!$B$11,Paramètres!$A$1:$I$89,3,0)*VLOOKUP('Données projet'!$B$11,Paramètres!$A$1:$I$89,5,0)</f>
        <v>207.46440000000001</v>
      </c>
      <c r="BF59" s="14">
        <f t="shared" si="37"/>
        <v>51.381102169014063</v>
      </c>
      <c r="BG59" s="22">
        <f t="shared" si="7"/>
        <v>450.82258294436616</v>
      </c>
      <c r="BH59" s="60">
        <f t="shared" si="8"/>
        <v>744.15591627769948</v>
      </c>
      <c r="BI59" s="60">
        <f ca="1">AVERAGE(OFFSET($BH$3,0,0,'Données projet'!$E$11+1,1))-AVERAGE(OFFSET($H$3,0,0,'Données projet'!$E$11+1,1))</f>
        <v>350.3652766444938</v>
      </c>
      <c r="BJ59" s="60">
        <f t="shared" si="38"/>
        <v>197.04549436738586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7.6</v>
      </c>
      <c r="BY59" s="13">
        <f>IF('Données projet'!$A$114&gt;35,BY58+BX59-CG58,IF(A59&lt;'Données projet'!$A$114,$BV$205^A59,IF(A59='Données projet'!$A$114,'Données projet'!$B$114,BY58+BX59-CG58)))</f>
        <v>204.6</v>
      </c>
      <c r="BZ59" s="14">
        <f>BY59*VLOOKUP('Données projet'!$B$12,Paramètres!$A$1:$I$89,3,0)*VLOOKUP('Données projet'!$B$12,Paramètres!$A$1:$I$89,5,0)</f>
        <v>197.88911999999999</v>
      </c>
      <c r="CA59" s="14">
        <f t="shared" si="39"/>
        <v>49.279974103179534</v>
      </c>
      <c r="CB59" s="22">
        <f t="shared" si="10"/>
        <v>430.48617222970438</v>
      </c>
      <c r="CC59" s="60">
        <f t="shared" si="11"/>
        <v>723.81950556303764</v>
      </c>
      <c r="CD59" s="60">
        <f ca="1">AVERAGE(OFFSET($CC$3,0,0,'Données projet'!$E$12+1,1))-AVERAGE(OFFSET($H$3,0,0,'Données projet'!$E$12+1,1))</f>
        <v>330.39429528665841</v>
      </c>
      <c r="CE59" s="60">
        <f t="shared" si="40"/>
        <v>186.45728006007261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7.6</v>
      </c>
      <c r="CT59" s="13">
        <f>IF('Données projet'!$A$140&gt;35,CT58+CS59-DB58,IF(A59&lt;'Données projet'!$A$140,$CQ$205^A59,IF(A59='Données projet'!$A$140,'Données projet'!$B$140,CT58+CS59-DB58)))</f>
        <v>204.6</v>
      </c>
      <c r="CU59" s="18">
        <f>CT59*VLOOKUP('Données projet'!$B$13,Paramètres!$A$1:$I$89,3,0)*VLOOKUP('Données projet'!$B$13,Paramètres!$A$1:$I$89,5,0)</f>
        <v>220.23143999999996</v>
      </c>
      <c r="CV59" s="14">
        <f t="shared" si="41"/>
        <v>54.165184982469711</v>
      </c>
      <c r="CW59" s="22">
        <f t="shared" si="13"/>
        <v>477.9074551778013</v>
      </c>
      <c r="CX59" s="60">
        <f t="shared" si="14"/>
        <v>771.24078851113461</v>
      </c>
      <c r="CY59" s="60">
        <f ca="1">AVERAGE(OFFSET($CX$3,0,0,'Données projet'!$E$13+1,1))-AVERAGE(OFFSET($H$3,0,0,'Données projet'!$E$13+1,1))</f>
        <v>376.96388721258387</v>
      </c>
      <c r="CZ59" s="60">
        <f t="shared" si="42"/>
        <v>211.14628470344377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5.3846153846153868</v>
      </c>
      <c r="DO59" s="13">
        <f>IF('Données projet'!$A$166&gt;35,DO58+DN59-DW58,IF(A59&lt;'Données projet'!$A$166,$DL$205^A59,IF(A59='Données projet'!$A$166,'Données projet'!$B$166,DO58+DN59-DW58)))</f>
        <v>223.33333333333334</v>
      </c>
      <c r="DP59" s="18">
        <f>DO59*VLOOKUP('Données projet'!$B$14,Paramètres!$A$1:$I$89,3,0)*VLOOKUP('Données projet'!$B$14,Paramètres!$A$1:$I$89,5,0)</f>
        <v>149.81200000000001</v>
      </c>
      <c r="DQ59" s="14">
        <f t="shared" si="43"/>
        <v>38.535858828351053</v>
      </c>
      <c r="DR59" s="22">
        <f t="shared" si="16"/>
        <v>328.03918745937807</v>
      </c>
      <c r="DS59" s="60">
        <f t="shared" si="17"/>
        <v>621.37252079271138</v>
      </c>
      <c r="DT59" s="60">
        <f ca="1">AVERAGE(OFFSET($DS$3,0,0,'Données projet'!$E$14+1,1))-AVERAGE(OFFSET($H$3,0,0,'Données projet'!$E$14+1,1))</f>
        <v>212.33913923444732</v>
      </c>
      <c r="DU59" s="60">
        <f t="shared" si="44"/>
        <v>183.51194426094372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0" t="e">
        <f t="shared" si="20"/>
        <v>#N/A</v>
      </c>
      <c r="EO59" s="60" t="e">
        <f ca="1">AVERAGE(OFFSET($EN$3,0,0,'Données projet'!$E$15+1,1))-AVERAGE(OFFSET($H$3,0,0,'Données projet'!$E$15+1,1))</f>
        <v>#N/A</v>
      </c>
      <c r="EP59" s="60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0" t="e">
        <f t="shared" si="23"/>
        <v>#N/A</v>
      </c>
      <c r="FJ59" s="60" t="e">
        <f ca="1">AVERAGE(OFFSET($FI$3,0,0,'Données projet'!$E$16+1,1))-AVERAGE(OFFSET($H$3,0,0,'Données projet'!$E$16+1,1))</f>
        <v>#N/A</v>
      </c>
      <c r="FK59" s="60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0" t="e">
        <f t="shared" si="26"/>
        <v>#N/A</v>
      </c>
      <c r="GE59" s="60" t="e">
        <f ca="1">AVERAGE(OFFSET($GD$3,0,0,'Données projet'!$E$17+1,1))-AVERAGE(OFFSET($H$3,0,0,'Données projet'!$E$17+1,1))</f>
        <v>#N/A</v>
      </c>
      <c r="GF59" s="60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0" t="e">
        <f t="shared" si="29"/>
        <v>#N/A</v>
      </c>
      <c r="GZ59" s="60" t="e">
        <f ca="1">AVERAGE(OFFSET($GY$3,0,0,'Données projet'!$E$18+1,1))-AVERAGE(OFFSET($H$3,0,0,'Données projet'!$E$18+1,1))</f>
        <v>#N/A</v>
      </c>
      <c r="HA59" s="60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5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2">
        <f t="shared" si="32"/>
        <v>9.6122820667787945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8">
        <f t="shared" si="1"/>
        <v>364.27887459963966</v>
      </c>
      <c r="I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10.784615384615382</v>
      </c>
      <c r="N60" s="14">
        <f>IF('Données projet'!$A$36&gt;35,N59+M60-V59,IF(A60&lt;'Données projet'!$A$36,$K$205^A60,IF(A60='Données projet'!$A$36,'Données projet'!$B$36,N59+M60-V59)))</f>
        <v>285.04615384615391</v>
      </c>
      <c r="O60" s="14">
        <f>N60*VLOOKUP('Données projet'!$B$9,Paramètres!$A$1:$I$89,3,0)*VLOOKUP('Données projet'!$B$9,Paramètres!$A$1:$I$89,5,0)</f>
        <v>133.40160000000003</v>
      </c>
      <c r="P60" s="14">
        <f t="shared" si="33"/>
        <v>34.781183724598222</v>
      </c>
      <c r="Q60" s="22">
        <f t="shared" si="53"/>
        <v>292.91834832034198</v>
      </c>
      <c r="R60" s="60">
        <f t="shared" si="0"/>
        <v>586.25168165367529</v>
      </c>
      <c r="S60" s="60">
        <f ca="1">AVERAGE(OFFSET($R$3,0,0,'Données projet'!$E$9+1,1))-AVERAGE(OFFSET($H$3,0,0,'Données projet'!$E$9+1,1))</f>
        <v>146.40889017442277</v>
      </c>
      <c r="T60" s="60">
        <f t="shared" si="34"/>
        <v>70.859031694091868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9.4</v>
      </c>
      <c r="AI60" s="14">
        <f>IF('Données projet'!$A$62&gt;35,AI59+AH60-AQ59,IF(A60&lt;'Données projet'!$A$62,$AF$205^A60,IF(A60='Données projet'!$A$62,'Données projet'!$B$62,AI59+AH60-AQ59)))</f>
        <v>244.79999999999998</v>
      </c>
      <c r="AJ60" s="14">
        <f>AI60*VLOOKUP('Données projet'!$B$10,Paramètres!$A$1:$I$89,3,0)*VLOOKUP('Données projet'!$B$10,Paramètres!$A$1:$I$89,5,0)</f>
        <v>221.49503999999999</v>
      </c>
      <c r="AK60" s="14">
        <f t="shared" si="35"/>
        <v>54.439697086174412</v>
      </c>
      <c r="AL60" s="22">
        <f t="shared" si="4"/>
        <v>480.58633375842032</v>
      </c>
      <c r="AM60" s="60">
        <f t="shared" si="5"/>
        <v>773.91966709175358</v>
      </c>
      <c r="AN60" s="60">
        <f ca="1">AVERAGE(OFFSET($AM$3,0,0,'Données projet'!$E$10+1,1))-AVERAGE(OFFSET($H$3,0,0,'Données projet'!$E$10+1,1))</f>
        <v>404.14319681142746</v>
      </c>
      <c r="AO60" s="60">
        <f t="shared" si="36"/>
        <v>203.5274665601915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7.6</v>
      </c>
      <c r="BD60" s="13">
        <f>IF('Données projet'!$A$88&gt;35,BD59+BC60-BL59,IF(A60&lt;'Données projet'!$A$88,$BA$205^A60,IF(A60='Données projet'!$A$88,'Données projet'!$B$88,BD59+BC60-BL59)))</f>
        <v>212.2</v>
      </c>
      <c r="BE60" s="14">
        <f>BD60*VLOOKUP('Données projet'!$B$11,Paramètres!$A$1:$I$89,3,0)*VLOOKUP('Données projet'!$B$11,Paramètres!$A$1:$I$89,5,0)</f>
        <v>215.17080000000001</v>
      </c>
      <c r="BF60" s="14">
        <f t="shared" si="37"/>
        <v>53.063930965723607</v>
      </c>
      <c r="BG60" s="22">
        <f t="shared" si="7"/>
        <v>467.17548976530185</v>
      </c>
      <c r="BH60" s="60">
        <f t="shared" si="8"/>
        <v>760.50882309863516</v>
      </c>
      <c r="BI60" s="60">
        <f ca="1">AVERAGE(OFFSET($BH$3,0,0,'Données projet'!$E$11+1,1))-AVERAGE(OFFSET($H$3,0,0,'Données projet'!$E$11+1,1))</f>
        <v>350.3652766444938</v>
      </c>
      <c r="BJ60" s="60">
        <f t="shared" si="38"/>
        <v>197.04549436738586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7.6</v>
      </c>
      <c r="BY60" s="13">
        <f>IF('Données projet'!$A$114&gt;35,BY59+BX60-CG59,IF(A60&lt;'Données projet'!$A$114,$BV$205^A60,IF(A60='Données projet'!$A$114,'Données projet'!$B$114,BY59+BX60-CG59)))</f>
        <v>212.2</v>
      </c>
      <c r="BZ60" s="14">
        <f>BY60*VLOOKUP('Données projet'!$B$12,Paramètres!$A$1:$I$89,3,0)*VLOOKUP('Données projet'!$B$12,Paramètres!$A$1:$I$89,5,0)</f>
        <v>205.23983999999999</v>
      </c>
      <c r="CA60" s="14">
        <f t="shared" si="39"/>
        <v>50.893986960458122</v>
      </c>
      <c r="CB60" s="22">
        <f t="shared" si="10"/>
        <v>446.0997486227979</v>
      </c>
      <c r="CC60" s="60">
        <f t="shared" si="11"/>
        <v>739.43308195613122</v>
      </c>
      <c r="CD60" s="60">
        <f ca="1">AVERAGE(OFFSET($CC$3,0,0,'Données projet'!$E$12+1,1))-AVERAGE(OFFSET($H$3,0,0,'Données projet'!$E$12+1,1))</f>
        <v>330.39429528665841</v>
      </c>
      <c r="CE60" s="60">
        <f t="shared" si="40"/>
        <v>186.45728006007261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7.6</v>
      </c>
      <c r="CT60" s="13">
        <f>IF('Données projet'!$A$140&gt;35,CT59+CS60-DB59,IF(A60&lt;'Données projet'!$A$140,$CQ$205^A60,IF(A60='Données projet'!$A$140,'Données projet'!$B$140,CT59+CS60-DB59)))</f>
        <v>212.2</v>
      </c>
      <c r="CU60" s="18">
        <f>CT60*VLOOKUP('Données projet'!$B$13,Paramètres!$A$1:$I$89,3,0)*VLOOKUP('Données projet'!$B$13,Paramètres!$A$1:$I$89,5,0)</f>
        <v>228.41207999999997</v>
      </c>
      <c r="CV60" s="14">
        <f t="shared" si="41"/>
        <v>55.939197785226767</v>
      </c>
      <c r="CW60" s="22">
        <f t="shared" si="13"/>
        <v>495.24514214260324</v>
      </c>
      <c r="CX60" s="60">
        <f t="shared" si="14"/>
        <v>788.57847547593656</v>
      </c>
      <c r="CY60" s="60">
        <f ca="1">AVERAGE(OFFSET($CX$3,0,0,'Données projet'!$E$13+1,1))-AVERAGE(OFFSET($H$3,0,0,'Données projet'!$E$13+1,1))</f>
        <v>376.96388721258387</v>
      </c>
      <c r="CZ60" s="60">
        <f t="shared" si="42"/>
        <v>211.14628470344377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5.3846153846153868</v>
      </c>
      <c r="DO60" s="13">
        <f>IF('Données projet'!$A$166&gt;35,DO59+DN60-DW59,IF(A60&lt;'Données projet'!$A$166,$DL$205^A60,IF(A60='Données projet'!$A$166,'Données projet'!$B$166,DO59+DN60-DW59)))</f>
        <v>228.71794871794873</v>
      </c>
      <c r="DP60" s="18">
        <f>DO60*VLOOKUP('Données projet'!$B$14,Paramètres!$A$1:$I$89,3,0)*VLOOKUP('Données projet'!$B$14,Paramètres!$A$1:$I$89,5,0)</f>
        <v>153.42400000000001</v>
      </c>
      <c r="DQ60" s="14">
        <f t="shared" si="43"/>
        <v>39.355676847161391</v>
      </c>
      <c r="DR60" s="22">
        <f t="shared" si="16"/>
        <v>335.75793717547276</v>
      </c>
      <c r="DS60" s="60">
        <f t="shared" si="17"/>
        <v>629.09127050880602</v>
      </c>
      <c r="DT60" s="60">
        <f ca="1">AVERAGE(OFFSET($DS$3,0,0,'Données projet'!$E$14+1,1))-AVERAGE(OFFSET($H$3,0,0,'Données projet'!$E$14+1,1))</f>
        <v>212.33913923444732</v>
      </c>
      <c r="DU60" s="60">
        <f t="shared" si="44"/>
        <v>183.51194426094372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0" t="e">
        <f t="shared" si="20"/>
        <v>#N/A</v>
      </c>
      <c r="EO60" s="60" t="e">
        <f ca="1">AVERAGE(OFFSET($EN$3,0,0,'Données projet'!$E$15+1,1))-AVERAGE(OFFSET($H$3,0,0,'Données projet'!$E$15+1,1))</f>
        <v>#N/A</v>
      </c>
      <c r="EP60" s="60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0" t="e">
        <f t="shared" si="23"/>
        <v>#N/A</v>
      </c>
      <c r="FJ60" s="60" t="e">
        <f ca="1">AVERAGE(OFFSET($FI$3,0,0,'Données projet'!$E$16+1,1))-AVERAGE(OFFSET($H$3,0,0,'Données projet'!$E$16+1,1))</f>
        <v>#N/A</v>
      </c>
      <c r="FK60" s="60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0" t="e">
        <f t="shared" si="26"/>
        <v>#N/A</v>
      </c>
      <c r="GE60" s="60" t="e">
        <f ca="1">AVERAGE(OFFSET($GD$3,0,0,'Données projet'!$E$17+1,1))-AVERAGE(OFFSET($H$3,0,0,'Données projet'!$E$17+1,1))</f>
        <v>#N/A</v>
      </c>
      <c r="GF60" s="60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0" t="e">
        <f t="shared" si="29"/>
        <v>#N/A</v>
      </c>
      <c r="GZ60" s="60" t="e">
        <f ca="1">AVERAGE(OFFSET($GY$3,0,0,'Données projet'!$E$18+1,1))-AVERAGE(OFFSET($H$3,0,0,'Données projet'!$E$18+1,1))</f>
        <v>#N/A</v>
      </c>
      <c r="HA60" s="60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5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2">
        <f t="shared" si="32"/>
        <v>9.7611381424130617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8">
        <f t="shared" si="1"/>
        <v>365.48908226470269</v>
      </c>
      <c r="I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10.784615384615382</v>
      </c>
      <c r="N61" s="14">
        <f>IF('Données projet'!$A$36&gt;35,N60+M61-V60,IF(A61&lt;'Données projet'!$A$36,$K$205^A61,IF(A61='Données projet'!$A$36,'Données projet'!$B$36,N60+M61-V60)))</f>
        <v>295.83076923076931</v>
      </c>
      <c r="O61" s="14">
        <f>N61*VLOOKUP('Données projet'!$B$9,Paramètres!$A$1:$I$89,3,0)*VLOOKUP('Données projet'!$B$9,Paramètres!$A$1:$I$89,5,0)</f>
        <v>138.44880000000003</v>
      </c>
      <c r="P61" s="14">
        <f t="shared" si="33"/>
        <v>35.941417252409821</v>
      </c>
      <c r="Q61" s="22">
        <f t="shared" si="53"/>
        <v>303.72962838128052</v>
      </c>
      <c r="R61" s="60">
        <f t="shared" si="0"/>
        <v>597.06296171461383</v>
      </c>
      <c r="S61" s="60">
        <f ca="1">AVERAGE(OFFSET($R$3,0,0,'Données projet'!$E$9+1,1))-AVERAGE(OFFSET($H$3,0,0,'Données projet'!$E$9+1,1))</f>
        <v>146.40889017442277</v>
      </c>
      <c r="T61" s="60">
        <f t="shared" si="34"/>
        <v>70.859031694091868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9.4</v>
      </c>
      <c r="AI61" s="14">
        <f>IF('Données projet'!$A$62&gt;35,AI60+AH61-AQ60,IF(A61&lt;'Données projet'!$A$62,$AF$205^A61,IF(A61='Données projet'!$A$62,'Données projet'!$B$62,AI60+AH61-AQ60)))</f>
        <v>254.2</v>
      </c>
      <c r="AJ61" s="14">
        <f>AI61*VLOOKUP('Données projet'!$B$10,Paramètres!$A$1:$I$89,3,0)*VLOOKUP('Données projet'!$B$10,Paramètres!$A$1:$I$89,5,0)</f>
        <v>230.00015999999997</v>
      </c>
      <c r="AK61" s="14">
        <f t="shared" si="35"/>
        <v>56.282716126880423</v>
      </c>
      <c r="AL61" s="22">
        <f t="shared" si="4"/>
        <v>498.60934258765002</v>
      </c>
      <c r="AM61" s="60">
        <f t="shared" si="5"/>
        <v>791.94267592098333</v>
      </c>
      <c r="AN61" s="60">
        <f ca="1">AVERAGE(OFFSET($AM$3,0,0,'Données projet'!$E$10+1,1))-AVERAGE(OFFSET($H$3,0,0,'Données projet'!$E$10+1,1))</f>
        <v>404.14319681142746</v>
      </c>
      <c r="AO61" s="60">
        <f t="shared" si="36"/>
        <v>203.5274665601915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7.6</v>
      </c>
      <c r="BD61" s="13">
        <f>IF('Données projet'!$A$88&gt;35,BD60+BC61-BL60,IF(A61&lt;'Données projet'!$A$88,$BA$205^A61,IF(A61='Données projet'!$A$88,'Données projet'!$B$88,BD60+BC61-BL60)))</f>
        <v>219.79999999999998</v>
      </c>
      <c r="BE61" s="14">
        <f>BD61*VLOOKUP('Données projet'!$B$11,Paramètres!$A$1:$I$89,3,0)*VLOOKUP('Données projet'!$B$11,Paramètres!$A$1:$I$89,5,0)</f>
        <v>222.87720000000002</v>
      </c>
      <c r="BF61" s="14">
        <f t="shared" si="37"/>
        <v>54.739757243913829</v>
      </c>
      <c r="BG61" s="22">
        <f t="shared" si="7"/>
        <v>483.51620053314986</v>
      </c>
      <c r="BH61" s="60">
        <f t="shared" si="8"/>
        <v>776.84953386648317</v>
      </c>
      <c r="BI61" s="60">
        <f ca="1">AVERAGE(OFFSET($BH$3,0,0,'Données projet'!$E$11+1,1))-AVERAGE(OFFSET($H$3,0,0,'Données projet'!$E$11+1,1))</f>
        <v>350.3652766444938</v>
      </c>
      <c r="BJ61" s="60">
        <f t="shared" si="38"/>
        <v>197.04549436738586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7.6</v>
      </c>
      <c r="BY61" s="13">
        <f>IF('Données projet'!$A$114&gt;35,BY60+BX61-CG60,IF(A61&lt;'Données projet'!$A$114,$BV$205^A61,IF(A61='Données projet'!$A$114,'Données projet'!$B$114,BY60+BX61-CG60)))</f>
        <v>219.79999999999998</v>
      </c>
      <c r="BZ61" s="14">
        <f>BY61*VLOOKUP('Données projet'!$B$12,Paramètres!$A$1:$I$89,3,0)*VLOOKUP('Données projet'!$B$12,Paramètres!$A$1:$I$89,5,0)</f>
        <v>212.59055999999998</v>
      </c>
      <c r="CA61" s="14">
        <f t="shared" si="39"/>
        <v>52.501283653296404</v>
      </c>
      <c r="CB61" s="22">
        <f t="shared" si="10"/>
        <v>461.70162769615786</v>
      </c>
      <c r="CC61" s="60">
        <f t="shared" si="11"/>
        <v>755.03496102949111</v>
      </c>
      <c r="CD61" s="60">
        <f ca="1">AVERAGE(OFFSET($CC$3,0,0,'Données projet'!$E$12+1,1))-AVERAGE(OFFSET($H$3,0,0,'Données projet'!$E$12+1,1))</f>
        <v>330.39429528665841</v>
      </c>
      <c r="CE61" s="60">
        <f t="shared" si="40"/>
        <v>186.45728006007261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7.6</v>
      </c>
      <c r="CT61" s="13">
        <f>IF('Données projet'!$A$140&gt;35,CT60+CS61-DB60,IF(A61&lt;'Données projet'!$A$140,$CQ$205^A61,IF(A61='Données projet'!$A$140,'Données projet'!$B$140,CT60+CS61-DB60)))</f>
        <v>219.79999999999998</v>
      </c>
      <c r="CU61" s="18">
        <f>CT61*VLOOKUP('Données projet'!$B$13,Paramètres!$A$1:$I$89,3,0)*VLOOKUP('Données projet'!$B$13,Paramètres!$A$1:$I$89,5,0)</f>
        <v>236.59271999999999</v>
      </c>
      <c r="CV61" s="14">
        <f t="shared" si="41"/>
        <v>57.705828638299394</v>
      </c>
      <c r="CW61" s="22">
        <f t="shared" si="13"/>
        <v>512.56997221170479</v>
      </c>
      <c r="CX61" s="60">
        <f t="shared" si="14"/>
        <v>805.90330554503817</v>
      </c>
      <c r="CY61" s="60">
        <f ca="1">AVERAGE(OFFSET($CX$3,0,0,'Données projet'!$E$13+1,1))-AVERAGE(OFFSET($H$3,0,0,'Données projet'!$E$13+1,1))</f>
        <v>376.96388721258387</v>
      </c>
      <c r="CZ61" s="60">
        <f t="shared" si="42"/>
        <v>211.14628470344377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5.3846153846153868</v>
      </c>
      <c r="DO61" s="13">
        <f>IF('Données projet'!$A$166&gt;35,DO60+DN61-DW60,IF(A61&lt;'Données projet'!$A$166,$DL$205^A61,IF(A61='Données projet'!$A$166,'Données projet'!$B$166,DO60+DN61-DW60)))</f>
        <v>234.10256410256412</v>
      </c>
      <c r="DP61" s="18">
        <f>DO61*VLOOKUP('Données projet'!$B$14,Paramètres!$A$1:$I$89,3,0)*VLOOKUP('Données projet'!$B$14,Paramètres!$A$1:$I$89,5,0)</f>
        <v>157.036</v>
      </c>
      <c r="DQ61" s="14">
        <f t="shared" si="43"/>
        <v>40.17325112686504</v>
      </c>
      <c r="DR61" s="22">
        <f t="shared" si="16"/>
        <v>343.47277904595654</v>
      </c>
      <c r="DS61" s="60">
        <f t="shared" si="17"/>
        <v>636.80611237928986</v>
      </c>
      <c r="DT61" s="60">
        <f ca="1">AVERAGE(OFFSET($DS$3,0,0,'Données projet'!$E$14+1,1))-AVERAGE(OFFSET($H$3,0,0,'Données projet'!$E$14+1,1))</f>
        <v>212.33913923444732</v>
      </c>
      <c r="DU61" s="60">
        <f t="shared" si="44"/>
        <v>183.51194426094372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0" t="e">
        <f t="shared" si="20"/>
        <v>#N/A</v>
      </c>
      <c r="EO61" s="60" t="e">
        <f ca="1">AVERAGE(OFFSET($EN$3,0,0,'Données projet'!$E$15+1,1))-AVERAGE(OFFSET($H$3,0,0,'Données projet'!$E$15+1,1))</f>
        <v>#N/A</v>
      </c>
      <c r="EP61" s="60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0" t="e">
        <f t="shared" si="23"/>
        <v>#N/A</v>
      </c>
      <c r="FJ61" s="60" t="e">
        <f ca="1">AVERAGE(OFFSET($FI$3,0,0,'Données projet'!$E$16+1,1))-AVERAGE(OFFSET($H$3,0,0,'Données projet'!$E$16+1,1))</f>
        <v>#N/A</v>
      </c>
      <c r="FK61" s="60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0" t="e">
        <f t="shared" si="26"/>
        <v>#N/A</v>
      </c>
      <c r="GE61" s="60" t="e">
        <f ca="1">AVERAGE(OFFSET($GD$3,0,0,'Données projet'!$E$17+1,1))-AVERAGE(OFFSET($H$3,0,0,'Données projet'!$E$17+1,1))</f>
        <v>#N/A</v>
      </c>
      <c r="GF61" s="60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0" t="e">
        <f t="shared" si="29"/>
        <v>#N/A</v>
      </c>
      <c r="GZ61" s="60" t="e">
        <f ca="1">AVERAGE(OFFSET($GY$3,0,0,'Données projet'!$E$18+1,1))-AVERAGE(OFFSET($H$3,0,0,'Données projet'!$E$18+1,1))</f>
        <v>#N/A</v>
      </c>
      <c r="HA61" s="60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5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2">
        <f t="shared" si="32"/>
        <v>9.9096957632381564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8">
        <f t="shared" si="1"/>
        <v>366.69877012097305</v>
      </c>
      <c r="I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10.784615384615382</v>
      </c>
      <c r="N62" s="14">
        <f>IF('Données projet'!$A$36&gt;35,N61+M62-V61,IF(A62&lt;'Données projet'!$A$36,$K$205^A62,IF(A62='Données projet'!$A$36,'Données projet'!$B$36,N61+M62-V61)))</f>
        <v>306.6153846153847</v>
      </c>
      <c r="O62" s="14">
        <f>N62*VLOOKUP('Données projet'!$B$9,Paramètres!$A$1:$I$89,3,0)*VLOOKUP('Données projet'!$B$9,Paramètres!$A$1:$I$89,5,0)</f>
        <v>143.49600000000004</v>
      </c>
      <c r="P62" s="14">
        <f t="shared" si="33"/>
        <v>37.096736722926138</v>
      </c>
      <c r="Q62" s="22">
        <f t="shared" si="53"/>
        <v>314.53234979242978</v>
      </c>
      <c r="R62" s="60">
        <f t="shared" si="0"/>
        <v>607.8656831257631</v>
      </c>
      <c r="S62" s="60">
        <f ca="1">AVERAGE(OFFSET($R$3,0,0,'Données projet'!$E$9+1,1))-AVERAGE(OFFSET($H$3,0,0,'Données projet'!$E$9+1,1))</f>
        <v>146.40889017442277</v>
      </c>
      <c r="T62" s="60">
        <f t="shared" si="34"/>
        <v>70.859031694091868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9.4</v>
      </c>
      <c r="AI62" s="14">
        <f>IF('Données projet'!$A$62&gt;35,AI61+AH62-AQ61,IF(A62&lt;'Données projet'!$A$62,$AF$205^A62,IF(A62='Données projet'!$A$62,'Données projet'!$B$62,AI61+AH62-AQ61)))</f>
        <v>263.59999999999997</v>
      </c>
      <c r="AJ62" s="14">
        <f>AI62*VLOOKUP('Données projet'!$B$10,Paramètres!$A$1:$I$89,3,0)*VLOOKUP('Données projet'!$B$10,Paramètres!$A$1:$I$89,5,0)</f>
        <v>238.50527999999997</v>
      </c>
      <c r="AK62" s="14">
        <f t="shared" si="35"/>
        <v>58.117817352909881</v>
      </c>
      <c r="AL62" s="22">
        <f t="shared" si="4"/>
        <v>516.61856122298457</v>
      </c>
      <c r="AM62" s="60">
        <f t="shared" si="5"/>
        <v>809.95189455631794</v>
      </c>
      <c r="AN62" s="60">
        <f ca="1">AVERAGE(OFFSET($AM$3,0,0,'Données projet'!$E$10+1,1))-AVERAGE(OFFSET($H$3,0,0,'Données projet'!$E$10+1,1))</f>
        <v>404.14319681142746</v>
      </c>
      <c r="AO62" s="60">
        <f t="shared" si="36"/>
        <v>203.5274665601915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7.6</v>
      </c>
      <c r="BD62" s="13">
        <f>IF('Données projet'!$A$88&gt;35,BD61+BC62-BL61,IF(A62&lt;'Données projet'!$A$88,$BA$205^A62,IF(A62='Données projet'!$A$88,'Données projet'!$B$88,BD61+BC62-BL61)))</f>
        <v>227.39999999999998</v>
      </c>
      <c r="BE62" s="14">
        <f>BD62*VLOOKUP('Données projet'!$B$11,Paramètres!$A$1:$I$89,3,0)*VLOOKUP('Données projet'!$B$11,Paramètres!$A$1:$I$89,5,0)</f>
        <v>230.58360000000002</v>
      </c>
      <c r="BF62" s="14">
        <f t="shared" si="37"/>
        <v>56.408850878327968</v>
      </c>
      <c r="BG62" s="22">
        <f t="shared" si="7"/>
        <v>499.8451852797545</v>
      </c>
      <c r="BH62" s="60">
        <f t="shared" si="8"/>
        <v>793.17851861308782</v>
      </c>
      <c r="BI62" s="60">
        <f ca="1">AVERAGE(OFFSET($BH$3,0,0,'Données projet'!$E$11+1,1))-AVERAGE(OFFSET($H$3,0,0,'Données projet'!$E$11+1,1))</f>
        <v>350.3652766444938</v>
      </c>
      <c r="BJ62" s="60">
        <f t="shared" si="38"/>
        <v>197.04549436738586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7.6</v>
      </c>
      <c r="BY62" s="13">
        <f>IF('Données projet'!$A$114&gt;35,BY61+BX62-CG61,IF(A62&lt;'Données projet'!$A$114,$BV$205^A62,IF(A62='Données projet'!$A$114,'Données projet'!$B$114,BY61+BX62-CG61)))</f>
        <v>227.39999999999998</v>
      </c>
      <c r="BZ62" s="14">
        <f>BY62*VLOOKUP('Données projet'!$B$12,Paramètres!$A$1:$I$89,3,0)*VLOOKUP('Données projet'!$B$12,Paramètres!$A$1:$I$89,5,0)</f>
        <v>219.94127999999995</v>
      </c>
      <c r="CA62" s="14">
        <f t="shared" si="39"/>
        <v>54.102123020446285</v>
      </c>
      <c r="CB62" s="22">
        <f t="shared" si="10"/>
        <v>477.29226026061059</v>
      </c>
      <c r="CC62" s="60">
        <f t="shared" si="11"/>
        <v>770.6255935939439</v>
      </c>
      <c r="CD62" s="60">
        <f ca="1">AVERAGE(OFFSET($CC$3,0,0,'Données projet'!$E$12+1,1))-AVERAGE(OFFSET($H$3,0,0,'Données projet'!$E$12+1,1))</f>
        <v>330.39429528665841</v>
      </c>
      <c r="CE62" s="60">
        <f t="shared" si="40"/>
        <v>186.45728006007261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7.6</v>
      </c>
      <c r="CT62" s="13">
        <f>IF('Données projet'!$A$140&gt;35,CT61+CS62-DB61,IF(A62&lt;'Données projet'!$A$140,$CQ$205^A62,IF(A62='Données projet'!$A$140,'Données projet'!$B$140,CT61+CS62-DB61)))</f>
        <v>227.39999999999998</v>
      </c>
      <c r="CU62" s="18">
        <f>CT62*VLOOKUP('Données projet'!$B$13,Paramètres!$A$1:$I$89,3,0)*VLOOKUP('Données projet'!$B$13,Paramètres!$A$1:$I$89,5,0)</f>
        <v>244.77335999999997</v>
      </c>
      <c r="CV62" s="14">
        <f t="shared" si="41"/>
        <v>59.465362039582196</v>
      </c>
      <c r="CW62" s="22">
        <f t="shared" si="13"/>
        <v>529.88244088560566</v>
      </c>
      <c r="CX62" s="60">
        <f t="shared" si="14"/>
        <v>823.21577421893903</v>
      </c>
      <c r="CY62" s="60">
        <f ca="1">AVERAGE(OFFSET($CX$3,0,0,'Données projet'!$E$13+1,1))-AVERAGE(OFFSET($H$3,0,0,'Données projet'!$E$13+1,1))</f>
        <v>376.96388721258387</v>
      </c>
      <c r="CZ62" s="60">
        <f t="shared" si="42"/>
        <v>211.14628470344377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5.3846153846153868</v>
      </c>
      <c r="DO62" s="13">
        <f>IF('Données projet'!$A$166&gt;35,DO61+DN62-DW61,IF(A62&lt;'Données projet'!$A$166,$DL$205^A62,IF(A62='Données projet'!$A$166,'Données projet'!$B$166,DO61+DN62-DW61)))</f>
        <v>239.4871794871795</v>
      </c>
      <c r="DP62" s="18">
        <f>DO62*VLOOKUP('Données projet'!$B$14,Paramètres!$A$1:$I$89,3,0)*VLOOKUP('Données projet'!$B$14,Paramètres!$A$1:$I$89,5,0)</f>
        <v>160.648</v>
      </c>
      <c r="DQ62" s="14">
        <f t="shared" si="43"/>
        <v>40.988639216339969</v>
      </c>
      <c r="DR62" s="22">
        <f t="shared" si="16"/>
        <v>351.1838133017921</v>
      </c>
      <c r="DS62" s="60">
        <f t="shared" si="17"/>
        <v>644.51714663512541</v>
      </c>
      <c r="DT62" s="60">
        <f ca="1">AVERAGE(OFFSET($DS$3,0,0,'Données projet'!$E$14+1,1))-AVERAGE(OFFSET($H$3,0,0,'Données projet'!$E$14+1,1))</f>
        <v>212.33913923444732</v>
      </c>
      <c r="DU62" s="60">
        <f t="shared" si="44"/>
        <v>183.51194426094372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0" t="e">
        <f t="shared" si="20"/>
        <v>#N/A</v>
      </c>
      <c r="EO62" s="60" t="e">
        <f ca="1">AVERAGE(OFFSET($EN$3,0,0,'Données projet'!$E$15+1,1))-AVERAGE(OFFSET($H$3,0,0,'Données projet'!$E$15+1,1))</f>
        <v>#N/A</v>
      </c>
      <c r="EP62" s="60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0" t="e">
        <f t="shared" si="23"/>
        <v>#N/A</v>
      </c>
      <c r="FJ62" s="60" t="e">
        <f ca="1">AVERAGE(OFFSET($FI$3,0,0,'Données projet'!$E$16+1,1))-AVERAGE(OFFSET($H$3,0,0,'Données projet'!$E$16+1,1))</f>
        <v>#N/A</v>
      </c>
      <c r="FK62" s="60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0" t="e">
        <f t="shared" si="26"/>
        <v>#N/A</v>
      </c>
      <c r="GE62" s="60" t="e">
        <f ca="1">AVERAGE(OFFSET($GD$3,0,0,'Données projet'!$E$17+1,1))-AVERAGE(OFFSET($H$3,0,0,'Données projet'!$E$17+1,1))</f>
        <v>#N/A</v>
      </c>
      <c r="GF62" s="60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0" t="e">
        <f t="shared" si="29"/>
        <v>#N/A</v>
      </c>
      <c r="GZ62" s="60" t="e">
        <f ca="1">AVERAGE(OFFSET($GY$3,0,0,'Données projet'!$E$18+1,1))-AVERAGE(OFFSET($H$3,0,0,'Données projet'!$E$18+1,1))</f>
        <v>#N/A</v>
      </c>
      <c r="HA62" s="60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5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2">
        <f t="shared" si="32"/>
        <v>10.05796057160342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8">
        <f t="shared" si="1"/>
        <v>367.90794799554254</v>
      </c>
      <c r="I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317.39999999999998</v>
      </c>
      <c r="L63" s="13">
        <f>VLOOKUP(A63,'Données projet'!$A$35:$I$55,9,0)</f>
        <v>10.784615384615382</v>
      </c>
      <c r="M63" s="13">
        <f t="array" ref="M63">INDEX(L:L,MIN(IF(ISNUMBER(L63:L259),ROW(L63:L259),"")))</f>
        <v>10.784615384615382</v>
      </c>
      <c r="N63" s="14">
        <f>IF('Données projet'!$A$36&gt;35,N62+M63-V62,IF(A63&lt;'Données projet'!$A$36,$K$205^A63,IF(A63='Données projet'!$A$36,'Données projet'!$B$36,N62+M63-V62)))</f>
        <v>317.40000000000009</v>
      </c>
      <c r="O63" s="14">
        <f>N63*VLOOKUP('Données projet'!$B$9,Paramètres!$A$1:$I$89,3,0)*VLOOKUP('Données projet'!$B$9,Paramètres!$A$1:$I$89,5,0)</f>
        <v>148.54320000000004</v>
      </c>
      <c r="P63" s="14">
        <f t="shared" si="33"/>
        <v>38.247334783976747</v>
      </c>
      <c r="Q63" s="22">
        <f t="shared" si="53"/>
        <v>325.32684808209291</v>
      </c>
      <c r="R63" s="60">
        <f t="shared" si="0"/>
        <v>618.66018141542622</v>
      </c>
      <c r="S63" s="60">
        <f ca="1">AVERAGE(OFFSET($R$3,0,0,'Données projet'!$E$9+1,1))-AVERAGE(OFFSET($H$3,0,0,'Données projet'!$E$9+1,1))</f>
        <v>146.40889017442277</v>
      </c>
      <c r="T63" s="60">
        <f t="shared" si="34"/>
        <v>70.859031694091868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273</v>
      </c>
      <c r="AG63" s="13">
        <f>VLOOKUP(A63,'Données projet'!$A$61:$I$81,9,0)</f>
        <v>9.4</v>
      </c>
      <c r="AH63" s="13">
        <f t="array" ref="AH63">INDEX(AG:AG,MIN(IF(ISNUMBER(AG63:AG259),ROW(AG63:AG259),"")))</f>
        <v>9.4</v>
      </c>
      <c r="AI63" s="14">
        <f>IF('Données projet'!$A$62&gt;35,AI62+AH63-AQ62,IF(A63&lt;'Données projet'!$A$62,$AF$205^A63,IF(A63='Données projet'!$A$62,'Données projet'!$B$62,AI62+AH63-AQ62)))</f>
        <v>272.99999999999994</v>
      </c>
      <c r="AJ63" s="14">
        <f>AI63*VLOOKUP('Données projet'!$B$10,Paramètres!$A$1:$I$89,3,0)*VLOOKUP('Données projet'!$B$10,Paramètres!$A$1:$I$89,5,0)</f>
        <v>247.01039999999992</v>
      </c>
      <c r="AK63" s="14">
        <f t="shared" si="35"/>
        <v>59.945315462121812</v>
      </c>
      <c r="AL63" s="22">
        <f t="shared" si="4"/>
        <v>534.61453776319524</v>
      </c>
      <c r="AM63" s="60">
        <f t="shared" si="5"/>
        <v>827.94787109652862</v>
      </c>
      <c r="AN63" s="60">
        <f ca="1">AVERAGE(OFFSET($AM$3,0,0,'Données projet'!$E$10+1,1))-AVERAGE(OFFSET($H$3,0,0,'Données projet'!$E$10+1,1))</f>
        <v>404.14319681142746</v>
      </c>
      <c r="AO63" s="60">
        <f t="shared" si="36"/>
        <v>203.5274665601915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235</v>
      </c>
      <c r="BB63" s="13">
        <f>VLOOKUP(A63,'Données projet'!$A$87:$I$107,9,0)</f>
        <v>7.6</v>
      </c>
      <c r="BC63" s="13">
        <f t="array" ref="BC63">INDEX(BB:BB,MIN(IF(ISNUMBER(BB63:BB259),ROW(BB63:BB259),"")))</f>
        <v>7.6</v>
      </c>
      <c r="BD63" s="13">
        <f>IF('Données projet'!$A$88&gt;35,BD62+BC63-BL62,IF(A63&lt;'Données projet'!$A$88,$BA$205^A63,IF(A63='Données projet'!$A$88,'Données projet'!$B$88,BD62+BC63-BL62)))</f>
        <v>234.99999999999997</v>
      </c>
      <c r="BE63" s="14">
        <f>BD63*VLOOKUP('Données projet'!$B$11,Paramètres!$A$1:$I$89,3,0)*VLOOKUP('Données projet'!$B$11,Paramètres!$A$1:$I$89,5,0)</f>
        <v>238.29000000000002</v>
      </c>
      <c r="BF63" s="14">
        <f t="shared" si="37"/>
        <v>58.071462681001513</v>
      </c>
      <c r="BG63" s="22">
        <f t="shared" si="7"/>
        <v>516.16288083607753</v>
      </c>
      <c r="BH63" s="60">
        <f t="shared" si="8"/>
        <v>809.49621416941091</v>
      </c>
      <c r="BI63" s="60">
        <f ca="1">AVERAGE(OFFSET($BH$3,0,0,'Données projet'!$E$11+1,1))-AVERAGE(OFFSET($H$3,0,0,'Données projet'!$E$11+1,1))</f>
        <v>350.3652766444938</v>
      </c>
      <c r="BJ63" s="60">
        <f t="shared" si="38"/>
        <v>197.04549436738586</v>
      </c>
      <c r="BK63" s="16">
        <f>IF(ISNA(VLOOKUP(A63,'Données projet'!$A$87:$I$107,3,0)),0,VLOOKUP(A63,'Données projet'!$A$87:$I$107,3,0))</f>
        <v>4</v>
      </c>
      <c r="BL63" s="16">
        <f>IF(ISNA(VLOOKUP(A63,'Données projet'!$A$87:$I$107,4,0)),0,VLOOKUP(A63,'Données projet'!$A$87:$I$107,4,0))</f>
        <v>42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235</v>
      </c>
      <c r="BW63" s="13">
        <f>VLOOKUP(A63,'Données projet'!$A$113:$I$133,9,0)</f>
        <v>7.6</v>
      </c>
      <c r="BX63" s="13">
        <f t="array" ref="BX63">INDEX(BW:BW,MIN(IF(ISNUMBER(BW63:BW259),ROW(BW63:BW259),"")))</f>
        <v>7.6</v>
      </c>
      <c r="BY63" s="13">
        <f>IF('Données projet'!$A$114&gt;35,BY62+BX63-CG62,IF(A63&lt;'Données projet'!$A$114,$BV$205^A63,IF(A63='Données projet'!$A$114,'Données projet'!$B$114,BY62+BX63-CG62)))</f>
        <v>234.99999999999997</v>
      </c>
      <c r="BZ63" s="14">
        <f>BY63*VLOOKUP('Données projet'!$B$12,Paramètres!$A$1:$I$89,3,0)*VLOOKUP('Données projet'!$B$12,Paramètres!$A$1:$I$89,5,0)</f>
        <v>227.292</v>
      </c>
      <c r="CA63" s="14">
        <f t="shared" si="39"/>
        <v>55.6967456174837</v>
      </c>
      <c r="CB63" s="22">
        <f t="shared" si="10"/>
        <v>492.87206528378402</v>
      </c>
      <c r="CC63" s="60">
        <f t="shared" si="11"/>
        <v>786.20539861711734</v>
      </c>
      <c r="CD63" s="60">
        <f ca="1">AVERAGE(OFFSET($CC$3,0,0,'Données projet'!$E$12+1,1))-AVERAGE(OFFSET($H$3,0,0,'Données projet'!$E$12+1,1))</f>
        <v>330.39429528665841</v>
      </c>
      <c r="CE63" s="60">
        <f t="shared" si="40"/>
        <v>186.45728006007261</v>
      </c>
      <c r="CF63" s="16">
        <f>IF(ISNA(VLOOKUP(A63,'Données projet'!$A$113:$I$133,3,0)),0,VLOOKUP(A63,'Données projet'!$A$113:$I$133,3,0))</f>
        <v>4</v>
      </c>
      <c r="CG63" s="16">
        <f>IF(ISNA(VLOOKUP(A63,'Données projet'!$A$113:$I$133,4,0)),0,VLOOKUP(A63,'Données projet'!$A$113:$I$133,4,0))</f>
        <v>42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235</v>
      </c>
      <c r="CR63" s="13">
        <f>VLOOKUP(A63,'Données projet'!$A$139:$I$159,9,0)</f>
        <v>7.6</v>
      </c>
      <c r="CS63" s="13">
        <f t="array" ref="CS63">INDEX(CR:CR,MIN(IF(ISNUMBER(CR63:CR259),ROW(CR63:CR259),"")))</f>
        <v>7.6</v>
      </c>
      <c r="CT63" s="13">
        <f>IF('Données projet'!$A$140&gt;35,CT62+CS63-DB62,IF(A63&lt;'Données projet'!$A$140,$CQ$205^A63,IF(A63='Données projet'!$A$140,'Données projet'!$B$140,CT62+CS63-DB62)))</f>
        <v>234.99999999999997</v>
      </c>
      <c r="CU63" s="18">
        <f>CT63*VLOOKUP('Données projet'!$B$13,Paramètres!$A$1:$I$89,3,0)*VLOOKUP('Données projet'!$B$13,Paramètres!$A$1:$I$89,5,0)</f>
        <v>252.95399999999998</v>
      </c>
      <c r="CV63" s="14">
        <f t="shared" si="41"/>
        <v>61.218062391350081</v>
      </c>
      <c r="CW63" s="22">
        <f t="shared" si="13"/>
        <v>547.18300866493462</v>
      </c>
      <c r="CX63" s="60">
        <f t="shared" si="14"/>
        <v>840.51634199826799</v>
      </c>
      <c r="CY63" s="60">
        <f ca="1">AVERAGE(OFFSET($CX$3,0,0,'Données projet'!$E$13+1,1))-AVERAGE(OFFSET($H$3,0,0,'Données projet'!$E$13+1,1))</f>
        <v>376.96388721258387</v>
      </c>
      <c r="CZ63" s="60">
        <f t="shared" si="42"/>
        <v>211.14628470344377</v>
      </c>
      <c r="DA63" s="16">
        <f>IF(ISNA(VLOOKUP(A63,'Données projet'!$A$139:$I$159,3,0)),0,VLOOKUP(A63,'Données projet'!$A$139:$I$159,3,0))</f>
        <v>4</v>
      </c>
      <c r="DB63" s="16">
        <f>IF(ISNA(VLOOKUP(A63,'Données projet'!$A$139:$I$159,4,0)),0,VLOOKUP(A63,'Données projet'!$A$139:$I$159,4,0))</f>
        <v>42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244.87179487179486</v>
      </c>
      <c r="DM63" s="13">
        <f>VLOOKUP(A63,'Données projet'!$A$165:$I$185,9,0)</f>
        <v>5.3846153846153868</v>
      </c>
      <c r="DN63" s="13">
        <f t="array" ref="DN63">INDEX(DM:DM,MIN(IF(ISNUMBER(DM63:DM259),ROW(DM63:DM259),"")))</f>
        <v>5.3846153846153868</v>
      </c>
      <c r="DO63" s="13">
        <f>IF('Données projet'!$A$166&gt;35,DO62+DN63-DW62,IF(A63&lt;'Données projet'!$A$166,$DL$205^A63,IF(A63='Données projet'!$A$166,'Données projet'!$B$166,DO62+DN63-DW62)))</f>
        <v>244.87179487179489</v>
      </c>
      <c r="DP63" s="18">
        <f>DO63*VLOOKUP('Données projet'!$B$14,Paramètres!$A$1:$I$89,3,0)*VLOOKUP('Données projet'!$B$14,Paramètres!$A$1:$I$89,5,0)</f>
        <v>164.26000000000002</v>
      </c>
      <c r="DQ63" s="14">
        <f t="shared" si="43"/>
        <v>41.801895928887475</v>
      </c>
      <c r="DR63" s="22">
        <f t="shared" si="16"/>
        <v>358.89113540947909</v>
      </c>
      <c r="DS63" s="60">
        <f t="shared" si="17"/>
        <v>652.22446874281241</v>
      </c>
      <c r="DT63" s="60">
        <f ca="1">AVERAGE(OFFSET($DS$3,0,0,'Données projet'!$E$14+1,1))-AVERAGE(OFFSET($H$3,0,0,'Données projet'!$E$14+1,1))</f>
        <v>212.33913923444732</v>
      </c>
      <c r="DU63" s="60">
        <f t="shared" si="44"/>
        <v>183.51194426094372</v>
      </c>
      <c r="DV63" s="16">
        <f>IF(ISNA(VLOOKUP(A63,'Données projet'!$A$165:$I$185,3,0)),0,VLOOKUP(A63,'Données projet'!$A$165:$I$185,3,0))</f>
        <v>5</v>
      </c>
      <c r="DW63" s="16">
        <f>IF(ISNA(VLOOKUP(A63,'Données projet'!$A$165:$I$185,4,0)),0,VLOOKUP(A63,'Données projet'!$A$165:$I$185,4,0))</f>
        <v>30.128205128205128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0" t="e">
        <f t="shared" si="20"/>
        <v>#N/A</v>
      </c>
      <c r="EO63" s="60" t="e">
        <f ca="1">AVERAGE(OFFSET($EN$3,0,0,'Données projet'!$E$15+1,1))-AVERAGE(OFFSET($H$3,0,0,'Données projet'!$E$15+1,1))</f>
        <v>#N/A</v>
      </c>
      <c r="EP63" s="60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0" t="e">
        <f t="shared" si="23"/>
        <v>#N/A</v>
      </c>
      <c r="FJ63" s="60" t="e">
        <f ca="1">AVERAGE(OFFSET($FI$3,0,0,'Données projet'!$E$16+1,1))-AVERAGE(OFFSET($H$3,0,0,'Données projet'!$E$16+1,1))</f>
        <v>#N/A</v>
      </c>
      <c r="FK63" s="60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0" t="e">
        <f t="shared" si="26"/>
        <v>#N/A</v>
      </c>
      <c r="GE63" s="60" t="e">
        <f ca="1">AVERAGE(OFFSET($GD$3,0,0,'Données projet'!$E$17+1,1))-AVERAGE(OFFSET($H$3,0,0,'Données projet'!$E$17+1,1))</f>
        <v>#N/A</v>
      </c>
      <c r="GF63" s="60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0" t="e">
        <f t="shared" si="29"/>
        <v>#N/A</v>
      </c>
      <c r="GZ63" s="60" t="e">
        <f ca="1">AVERAGE(OFFSET($GY$3,0,0,'Données projet'!$E$18+1,1))-AVERAGE(OFFSET($H$3,0,0,'Données projet'!$E$18+1,1))</f>
        <v>#N/A</v>
      </c>
      <c r="HA63" s="60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5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2">
        <f t="shared" si="32"/>
        <v>10.205938010999123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8">
        <f t="shared" si="1"/>
        <v>369.11662536915674</v>
      </c>
      <c r="I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11.097435897435901</v>
      </c>
      <c r="N64" s="14">
        <f>IF('Données projet'!$A$36&gt;35,N63+M64-V63,IF(A64&lt;'Données projet'!$A$36,$K$205^A64,IF(A64='Données projet'!$A$36,'Données projet'!$B$36,N63+M64-V63)))</f>
        <v>328.49743589743599</v>
      </c>
      <c r="O64" s="14">
        <f>N64*VLOOKUP('Données projet'!$B$9,Paramètres!$A$1:$I$89,3,0)*VLOOKUP('Données projet'!$B$9,Paramètres!$A$1:$I$89,5,0)</f>
        <v>153.73680000000004</v>
      </c>
      <c r="P64" s="14">
        <f t="shared" si="33"/>
        <v>39.426566857509222</v>
      </c>
      <c r="Q64" s="22">
        <f t="shared" si="53"/>
        <v>336.42619727682859</v>
      </c>
      <c r="R64" s="60">
        <f t="shared" si="0"/>
        <v>629.75953061016185</v>
      </c>
      <c r="S64" s="60">
        <f ca="1">AVERAGE(OFFSET($R$3,0,0,'Données projet'!$E$9+1,1))-AVERAGE(OFFSET($H$3,0,0,'Données projet'!$E$9+1,1))</f>
        <v>146.40889017442277</v>
      </c>
      <c r="T64" s="60">
        <f t="shared" si="34"/>
        <v>70.859031694091868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8.8000000000000007</v>
      </c>
      <c r="AI64" s="14">
        <f>IF('Données projet'!$A$62&gt;35,AI63+AH64-AQ63,IF(A64&lt;'Données projet'!$A$62,$AF$205^A64,IF(A64='Données projet'!$A$62,'Données projet'!$B$62,AI63+AH64-AQ63)))</f>
        <v>281.79999999999995</v>
      </c>
      <c r="AJ64" s="14">
        <f>AI64*VLOOKUP('Données projet'!$B$10,Paramètres!$A$1:$I$89,3,0)*VLOOKUP('Données projet'!$B$10,Paramètres!$A$1:$I$89,5,0)</f>
        <v>254.97263999999996</v>
      </c>
      <c r="AK64" s="14">
        <f t="shared" si="35"/>
        <v>61.649533232533919</v>
      </c>
      <c r="AL64" s="22">
        <f t="shared" si="4"/>
        <v>551.45028504666311</v>
      </c>
      <c r="AM64" s="60">
        <f t="shared" si="5"/>
        <v>844.78361837999637</v>
      </c>
      <c r="AN64" s="60">
        <f ca="1">AVERAGE(OFFSET($AM$3,0,0,'Données projet'!$E$10+1,1))-AVERAGE(OFFSET($H$3,0,0,'Données projet'!$E$10+1,1))</f>
        <v>404.14319681142746</v>
      </c>
      <c r="AO64" s="60">
        <f t="shared" si="36"/>
        <v>203.5274665601915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7.2</v>
      </c>
      <c r="BD64" s="13">
        <f>IF('Données projet'!$A$88&gt;35,BD63+BC64-BL63,IF(A64&lt;'Données projet'!$A$88,$BA$205^A64,IF(A64='Données projet'!$A$88,'Données projet'!$B$88,BD63+BC64-BL63)))</f>
        <v>200.19999999999996</v>
      </c>
      <c r="BE64" s="14">
        <f>BD64*VLOOKUP('Données projet'!$B$11,Paramètres!$A$1:$I$89,3,0)*VLOOKUP('Données projet'!$B$11,Paramètres!$A$1:$I$89,5,0)</f>
        <v>203.00279999999995</v>
      </c>
      <c r="BF64" s="14">
        <f t="shared" si="37"/>
        <v>50.403518824343074</v>
      </c>
      <c r="BG64" s="22">
        <f t="shared" si="7"/>
        <v>441.3493386190641</v>
      </c>
      <c r="BH64" s="60">
        <f t="shared" si="8"/>
        <v>734.68267195239741</v>
      </c>
      <c r="BI64" s="60">
        <f ca="1">AVERAGE(OFFSET($BH$3,0,0,'Données projet'!$E$11+1,1))-AVERAGE(OFFSET($H$3,0,0,'Données projet'!$E$11+1,1))</f>
        <v>350.3652766444938</v>
      </c>
      <c r="BJ64" s="60">
        <f t="shared" si="38"/>
        <v>197.04549436738586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7.2</v>
      </c>
      <c r="BY64" s="13">
        <f>IF('Données projet'!$A$114&gt;35,BY63+BX64-CG63,IF(A64&lt;'Données projet'!$A$114,$BV$205^A64,IF(A64='Données projet'!$A$114,'Données projet'!$B$114,BY63+BX64-CG63)))</f>
        <v>200.19999999999996</v>
      </c>
      <c r="BZ64" s="14">
        <f>BY64*VLOOKUP('Données projet'!$B$12,Paramètres!$A$1:$I$89,3,0)*VLOOKUP('Données projet'!$B$12,Paramètres!$A$1:$I$89,5,0)</f>
        <v>193.63343999999998</v>
      </c>
      <c r="CA64" s="14">
        <f t="shared" si="39"/>
        <v>48.342367086681229</v>
      </c>
      <c r="CB64" s="22">
        <f t="shared" si="10"/>
        <v>421.44119734263637</v>
      </c>
      <c r="CC64" s="60">
        <f t="shared" si="11"/>
        <v>714.77453067596969</v>
      </c>
      <c r="CD64" s="60">
        <f ca="1">AVERAGE(OFFSET($CC$3,0,0,'Données projet'!$E$12+1,1))-AVERAGE(OFFSET($H$3,0,0,'Données projet'!$E$12+1,1))</f>
        <v>330.39429528665841</v>
      </c>
      <c r="CE64" s="60">
        <f t="shared" si="40"/>
        <v>186.45728006007261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7.2</v>
      </c>
      <c r="CT64" s="13">
        <f>IF('Données projet'!$A$140&gt;35,CT63+CS64-DB63,IF(A64&lt;'Données projet'!$A$140,$CQ$205^A64,IF(A64='Données projet'!$A$140,'Données projet'!$B$140,CT63+CS64-DB63)))</f>
        <v>200.19999999999996</v>
      </c>
      <c r="CU64" s="18">
        <f>CT64*VLOOKUP('Données projet'!$B$13,Paramètres!$A$1:$I$89,3,0)*VLOOKUP('Données projet'!$B$13,Paramètres!$A$1:$I$89,5,0)</f>
        <v>215.49527999999992</v>
      </c>
      <c r="CV64" s="14">
        <f t="shared" si="41"/>
        <v>53.134631326269272</v>
      </c>
      <c r="CW64" s="22">
        <f t="shared" si="13"/>
        <v>467.86376222658549</v>
      </c>
      <c r="CX64" s="60">
        <f t="shared" si="14"/>
        <v>761.19709555991881</v>
      </c>
      <c r="CY64" s="60">
        <f ca="1">AVERAGE(OFFSET($CX$3,0,0,'Données projet'!$E$13+1,1))-AVERAGE(OFFSET($H$3,0,0,'Données projet'!$E$13+1,1))</f>
        <v>376.96388721258387</v>
      </c>
      <c r="CZ64" s="60">
        <f t="shared" si="42"/>
        <v>211.14628470344377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5.1282051282051331</v>
      </c>
      <c r="DO64" s="13">
        <f>IF('Données projet'!$A$166&gt;35,DO63+DN64-DW63,IF(A64&lt;'Données projet'!$A$166,$DL$205^A64,IF(A64='Données projet'!$A$166,'Données projet'!$B$166,DO63+DN64-DW63)))</f>
        <v>219.87179487179489</v>
      </c>
      <c r="DP64" s="18">
        <f>DO64*VLOOKUP('Données projet'!$B$14,Paramètres!$A$1:$I$89,3,0)*VLOOKUP('Données projet'!$B$14,Paramètres!$A$1:$I$89,5,0)</f>
        <v>147.49</v>
      </c>
      <c r="DQ64" s="14">
        <f t="shared" si="43"/>
        <v>38.007620116459833</v>
      </c>
      <c r="DR64" s="22">
        <f t="shared" si="16"/>
        <v>323.07502170283419</v>
      </c>
      <c r="DS64" s="60">
        <f t="shared" si="17"/>
        <v>616.40835503616745</v>
      </c>
      <c r="DT64" s="60">
        <f ca="1">AVERAGE(OFFSET($DS$3,0,0,'Données projet'!$E$14+1,1))-AVERAGE(OFFSET($H$3,0,0,'Données projet'!$E$14+1,1))</f>
        <v>212.33913923444732</v>
      </c>
      <c r="DU64" s="60">
        <f t="shared" si="44"/>
        <v>183.51194426094372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0" t="e">
        <f t="shared" si="20"/>
        <v>#N/A</v>
      </c>
      <c r="EO64" s="60" t="e">
        <f ca="1">AVERAGE(OFFSET($EN$3,0,0,'Données projet'!$E$15+1,1))-AVERAGE(OFFSET($H$3,0,0,'Données projet'!$E$15+1,1))</f>
        <v>#N/A</v>
      </c>
      <c r="EP64" s="60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0" t="e">
        <f t="shared" si="23"/>
        <v>#N/A</v>
      </c>
      <c r="FJ64" s="60" t="e">
        <f ca="1">AVERAGE(OFFSET($FI$3,0,0,'Données projet'!$E$16+1,1))-AVERAGE(OFFSET($H$3,0,0,'Données projet'!$E$16+1,1))</f>
        <v>#N/A</v>
      </c>
      <c r="FK64" s="60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0" t="e">
        <f t="shared" si="26"/>
        <v>#N/A</v>
      </c>
      <c r="GE64" s="60" t="e">
        <f ca="1">AVERAGE(OFFSET($GD$3,0,0,'Données projet'!$E$17+1,1))-AVERAGE(OFFSET($H$3,0,0,'Données projet'!$E$17+1,1))</f>
        <v>#N/A</v>
      </c>
      <c r="GF64" s="60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0" t="e">
        <f t="shared" si="29"/>
        <v>#N/A</v>
      </c>
      <c r="GZ64" s="60" t="e">
        <f ca="1">AVERAGE(OFFSET($GY$3,0,0,'Données projet'!$E$18+1,1))-AVERAGE(OFFSET($H$3,0,0,'Données projet'!$E$18+1,1))</f>
        <v>#N/A</v>
      </c>
      <c r="HA64" s="60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5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2">
        <f t="shared" si="32"/>
        <v>10.353633336208009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8">
        <f t="shared" si="1"/>
        <v>370.32481139389552</v>
      </c>
      <c r="I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11.097435897435901</v>
      </c>
      <c r="N65" s="14">
        <f>IF('Données projet'!$A$36&gt;35,N64+M65-V64,IF(A65&lt;'Données projet'!$A$36,$K$205^A65,IF(A65='Données projet'!$A$36,'Données projet'!$B$36,N64+M65-V64)))</f>
        <v>339.59487179487189</v>
      </c>
      <c r="O65" s="14">
        <f>N65*VLOOKUP('Données projet'!$B$9,Paramètres!$A$1:$I$89,3,0)*VLOOKUP('Données projet'!$B$9,Paramètres!$A$1:$I$89,5,0)</f>
        <v>158.93040000000005</v>
      </c>
      <c r="P65" s="14">
        <f t="shared" si="33"/>
        <v>40.60117004384621</v>
      </c>
      <c r="Q65" s="22">
        <f t="shared" si="53"/>
        <v>347.51748449303227</v>
      </c>
      <c r="R65" s="60">
        <f t="shared" si="0"/>
        <v>640.85081782636553</v>
      </c>
      <c r="S65" s="60">
        <f ca="1">AVERAGE(OFFSET($R$3,0,0,'Données projet'!$E$9+1,1))-AVERAGE(OFFSET($H$3,0,0,'Données projet'!$E$9+1,1))</f>
        <v>146.40889017442277</v>
      </c>
      <c r="T65" s="60">
        <f t="shared" si="34"/>
        <v>70.859031694091868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8.8000000000000007</v>
      </c>
      <c r="AI65" s="14">
        <f>IF('Données projet'!$A$62&gt;35,AI64+AH65-AQ64,IF(A65&lt;'Données projet'!$A$62,$AF$205^A65,IF(A65='Données projet'!$A$62,'Données projet'!$B$62,AI64+AH65-AQ64)))</f>
        <v>290.59999999999997</v>
      </c>
      <c r="AJ65" s="14">
        <f>AI65*VLOOKUP('Données projet'!$B$10,Paramètres!$A$1:$I$89,3,0)*VLOOKUP('Données projet'!$B$10,Paramètres!$A$1:$I$89,5,0)</f>
        <v>262.93487999999996</v>
      </c>
      <c r="AK65" s="14">
        <f t="shared" si="35"/>
        <v>63.347566493432765</v>
      </c>
      <c r="AL65" s="22">
        <f t="shared" si="4"/>
        <v>568.27526097606199</v>
      </c>
      <c r="AM65" s="60">
        <f t="shared" si="5"/>
        <v>861.60859430939536</v>
      </c>
      <c r="AN65" s="60">
        <f ca="1">AVERAGE(OFFSET($AM$3,0,0,'Données projet'!$E$10+1,1))-AVERAGE(OFFSET($H$3,0,0,'Données projet'!$E$10+1,1))</f>
        <v>404.14319681142746</v>
      </c>
      <c r="AO65" s="60">
        <f t="shared" si="36"/>
        <v>203.5274665601915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7.2</v>
      </c>
      <c r="BD65" s="13">
        <f>IF('Données projet'!$A$88&gt;35,BD64+BC65-BL64,IF(A65&lt;'Données projet'!$A$88,$BA$205^A65,IF(A65='Données projet'!$A$88,'Données projet'!$B$88,BD64+BC65-BL64)))</f>
        <v>207.39999999999995</v>
      </c>
      <c r="BE65" s="14">
        <f>BD65*VLOOKUP('Données projet'!$B$11,Paramètres!$A$1:$I$89,3,0)*VLOOKUP('Données projet'!$B$11,Paramètres!$A$1:$I$89,5,0)</f>
        <v>210.30359999999996</v>
      </c>
      <c r="BF65" s="14">
        <f t="shared" si="37"/>
        <v>52.001924357524459</v>
      </c>
      <c r="BG65" s="22">
        <f t="shared" si="7"/>
        <v>456.84878825602163</v>
      </c>
      <c r="BH65" s="60">
        <f t="shared" si="8"/>
        <v>750.18212158935489</v>
      </c>
      <c r="BI65" s="60">
        <f ca="1">AVERAGE(OFFSET($BH$3,0,0,'Données projet'!$E$11+1,1))-AVERAGE(OFFSET($H$3,0,0,'Données projet'!$E$11+1,1))</f>
        <v>350.3652766444938</v>
      </c>
      <c r="BJ65" s="60">
        <f t="shared" si="38"/>
        <v>197.04549436738586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7.2</v>
      </c>
      <c r="BY65" s="13">
        <f>IF('Données projet'!$A$114&gt;35,BY64+BX65-CG64,IF(A65&lt;'Données projet'!$A$114,$BV$205^A65,IF(A65='Données projet'!$A$114,'Données projet'!$B$114,BY64+BX65-CG64)))</f>
        <v>207.39999999999995</v>
      </c>
      <c r="BZ65" s="14">
        <f>BY65*VLOOKUP('Données projet'!$B$12,Paramètres!$A$1:$I$89,3,0)*VLOOKUP('Données projet'!$B$12,Paramètres!$A$1:$I$89,5,0)</f>
        <v>200.59727999999996</v>
      </c>
      <c r="CA65" s="14">
        <f t="shared" si="39"/>
        <v>49.875409002022977</v>
      </c>
      <c r="CB65" s="22">
        <f t="shared" si="10"/>
        <v>436.23993334518991</v>
      </c>
      <c r="CC65" s="60">
        <f t="shared" si="11"/>
        <v>729.57326667852317</v>
      </c>
      <c r="CD65" s="60">
        <f ca="1">AVERAGE(OFFSET($CC$3,0,0,'Données projet'!$E$12+1,1))-AVERAGE(OFFSET($H$3,0,0,'Données projet'!$E$12+1,1))</f>
        <v>330.39429528665841</v>
      </c>
      <c r="CE65" s="60">
        <f t="shared" si="40"/>
        <v>186.45728006007261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7.2</v>
      </c>
      <c r="CT65" s="13">
        <f>IF('Données projet'!$A$140&gt;35,CT64+CS65-DB64,IF(A65&lt;'Données projet'!$A$140,$CQ$205^A65,IF(A65='Données projet'!$A$140,'Données projet'!$B$140,CT64+CS65-DB64)))</f>
        <v>207.39999999999995</v>
      </c>
      <c r="CU65" s="18">
        <f>CT65*VLOOKUP('Données projet'!$B$13,Paramètres!$A$1:$I$89,3,0)*VLOOKUP('Données projet'!$B$13,Paramètres!$A$1:$I$89,5,0)</f>
        <v>223.24535999999995</v>
      </c>
      <c r="CV65" s="14">
        <f t="shared" si="41"/>
        <v>54.819646394591118</v>
      </c>
      <c r="CW65" s="22">
        <f t="shared" si="13"/>
        <v>484.29655280391279</v>
      </c>
      <c r="CX65" s="60">
        <f t="shared" si="14"/>
        <v>777.6298861372461</v>
      </c>
      <c r="CY65" s="60">
        <f ca="1">AVERAGE(OFFSET($CX$3,0,0,'Données projet'!$E$13+1,1))-AVERAGE(OFFSET($H$3,0,0,'Données projet'!$E$13+1,1))</f>
        <v>376.96388721258387</v>
      </c>
      <c r="CZ65" s="60">
        <f t="shared" si="42"/>
        <v>211.14628470344377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5.1282051282051331</v>
      </c>
      <c r="DO65" s="13">
        <f>IF('Données projet'!$A$166&gt;35,DO64+DN65-DW64,IF(A65&lt;'Données projet'!$A$166,$DL$205^A65,IF(A65='Données projet'!$A$166,'Données projet'!$B$166,DO64+DN65-DW64)))</f>
        <v>225.00000000000003</v>
      </c>
      <c r="DP65" s="18">
        <f>DO65*VLOOKUP('Données projet'!$B$14,Paramètres!$A$1:$I$89,3,0)*VLOOKUP('Données projet'!$B$14,Paramètres!$A$1:$I$89,5,0)</f>
        <v>150.93000000000004</v>
      </c>
      <c r="DQ65" s="14">
        <f t="shared" si="43"/>
        <v>38.789855371379076</v>
      </c>
      <c r="DR65" s="22">
        <f t="shared" si="16"/>
        <v>330.42874810515195</v>
      </c>
      <c r="DS65" s="60">
        <f t="shared" si="17"/>
        <v>623.76208143848521</v>
      </c>
      <c r="DT65" s="60">
        <f ca="1">AVERAGE(OFFSET($DS$3,0,0,'Données projet'!$E$14+1,1))-AVERAGE(OFFSET($H$3,0,0,'Données projet'!$E$14+1,1))</f>
        <v>212.33913923444732</v>
      </c>
      <c r="DU65" s="60">
        <f t="shared" si="44"/>
        <v>183.51194426094372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0" t="e">
        <f t="shared" si="20"/>
        <v>#N/A</v>
      </c>
      <c r="EO65" s="60" t="e">
        <f ca="1">AVERAGE(OFFSET($EN$3,0,0,'Données projet'!$E$15+1,1))-AVERAGE(OFFSET($H$3,0,0,'Données projet'!$E$15+1,1))</f>
        <v>#N/A</v>
      </c>
      <c r="EP65" s="60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0" t="e">
        <f t="shared" si="23"/>
        <v>#N/A</v>
      </c>
      <c r="FJ65" s="60" t="e">
        <f ca="1">AVERAGE(OFFSET($FI$3,0,0,'Données projet'!$E$16+1,1))-AVERAGE(OFFSET($H$3,0,0,'Données projet'!$E$16+1,1))</f>
        <v>#N/A</v>
      </c>
      <c r="FK65" s="60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0" t="e">
        <f t="shared" si="26"/>
        <v>#N/A</v>
      </c>
      <c r="GE65" s="60" t="e">
        <f ca="1">AVERAGE(OFFSET($GD$3,0,0,'Données projet'!$E$17+1,1))-AVERAGE(OFFSET($H$3,0,0,'Données projet'!$E$17+1,1))</f>
        <v>#N/A</v>
      </c>
      <c r="GF65" s="60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0" t="e">
        <f t="shared" si="29"/>
        <v>#N/A</v>
      </c>
      <c r="GZ65" s="60" t="e">
        <f ca="1">AVERAGE(OFFSET($GY$3,0,0,'Données projet'!$E$18+1,1))-AVERAGE(OFFSET($H$3,0,0,'Données projet'!$E$18+1,1))</f>
        <v>#N/A</v>
      </c>
      <c r="HA65" s="60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5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2">
        <f t="shared" si="32"/>
        <v>10.501051622783336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8">
        <f t="shared" si="1"/>
        <v>371.53251490968091</v>
      </c>
      <c r="I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>
        <f>VLOOKUP(A66,'Données projet'!$A$35:$I$55,2,0)</f>
        <v>350.69230769230768</v>
      </c>
      <c r="L66" s="13">
        <f>VLOOKUP(A66,'Données projet'!$A$35:$I$55,9,0)</f>
        <v>11.097435897435901</v>
      </c>
      <c r="M66" s="13">
        <f t="array" ref="M66">INDEX(L:L,MIN(IF(ISNUMBER(L66:L262),ROW(L66:L262),"")))</f>
        <v>11.097435897435901</v>
      </c>
      <c r="N66" s="14">
        <f>IF('Données projet'!$A$36&gt;35,N65+M66-V65,IF(A66&lt;'Données projet'!$A$36,$K$205^A66,IF(A66='Données projet'!$A$36,'Données projet'!$B$36,N65+M66-V65)))</f>
        <v>350.69230769230779</v>
      </c>
      <c r="O66" s="14">
        <f>N66*VLOOKUP('Données projet'!$B$9,Paramètres!$A$1:$I$89,3,0)*VLOOKUP('Données projet'!$B$9,Paramètres!$A$1:$I$89,5,0)</f>
        <v>164.12400000000005</v>
      </c>
      <c r="P66" s="14">
        <f t="shared" si="33"/>
        <v>41.771312955270567</v>
      </c>
      <c r="Q66" s="22">
        <f t="shared" si="53"/>
        <v>358.60100339709629</v>
      </c>
      <c r="R66" s="60">
        <f t="shared" si="0"/>
        <v>651.93433673042955</v>
      </c>
      <c r="S66" s="60">
        <f ca="1">AVERAGE(OFFSET($R$3,0,0,'Données projet'!$E$9+1,1))-AVERAGE(OFFSET($H$3,0,0,'Données projet'!$E$9+1,1))</f>
        <v>146.40889017442277</v>
      </c>
      <c r="T66" s="60">
        <f t="shared" si="34"/>
        <v>70.859031694091868</v>
      </c>
      <c r="U66" s="16">
        <f>IF(ISNA(VLOOKUP(A66,'Données projet'!$A$35:$I$55,3,0)),0,VLOOKUP(A66,'Données projet'!$A$35:$I$55,3,0))</f>
        <v>2</v>
      </c>
      <c r="V66" s="16">
        <f>IF(ISNA(VLOOKUP(A66,'Données projet'!$A$35:$I$55,4,0)),0,VLOOKUP(A66,'Données projet'!$A$35:$I$55,4,0))</f>
        <v>108.0923076923077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8.8000000000000007</v>
      </c>
      <c r="AI66" s="14">
        <f>IF('Données projet'!$A$62&gt;35,AI65+AH66-AQ65,IF(A66&lt;'Données projet'!$A$62,$AF$205^A66,IF(A66='Données projet'!$A$62,'Données projet'!$B$62,AI65+AH66-AQ65)))</f>
        <v>299.39999999999998</v>
      </c>
      <c r="AJ66" s="14">
        <f>AI66*VLOOKUP('Données projet'!$B$10,Paramètres!$A$1:$I$89,3,0)*VLOOKUP('Données projet'!$B$10,Paramètres!$A$1:$I$89,5,0)</f>
        <v>270.89711999999997</v>
      </c>
      <c r="AK66" s="14">
        <f t="shared" si="35"/>
        <v>65.039624021315475</v>
      </c>
      <c r="AL66" s="22">
        <f t="shared" si="4"/>
        <v>585.08982917045773</v>
      </c>
      <c r="AM66" s="60">
        <f t="shared" si="5"/>
        <v>878.42316250379099</v>
      </c>
      <c r="AN66" s="60">
        <f ca="1">AVERAGE(OFFSET($AM$3,0,0,'Données projet'!$E$10+1,1))-AVERAGE(OFFSET($H$3,0,0,'Données projet'!$E$10+1,1))</f>
        <v>404.14319681142746</v>
      </c>
      <c r="AO66" s="60">
        <f t="shared" si="36"/>
        <v>203.5274665601915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7.2</v>
      </c>
      <c r="BD66" s="13">
        <f>IF('Données projet'!$A$88&gt;35,BD65+BC66-BL65,IF(A66&lt;'Données projet'!$A$88,$BA$205^A66,IF(A66='Données projet'!$A$88,'Données projet'!$B$88,BD65+BC66-BL65)))</f>
        <v>214.59999999999994</v>
      </c>
      <c r="BE66" s="14">
        <f>BD66*VLOOKUP('Données projet'!$B$11,Paramètres!$A$1:$I$89,3,0)*VLOOKUP('Données projet'!$B$11,Paramètres!$A$1:$I$89,5,0)</f>
        <v>217.60439999999994</v>
      </c>
      <c r="BF66" s="14">
        <f t="shared" si="37"/>
        <v>53.593882578706356</v>
      </c>
      <c r="BG66" s="22">
        <f t="shared" si="7"/>
        <v>472.33700882458015</v>
      </c>
      <c r="BH66" s="60">
        <f t="shared" si="8"/>
        <v>765.67034215791341</v>
      </c>
      <c r="BI66" s="60">
        <f ca="1">AVERAGE(OFFSET($BH$3,0,0,'Données projet'!$E$11+1,1))-AVERAGE(OFFSET($H$3,0,0,'Données projet'!$E$11+1,1))</f>
        <v>350.3652766444938</v>
      </c>
      <c r="BJ66" s="60">
        <f t="shared" si="38"/>
        <v>197.04549436738586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7.2</v>
      </c>
      <c r="BY66" s="13">
        <f>IF('Données projet'!$A$114&gt;35,BY65+BX66-CG65,IF(A66&lt;'Données projet'!$A$114,$BV$205^A66,IF(A66='Données projet'!$A$114,'Données projet'!$B$114,BY65+BX66-CG65)))</f>
        <v>214.59999999999994</v>
      </c>
      <c r="BZ66" s="14">
        <f>BY66*VLOOKUP('Données projet'!$B$12,Paramètres!$A$1:$I$89,3,0)*VLOOKUP('Données projet'!$B$12,Paramètres!$A$1:$I$89,5,0)</f>
        <v>207.56111999999996</v>
      </c>
      <c r="CA66" s="14">
        <f t="shared" si="39"/>
        <v>51.40226725537714</v>
      </c>
      <c r="CB66" s="22">
        <f t="shared" si="10"/>
        <v>451.02789946978169</v>
      </c>
      <c r="CC66" s="60">
        <f t="shared" si="11"/>
        <v>744.36123280311494</v>
      </c>
      <c r="CD66" s="60">
        <f ca="1">AVERAGE(OFFSET($CC$3,0,0,'Données projet'!$E$12+1,1))-AVERAGE(OFFSET($H$3,0,0,'Données projet'!$E$12+1,1))</f>
        <v>330.39429528665841</v>
      </c>
      <c r="CE66" s="60">
        <f t="shared" si="40"/>
        <v>186.45728006007261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7.2</v>
      </c>
      <c r="CT66" s="13">
        <f>IF('Données projet'!$A$140&gt;35,CT65+CS66-DB65,IF(A66&lt;'Données projet'!$A$140,$CQ$205^A66,IF(A66='Données projet'!$A$140,'Données projet'!$B$140,CT65+CS66-DB65)))</f>
        <v>214.59999999999994</v>
      </c>
      <c r="CU66" s="18">
        <f>CT66*VLOOKUP('Données projet'!$B$13,Paramètres!$A$1:$I$89,3,0)*VLOOKUP('Données projet'!$B$13,Paramètres!$A$1:$I$89,5,0)</f>
        <v>230.99543999999995</v>
      </c>
      <c r="CV66" s="14">
        <f t="shared" si="41"/>
        <v>56.497864803589785</v>
      </c>
      <c r="CW66" s="22">
        <f t="shared" si="13"/>
        <v>500.71750586625211</v>
      </c>
      <c r="CX66" s="60">
        <f t="shared" si="14"/>
        <v>794.05083919958543</v>
      </c>
      <c r="CY66" s="60">
        <f ca="1">AVERAGE(OFFSET($CX$3,0,0,'Données projet'!$E$13+1,1))-AVERAGE(OFFSET($H$3,0,0,'Données projet'!$E$13+1,1))</f>
        <v>376.96388721258387</v>
      </c>
      <c r="CZ66" s="60">
        <f t="shared" si="42"/>
        <v>211.14628470344377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5.1282051282051331</v>
      </c>
      <c r="DO66" s="13">
        <f>IF('Données projet'!$A$166&gt;35,DO65+DN66-DW65,IF(A66&lt;'Données projet'!$A$166,$DL$205^A66,IF(A66='Données projet'!$A$166,'Données projet'!$B$166,DO65+DN66-DW65)))</f>
        <v>230.12820512820517</v>
      </c>
      <c r="DP66" s="18">
        <f>DO66*VLOOKUP('Données projet'!$B$14,Paramètres!$A$1:$I$89,3,0)*VLOOKUP('Données projet'!$B$14,Paramètres!$A$1:$I$89,5,0)</f>
        <v>154.37000000000003</v>
      </c>
      <c r="DQ66" s="14">
        <f t="shared" si="43"/>
        <v>39.570017923578433</v>
      </c>
      <c r="DR66" s="22">
        <f t="shared" si="16"/>
        <v>337.77886455023247</v>
      </c>
      <c r="DS66" s="60">
        <f t="shared" si="17"/>
        <v>631.11219788356584</v>
      </c>
      <c r="DT66" s="60">
        <f ca="1">AVERAGE(OFFSET($DS$3,0,0,'Données projet'!$E$14+1,1))-AVERAGE(OFFSET($H$3,0,0,'Données projet'!$E$14+1,1))</f>
        <v>212.33913923444732</v>
      </c>
      <c r="DU66" s="60">
        <f t="shared" si="44"/>
        <v>183.51194426094372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0" t="e">
        <f t="shared" si="20"/>
        <v>#N/A</v>
      </c>
      <c r="EO66" s="60" t="e">
        <f ca="1">AVERAGE(OFFSET($EN$3,0,0,'Données projet'!$E$15+1,1))-AVERAGE(OFFSET($H$3,0,0,'Données projet'!$E$15+1,1))</f>
        <v>#N/A</v>
      </c>
      <c r="EP66" s="60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0" t="e">
        <f t="shared" si="23"/>
        <v>#N/A</v>
      </c>
      <c r="FJ66" s="60" t="e">
        <f ca="1">AVERAGE(OFFSET($FI$3,0,0,'Données projet'!$E$16+1,1))-AVERAGE(OFFSET($H$3,0,0,'Données projet'!$E$16+1,1))</f>
        <v>#N/A</v>
      </c>
      <c r="FK66" s="60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0" t="e">
        <f t="shared" si="26"/>
        <v>#N/A</v>
      </c>
      <c r="GE66" s="60" t="e">
        <f ca="1">AVERAGE(OFFSET($GD$3,0,0,'Données projet'!$E$17+1,1))-AVERAGE(OFFSET($H$3,0,0,'Données projet'!$E$17+1,1))</f>
        <v>#N/A</v>
      </c>
      <c r="GF66" s="60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0" t="e">
        <f t="shared" si="29"/>
        <v>#N/A</v>
      </c>
      <c r="GZ66" s="60" t="e">
        <f ca="1">AVERAGE(OFFSET($GY$3,0,0,'Données projet'!$E$18+1,1))-AVERAGE(OFFSET($H$3,0,0,'Données projet'!$E$18+1,1))</f>
        <v>#N/A</v>
      </c>
      <c r="HA66" s="60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5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2">
        <f t="shared" si="32"/>
        <v>10.648197775908036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8">
        <f t="shared" si="1"/>
        <v>372.73974445970646</v>
      </c>
      <c r="I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9.6538461538461604</v>
      </c>
      <c r="N67" s="14">
        <f>IF('Données projet'!$A$36&gt;35,N66+M67-V66,IF(A67&lt;'Données projet'!$A$36,$K$205^A67,IF(A67='Données projet'!$A$36,'Données projet'!$B$36,N66+M67-V66)))</f>
        <v>252.25384615384621</v>
      </c>
      <c r="O67" s="14">
        <f>N67*VLOOKUP('Données projet'!$B$9,Paramètres!$A$1:$I$89,3,0)*VLOOKUP('Données projet'!$B$9,Paramètres!$A$1:$I$89,5,0)</f>
        <v>118.05480000000003</v>
      </c>
      <c r="P67" s="14">
        <f t="shared" si="33"/>
        <v>31.220882716329786</v>
      </c>
      <c r="Q67" s="22">
        <f t="shared" ref="Q67:Q98" si="54">(O67+P67)*0.475*44/12</f>
        <v>259.98848073094109</v>
      </c>
      <c r="R67" s="60">
        <f t="shared" ref="R67:R130" si="55">Q67+(I67+J67)*44/12</f>
        <v>553.32181406427435</v>
      </c>
      <c r="S67" s="60">
        <f ca="1">AVERAGE(OFFSET($R$3,0,0,'Données projet'!$E$9+1,1))-AVERAGE(OFFSET($H$3,0,0,'Données projet'!$E$9+1,1))</f>
        <v>146.40889017442277</v>
      </c>
      <c r="T67" s="60">
        <f t="shared" si="34"/>
        <v>70.859031694091868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8.8000000000000007</v>
      </c>
      <c r="AI67" s="14">
        <f>IF('Données projet'!$A$62&gt;35,AI66+AH67-AQ66,IF(A67&lt;'Données projet'!$A$62,$AF$205^A67,IF(A67='Données projet'!$A$62,'Données projet'!$B$62,AI66+AH67-AQ66)))</f>
        <v>308.2</v>
      </c>
      <c r="AJ67" s="14">
        <f>AI67*VLOOKUP('Données projet'!$B$10,Paramètres!$A$1:$I$89,3,0)*VLOOKUP('Données projet'!$B$10,Paramètres!$A$1:$I$89,5,0)</f>
        <v>278.85935999999998</v>
      </c>
      <c r="AK67" s="14">
        <f t="shared" si="35"/>
        <v>66.725901622172444</v>
      </c>
      <c r="AL67" s="22">
        <f t="shared" si="4"/>
        <v>601.89433065861692</v>
      </c>
      <c r="AM67" s="60">
        <f t="shared" si="5"/>
        <v>895.22766399195029</v>
      </c>
      <c r="AN67" s="60">
        <f ca="1">AVERAGE(OFFSET($AM$3,0,0,'Données projet'!$E$10+1,1))-AVERAGE(OFFSET($H$3,0,0,'Données projet'!$E$10+1,1))</f>
        <v>404.14319681142746</v>
      </c>
      <c r="AO67" s="60">
        <f t="shared" si="36"/>
        <v>203.5274665601915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7.2</v>
      </c>
      <c r="BD67" s="13">
        <f>IF('Données projet'!$A$88&gt;35,BD66+BC67-BL66,IF(A67&lt;'Données projet'!$A$88,$BA$205^A67,IF(A67='Données projet'!$A$88,'Données projet'!$B$88,BD66+BC67-BL66)))</f>
        <v>221.79999999999993</v>
      </c>
      <c r="BE67" s="14">
        <f>BD67*VLOOKUP('Données projet'!$B$11,Paramètres!$A$1:$I$89,3,0)*VLOOKUP('Données projet'!$B$11,Paramètres!$A$1:$I$89,5,0)</f>
        <v>224.90519999999995</v>
      </c>
      <c r="BF67" s="14">
        <f t="shared" si="37"/>
        <v>55.17963460003309</v>
      </c>
      <c r="BG67" s="22">
        <f t="shared" si="7"/>
        <v>487.81442026172425</v>
      </c>
      <c r="BH67" s="60">
        <f t="shared" si="8"/>
        <v>781.14775359505757</v>
      </c>
      <c r="BI67" s="60">
        <f ca="1">AVERAGE(OFFSET($BH$3,0,0,'Données projet'!$E$11+1,1))-AVERAGE(OFFSET($H$3,0,0,'Données projet'!$E$11+1,1))</f>
        <v>350.3652766444938</v>
      </c>
      <c r="BJ67" s="60">
        <f t="shared" si="38"/>
        <v>197.04549436738586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7.2</v>
      </c>
      <c r="BY67" s="13">
        <f>IF('Données projet'!$A$114&gt;35,BY66+BX67-CG66,IF(A67&lt;'Données projet'!$A$114,$BV$205^A67,IF(A67='Données projet'!$A$114,'Données projet'!$B$114,BY66+BX67-CG66)))</f>
        <v>221.79999999999993</v>
      </c>
      <c r="BZ67" s="14">
        <f>BY67*VLOOKUP('Données projet'!$B$12,Paramètres!$A$1:$I$89,3,0)*VLOOKUP('Données projet'!$B$12,Paramètres!$A$1:$I$89,5,0)</f>
        <v>214.52495999999994</v>
      </c>
      <c r="CA67" s="14">
        <f t="shared" si="39"/>
        <v>52.923173099085716</v>
      </c>
      <c r="CB67" s="22">
        <f t="shared" si="10"/>
        <v>465.80549848090754</v>
      </c>
      <c r="CC67" s="60">
        <f t="shared" si="11"/>
        <v>759.1388318142408</v>
      </c>
      <c r="CD67" s="60">
        <f ca="1">AVERAGE(OFFSET($CC$3,0,0,'Données projet'!$E$12+1,1))-AVERAGE(OFFSET($H$3,0,0,'Données projet'!$E$12+1,1))</f>
        <v>330.39429528665841</v>
      </c>
      <c r="CE67" s="60">
        <f t="shared" si="40"/>
        <v>186.45728006007261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7.2</v>
      </c>
      <c r="CT67" s="13">
        <f>IF('Données projet'!$A$140&gt;35,CT66+CS67-DB66,IF(A67&lt;'Données projet'!$A$140,$CQ$205^A67,IF(A67='Données projet'!$A$140,'Données projet'!$B$140,CT66+CS67-DB66)))</f>
        <v>221.79999999999993</v>
      </c>
      <c r="CU67" s="18">
        <f>CT67*VLOOKUP('Données projet'!$B$13,Paramètres!$A$1:$I$89,3,0)*VLOOKUP('Données projet'!$B$13,Paramètres!$A$1:$I$89,5,0)</f>
        <v>238.74551999999991</v>
      </c>
      <c r="CV67" s="14">
        <f t="shared" si="41"/>
        <v>58.169540730060781</v>
      </c>
      <c r="CW67" s="22">
        <f t="shared" si="13"/>
        <v>517.12706410485578</v>
      </c>
      <c r="CX67" s="60">
        <f t="shared" si="14"/>
        <v>810.46039743818915</v>
      </c>
      <c r="CY67" s="60">
        <f ca="1">AVERAGE(OFFSET($CX$3,0,0,'Données projet'!$E$13+1,1))-AVERAGE(OFFSET($H$3,0,0,'Données projet'!$E$13+1,1))</f>
        <v>376.96388721258387</v>
      </c>
      <c r="CZ67" s="60">
        <f t="shared" si="42"/>
        <v>211.14628470344377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5.1282051282051331</v>
      </c>
      <c r="DO67" s="13">
        <f>IF('Données projet'!$A$166&gt;35,DO66+DN67-DW66,IF(A67&lt;'Données projet'!$A$166,$DL$205^A67,IF(A67='Données projet'!$A$166,'Données projet'!$B$166,DO66+DN67-DW66)))</f>
        <v>235.25641025641031</v>
      </c>
      <c r="DP67" s="18">
        <f>DO67*VLOOKUP('Données projet'!$B$14,Paramètres!$A$1:$I$89,3,0)*VLOOKUP('Données projet'!$B$14,Paramètres!$A$1:$I$89,5,0)</f>
        <v>157.81000000000003</v>
      </c>
      <c r="DQ67" s="14">
        <f t="shared" si="43"/>
        <v>40.348159279539125</v>
      </c>
      <c r="DR67" s="22">
        <f t="shared" si="16"/>
        <v>345.12546074519736</v>
      </c>
      <c r="DS67" s="60">
        <f t="shared" si="17"/>
        <v>638.45879407853067</v>
      </c>
      <c r="DT67" s="60">
        <f ca="1">AVERAGE(OFFSET($DS$3,0,0,'Données projet'!$E$14+1,1))-AVERAGE(OFFSET($H$3,0,0,'Données projet'!$E$14+1,1))</f>
        <v>212.33913923444732</v>
      </c>
      <c r="DU67" s="60">
        <f t="shared" si="44"/>
        <v>183.51194426094372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0" t="e">
        <f t="shared" si="20"/>
        <v>#N/A</v>
      </c>
      <c r="EO67" s="60" t="e">
        <f ca="1">AVERAGE(OFFSET($EN$3,0,0,'Données projet'!$E$15+1,1))-AVERAGE(OFFSET($H$3,0,0,'Données projet'!$E$15+1,1))</f>
        <v>#N/A</v>
      </c>
      <c r="EP67" s="60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0" t="e">
        <f t="shared" si="23"/>
        <v>#N/A</v>
      </c>
      <c r="FJ67" s="60" t="e">
        <f ca="1">AVERAGE(OFFSET($FI$3,0,0,'Données projet'!$E$16+1,1))-AVERAGE(OFFSET($H$3,0,0,'Données projet'!$E$16+1,1))</f>
        <v>#N/A</v>
      </c>
      <c r="FK67" s="60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0" t="e">
        <f t="shared" si="26"/>
        <v>#N/A</v>
      </c>
      <c r="GE67" s="60" t="e">
        <f ca="1">AVERAGE(OFFSET($GD$3,0,0,'Données projet'!$E$17+1,1))-AVERAGE(OFFSET($H$3,0,0,'Données projet'!$E$17+1,1))</f>
        <v>#N/A</v>
      </c>
      <c r="GF67" s="60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0" t="e">
        <f t="shared" si="29"/>
        <v>#N/A</v>
      </c>
      <c r="GZ67" s="60" t="e">
        <f ca="1">AVERAGE(OFFSET($GY$3,0,0,'Données projet'!$E$18+1,1))-AVERAGE(OFFSET($H$3,0,0,'Données projet'!$E$18+1,1))</f>
        <v>#N/A</v>
      </c>
      <c r="HA67" s="60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5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2">
        <f t="shared" si="32"/>
        <v>10.795076538684501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8">
        <f t="shared" ref="H68:H131" si="56">(B68+E68+F68)*44/12+(C68+D68)*0.475*44/12</f>
        <v>373.94650830487547</v>
      </c>
      <c r="I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261.90769230769229</v>
      </c>
      <c r="L68" s="13">
        <f>VLOOKUP(A68,'Données projet'!$A$35:$I$55,9,0)</f>
        <v>9.6538461538461604</v>
      </c>
      <c r="M68" s="13">
        <f t="array" ref="M68">INDEX(L:L,MIN(IF(ISNUMBER(L68:L264),ROW(L68:L264),"")))</f>
        <v>9.6538461538461604</v>
      </c>
      <c r="N68" s="14">
        <f>IF('Données projet'!$A$36&gt;35,N67+M68-V67,IF(A68&lt;'Données projet'!$A$36,$K$205^A68,IF(A68='Données projet'!$A$36,'Données projet'!$B$36,N67+M68-V67)))</f>
        <v>261.9076923076924</v>
      </c>
      <c r="O68" s="14">
        <f>N68*VLOOKUP('Données projet'!$B$9,Paramètres!$A$1:$I$89,3,0)*VLOOKUP('Données projet'!$B$9,Paramètres!$A$1:$I$89,5,0)</f>
        <v>122.57280000000004</v>
      </c>
      <c r="P68" s="14">
        <f t="shared" si="33"/>
        <v>32.274319787267089</v>
      </c>
      <c r="Q68" s="22">
        <f t="shared" si="54"/>
        <v>269.69206696282356</v>
      </c>
      <c r="R68" s="60">
        <f t="shared" si="55"/>
        <v>563.02540029615693</v>
      </c>
      <c r="S68" s="60">
        <f ca="1">AVERAGE(OFFSET($R$3,0,0,'Données projet'!$E$9+1,1))-AVERAGE(OFFSET($H$3,0,0,'Données projet'!$E$9+1,1))</f>
        <v>146.40889017442277</v>
      </c>
      <c r="T68" s="60">
        <f t="shared" si="34"/>
        <v>70.859031694091868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317</v>
      </c>
      <c r="AG68" s="13">
        <f>VLOOKUP(A68,'Données projet'!$A$61:$I$81,9,0)</f>
        <v>8.8000000000000007</v>
      </c>
      <c r="AH68" s="13">
        <f t="array" ref="AH68">INDEX(AG:AG,MIN(IF(ISNUMBER(AG68:AG264),ROW(AG68:AG264),"")))</f>
        <v>8.8000000000000007</v>
      </c>
      <c r="AI68" s="14">
        <f>IF('Données projet'!$A$62&gt;35,AI67+AH68-AQ67,IF(A68&lt;'Données projet'!$A$62,$AF$205^A68,IF(A68='Données projet'!$A$62,'Données projet'!$B$62,AI67+AH68-AQ67)))</f>
        <v>317</v>
      </c>
      <c r="AJ68" s="14">
        <f>AI68*VLOOKUP('Données projet'!$B$10,Paramètres!$A$1:$I$89,3,0)*VLOOKUP('Données projet'!$B$10,Paramètres!$A$1:$I$89,5,0)</f>
        <v>286.82159999999999</v>
      </c>
      <c r="AK68" s="14">
        <f t="shared" si="35"/>
        <v>68.406583284351484</v>
      </c>
      <c r="AL68" s="22">
        <f t="shared" ref="AL68:AL131" si="58">(AJ68+AK68)*0.475*44/12</f>
        <v>618.68908588691215</v>
      </c>
      <c r="AM68" s="60">
        <f t="shared" ref="AM68:AM131" si="59">AL68+(AD68+AE68)*44/12</f>
        <v>912.02241922024541</v>
      </c>
      <c r="AN68" s="60">
        <f ca="1">AVERAGE(OFFSET($AM$3,0,0,'Données projet'!$E$10+1,1))-AVERAGE(OFFSET($H$3,0,0,'Données projet'!$E$10+1,1))</f>
        <v>404.14319681142746</v>
      </c>
      <c r="AO68" s="60">
        <f t="shared" si="36"/>
        <v>203.5274665601915</v>
      </c>
      <c r="AP68" s="16">
        <f>IF(ISNA(VLOOKUP(A68,'Données projet'!$A$61:$I$81,3,0)),0,VLOOKUP(A68,'Données projet'!$A$61:$I$81,3,0))</f>
        <v>5</v>
      </c>
      <c r="AQ68" s="16">
        <f>IF(ISNA(VLOOKUP(A68,'Données projet'!$A$61:$I$81,4,0)),0,VLOOKUP(A68,'Données projet'!$A$61:$I$81,4,0))</f>
        <v>56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229</v>
      </c>
      <c r="BB68" s="13">
        <f>VLOOKUP(A68,'Données projet'!$A$87:$I$107,9,0)</f>
        <v>7.2</v>
      </c>
      <c r="BC68" s="13">
        <f t="array" ref="BC68">INDEX(BB:BB,MIN(IF(ISNUMBER(BB68:BB264),ROW(BB68:BB264),"")))</f>
        <v>7.2</v>
      </c>
      <c r="BD68" s="13">
        <f>IF('Données projet'!$A$88&gt;35,BD67+BC68-BL67,IF(A68&lt;'Données projet'!$A$88,$BA$205^A68,IF(A68='Données projet'!$A$88,'Données projet'!$B$88,BD67+BC68-BL67)))</f>
        <v>228.99999999999991</v>
      </c>
      <c r="BE68" s="14">
        <f>BD68*VLOOKUP('Données projet'!$B$11,Paramètres!$A$1:$I$89,3,0)*VLOOKUP('Données projet'!$B$11,Paramètres!$A$1:$I$89,5,0)</f>
        <v>232.2059999999999</v>
      </c>
      <c r="BF68" s="14">
        <f t="shared" si="37"/>
        <v>56.759404991217522</v>
      </c>
      <c r="BG68" s="22">
        <f t="shared" ref="BG68:BG131" si="61">(BE68+BF68)*0.475*44/12</f>
        <v>503.281413693037</v>
      </c>
      <c r="BH68" s="60">
        <f t="shared" ref="BH68:BH131" si="62">BG68+(AY68+AZ68)*44/12</f>
        <v>796.61474702637031</v>
      </c>
      <c r="BI68" s="60">
        <f ca="1">AVERAGE(OFFSET($BH$3,0,0,'Données projet'!$E$11+1,1))-AVERAGE(OFFSET($H$3,0,0,'Données projet'!$E$11+1,1))</f>
        <v>350.3652766444938</v>
      </c>
      <c r="BJ68" s="60">
        <f t="shared" si="38"/>
        <v>197.04549436738586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229</v>
      </c>
      <c r="BW68" s="13">
        <f>VLOOKUP(A68,'Données projet'!$A$113:$I$133,9,0)</f>
        <v>7.2</v>
      </c>
      <c r="BX68" s="13">
        <f t="array" ref="BX68">INDEX(BW:BW,MIN(IF(ISNUMBER(BW68:BW264),ROW(BW68:BW264),"")))</f>
        <v>7.2</v>
      </c>
      <c r="BY68" s="13">
        <f>IF('Données projet'!$A$114&gt;35,BY67+BX68-CG67,IF(A68&lt;'Données projet'!$A$114,$BV$205^A68,IF(A68='Données projet'!$A$114,'Données projet'!$B$114,BY67+BX68-CG67)))</f>
        <v>228.99999999999991</v>
      </c>
      <c r="BZ68" s="14">
        <f>BY68*VLOOKUP('Données projet'!$B$12,Paramètres!$A$1:$I$89,3,0)*VLOOKUP('Données projet'!$B$12,Paramètres!$A$1:$I$89,5,0)</f>
        <v>221.48879999999991</v>
      </c>
      <c r="CA68" s="14">
        <f t="shared" si="39"/>
        <v>54.43834191952984</v>
      </c>
      <c r="CB68" s="22">
        <f t="shared" ref="CB68:CB131" si="64">(BZ68+CA68)*0.475*44/12</f>
        <v>480.57310550984766</v>
      </c>
      <c r="CC68" s="60">
        <f t="shared" ref="CC68:CC131" si="65">CB68+(BT68+BU68)*44/12</f>
        <v>773.90643884318092</v>
      </c>
      <c r="CD68" s="60">
        <f ca="1">AVERAGE(OFFSET($CC$3,0,0,'Données projet'!$E$12+1,1))-AVERAGE(OFFSET($H$3,0,0,'Données projet'!$E$12+1,1))</f>
        <v>330.39429528665841</v>
      </c>
      <c r="CE68" s="60">
        <f t="shared" si="40"/>
        <v>186.45728006007261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229</v>
      </c>
      <c r="CR68" s="13">
        <f>VLOOKUP(A68,'Données projet'!$A$139:$I$159,9,0)</f>
        <v>7.2</v>
      </c>
      <c r="CS68" s="13">
        <f t="array" ref="CS68">INDEX(CR:CR,MIN(IF(ISNUMBER(CR68:CR264),ROW(CR68:CR264),"")))</f>
        <v>7.2</v>
      </c>
      <c r="CT68" s="13">
        <f>IF('Données projet'!$A$140&gt;35,CT67+CS68-DB67,IF(A68&lt;'Données projet'!$A$140,$CQ$205^A68,IF(A68='Données projet'!$A$140,'Données projet'!$B$140,CT67+CS68-DB67)))</f>
        <v>228.99999999999991</v>
      </c>
      <c r="CU68" s="18">
        <f>CT68*VLOOKUP('Données projet'!$B$13,Paramètres!$A$1:$I$89,3,0)*VLOOKUP('Données projet'!$B$13,Paramètres!$A$1:$I$89,5,0)</f>
        <v>246.49559999999991</v>
      </c>
      <c r="CV68" s="14">
        <f t="shared" si="41"/>
        <v>59.834910912017278</v>
      </c>
      <c r="CW68" s="22">
        <f t="shared" ref="CW68:CW131" si="67">(CU68+CV68)*0.475*44/12</f>
        <v>533.52563983842992</v>
      </c>
      <c r="CX68" s="60">
        <f t="shared" ref="CX68:CX131" si="68">CW68+(CO68+CP68)*44/12</f>
        <v>826.85897317176318</v>
      </c>
      <c r="CY68" s="60">
        <f ca="1">AVERAGE(OFFSET($CX$3,0,0,'Données projet'!$E$13+1,1))-AVERAGE(OFFSET($H$3,0,0,'Données projet'!$E$13+1,1))</f>
        <v>376.96388721258387</v>
      </c>
      <c r="CZ68" s="60">
        <f t="shared" si="42"/>
        <v>211.14628470344377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240.38461538461539</v>
      </c>
      <c r="DM68" s="13">
        <f>VLOOKUP(A68,'Données projet'!$A$165:$I$185,9,0)</f>
        <v>5.1282051282051331</v>
      </c>
      <c r="DN68" s="13">
        <f t="array" ref="DN68">INDEX(DM:DM,MIN(IF(ISNUMBER(DM68:DM264),ROW(DM68:DM264),"")))</f>
        <v>5.1282051282051331</v>
      </c>
      <c r="DO68" s="13">
        <f>IF('Données projet'!$A$166&gt;35,DO67+DN68-DW67,IF(A68&lt;'Données projet'!$A$166,$DL$205^A68,IF(A68='Données projet'!$A$166,'Données projet'!$B$166,DO67+DN68-DW67)))</f>
        <v>240.38461538461544</v>
      </c>
      <c r="DP68" s="18">
        <f>DO68*VLOOKUP('Données projet'!$B$14,Paramètres!$A$1:$I$89,3,0)*VLOOKUP('Données projet'!$B$14,Paramètres!$A$1:$I$89,5,0)</f>
        <v>161.25000000000006</v>
      </c>
      <c r="DQ68" s="14">
        <f t="shared" si="43"/>
        <v>41.124328571986439</v>
      </c>
      <c r="DR68" s="22">
        <f t="shared" ref="DR68:DR131" si="70">(DP68+DQ68)*0.475*44/12</f>
        <v>352.46862226287652</v>
      </c>
      <c r="DS68" s="60">
        <f t="shared" ref="DS68:DS131" si="71">DR68+(DJ68+DK68)*44/12</f>
        <v>645.80195559620984</v>
      </c>
      <c r="DT68" s="60">
        <f ca="1">AVERAGE(OFFSET($DS$3,0,0,'Données projet'!$E$14+1,1))-AVERAGE(OFFSET($H$3,0,0,'Données projet'!$E$14+1,1))</f>
        <v>212.33913923444732</v>
      </c>
      <c r="DU68" s="60">
        <f t="shared" si="44"/>
        <v>183.51194426094372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0" t="e">
        <f t="shared" ref="EN68:EN131" si="74">EM68+(EE68+EF68)*44/12</f>
        <v>#N/A</v>
      </c>
      <c r="EO68" s="60" t="e">
        <f ca="1">AVERAGE(OFFSET($EN$3,0,0,'Données projet'!$E$15+1,1))-AVERAGE(OFFSET($H$3,0,0,'Données projet'!$E$15+1,1))</f>
        <v>#N/A</v>
      </c>
      <c r="EP68" s="60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0" t="e">
        <f t="shared" ref="FI68:FI131" si="77">FH68+(EZ68+FA68)*44/12</f>
        <v>#N/A</v>
      </c>
      <c r="FJ68" s="60" t="e">
        <f ca="1">AVERAGE(OFFSET($FI$3,0,0,'Données projet'!$E$16+1,1))-AVERAGE(OFFSET($H$3,0,0,'Données projet'!$E$16+1,1))</f>
        <v>#N/A</v>
      </c>
      <c r="FK68" s="60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0" t="e">
        <f t="shared" ref="GD68:GD131" si="80">GC68+(FU68+FV68)*44/12</f>
        <v>#N/A</v>
      </c>
      <c r="GE68" s="60" t="e">
        <f ca="1">AVERAGE(OFFSET($GD$3,0,0,'Données projet'!$E$17+1,1))-AVERAGE(OFFSET($H$3,0,0,'Données projet'!$E$17+1,1))</f>
        <v>#N/A</v>
      </c>
      <c r="GF68" s="60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0" t="e">
        <f t="shared" ref="GY68:GY131" si="83">GX68+(GP68+GQ68)*44/12</f>
        <v>#N/A</v>
      </c>
      <c r="GZ68" s="60" t="e">
        <f ca="1">AVERAGE(OFFSET($GY$3,0,0,'Données projet'!$E$18+1,1))-AVERAGE(OFFSET($H$3,0,0,'Données projet'!$E$18+1,1))</f>
        <v>#N/A</v>
      </c>
      <c r="HA68" s="60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5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2">
        <f t="shared" ref="D69:D132" si="86">IFERROR(EXP(-1.0587+0.8836*LN(C69)+0.284),0)</f>
        <v>10.941692499899732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8">
        <f t="shared" si="56"/>
        <v>375.15281443732528</v>
      </c>
      <c r="I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9.7400000000000091</v>
      </c>
      <c r="N69" s="14">
        <f>IF('Données projet'!$A$36&gt;35,N68+M69-V68,IF(A69&lt;'Données projet'!$A$36,$K$205^A69,IF(A69='Données projet'!$A$36,'Données projet'!$B$36,N68+M69-V68)))</f>
        <v>271.64769230769241</v>
      </c>
      <c r="O69" s="14">
        <f>N69*VLOOKUP('Données projet'!$B$9,Paramètres!$A$1:$I$89,3,0)*VLOOKUP('Données projet'!$B$9,Paramètres!$A$1:$I$89,5,0)</f>
        <v>127.13112000000005</v>
      </c>
      <c r="P69" s="14">
        <f t="shared" ref="P69:P132" si="87">EXP(-1.0587+0.8836*LN(O69)+0.284)</f>
        <v>33.332586891285729</v>
      </c>
      <c r="Q69" s="22">
        <f t="shared" si="54"/>
        <v>279.47428950232273</v>
      </c>
      <c r="R69" s="60">
        <f t="shared" si="55"/>
        <v>572.80762283565605</v>
      </c>
      <c r="S69" s="60">
        <f ca="1">AVERAGE(OFFSET($R$3,0,0,'Données projet'!$E$9+1,1))-AVERAGE(OFFSET($H$3,0,0,'Données projet'!$E$9+1,1))</f>
        <v>146.40889017442277</v>
      </c>
      <c r="T69" s="60">
        <f t="shared" ref="T69:T132" si="88">$T$3</f>
        <v>70.859031694091868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8.1999999999999993</v>
      </c>
      <c r="AI69" s="14">
        <f>IF('Données projet'!$A$62&gt;35,AI68+AH69-AQ68,IF(A69&lt;'Données projet'!$A$62,$AF$205^A69,IF(A69='Données projet'!$A$62,'Données projet'!$B$62,AI68+AH69-AQ68)))</f>
        <v>269.2</v>
      </c>
      <c r="AJ69" s="14">
        <f>AI69*VLOOKUP('Données projet'!$B$10,Paramètres!$A$1:$I$89,3,0)*VLOOKUP('Données projet'!$B$10,Paramètres!$A$1:$I$89,5,0)</f>
        <v>243.57216</v>
      </c>
      <c r="AK69" s="14">
        <f t="shared" ref="AK69:AK132" si="89">EXP(-1.0587+0.8836*LN(AJ69)+0.284)</f>
        <v>59.207435995642292</v>
      </c>
      <c r="AL69" s="22">
        <f t="shared" si="58"/>
        <v>527.34112969241028</v>
      </c>
      <c r="AM69" s="60">
        <f t="shared" si="59"/>
        <v>820.67446302574353</v>
      </c>
      <c r="AN69" s="60">
        <f ca="1">AVERAGE(OFFSET($AM$3,0,0,'Données projet'!$E$10+1,1))-AVERAGE(OFFSET($H$3,0,0,'Données projet'!$E$10+1,1))</f>
        <v>404.14319681142746</v>
      </c>
      <c r="AO69" s="60">
        <f t="shared" ref="AO69:AO132" si="90">$AO$3</f>
        <v>203.5274665601915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6.8</v>
      </c>
      <c r="BD69" s="13">
        <f>IF('Données projet'!$A$88&gt;35,BD68+BC69-BL68,IF(A69&lt;'Données projet'!$A$88,$BA$205^A69,IF(A69='Données projet'!$A$88,'Données projet'!$B$88,BD68+BC69-BL68)))</f>
        <v>235.79999999999993</v>
      </c>
      <c r="BE69" s="14">
        <f>BD69*VLOOKUP('Données projet'!$B$11,Paramètres!$A$1:$I$89,3,0)*VLOOKUP('Données projet'!$B$11,Paramètres!$A$1:$I$89,5,0)</f>
        <v>239.10119999999995</v>
      </c>
      <c r="BF69" s="14">
        <f t="shared" ref="BF69:BF132" si="91">EXP(-1.0587+0.8836*LN(BE69)+0.284)</f>
        <v>58.246107075777331</v>
      </c>
      <c r="BG69" s="22">
        <f t="shared" si="61"/>
        <v>517.87989315697871</v>
      </c>
      <c r="BH69" s="60">
        <f t="shared" si="62"/>
        <v>811.21322649031208</v>
      </c>
      <c r="BI69" s="60">
        <f ca="1">AVERAGE(OFFSET($BH$3,0,0,'Données projet'!$E$11+1,1))-AVERAGE(OFFSET($H$3,0,0,'Données projet'!$E$11+1,1))</f>
        <v>350.3652766444938</v>
      </c>
      <c r="BJ69" s="60">
        <f t="shared" ref="BJ69:BJ132" si="92">$BJ$3</f>
        <v>197.04549436738586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6.8</v>
      </c>
      <c r="BY69" s="13">
        <f>IF('Données projet'!$A$114&gt;35,BY68+BX69-CG68,IF(A69&lt;'Données projet'!$A$114,$BV$205^A69,IF(A69='Données projet'!$A$114,'Données projet'!$B$114,BY68+BX69-CG68)))</f>
        <v>235.79999999999993</v>
      </c>
      <c r="BZ69" s="14">
        <f>BY69*VLOOKUP('Données projet'!$B$12,Paramètres!$A$1:$I$89,3,0)*VLOOKUP('Données projet'!$B$12,Paramètres!$A$1:$I$89,5,0)</f>
        <v>228.06575999999993</v>
      </c>
      <c r="CA69" s="14">
        <f t="shared" ref="CA69:CA132" si="93">EXP(-1.0587+0.8836*LN(BZ69)+0.284)</f>
        <v>55.864248276798108</v>
      </c>
      <c r="CB69" s="22">
        <f t="shared" si="64"/>
        <v>494.51143108208981</v>
      </c>
      <c r="CC69" s="60">
        <f t="shared" si="65"/>
        <v>787.84476441542313</v>
      </c>
      <c r="CD69" s="60">
        <f ca="1">AVERAGE(OFFSET($CC$3,0,0,'Données projet'!$E$12+1,1))-AVERAGE(OFFSET($H$3,0,0,'Données projet'!$E$12+1,1))</f>
        <v>330.39429528665841</v>
      </c>
      <c r="CE69" s="60">
        <f t="shared" ref="CE69:CE132" si="94">$CE$3</f>
        <v>186.45728006007261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6.8</v>
      </c>
      <c r="CT69" s="13">
        <f>IF('Données projet'!$A$140&gt;35,CT68+CS69-DB68,IF(A69&lt;'Données projet'!$A$140,$CQ$205^A69,IF(A69='Données projet'!$A$140,'Données projet'!$B$140,CT68+CS69-DB68)))</f>
        <v>235.79999999999993</v>
      </c>
      <c r="CU69" s="18">
        <f>CT69*VLOOKUP('Données projet'!$B$13,Paramètres!$A$1:$I$89,3,0)*VLOOKUP('Données projet'!$B$13,Paramètres!$A$1:$I$89,5,0)</f>
        <v>253.81511999999992</v>
      </c>
      <c r="CV69" s="14">
        <f t="shared" ref="CV69:CV132" si="95">EXP(-1.0587+0.8836*LN(CU69)+0.284)</f>
        <v>61.402169885153235</v>
      </c>
      <c r="CW69" s="22">
        <f t="shared" si="67"/>
        <v>549.00344654997514</v>
      </c>
      <c r="CX69" s="60">
        <f t="shared" si="68"/>
        <v>842.33677988330851</v>
      </c>
      <c r="CY69" s="60">
        <f ca="1">AVERAGE(OFFSET($CX$3,0,0,'Données projet'!$E$13+1,1))-AVERAGE(OFFSET($H$3,0,0,'Données projet'!$E$13+1,1))</f>
        <v>376.96388721258387</v>
      </c>
      <c r="CZ69" s="60">
        <f t="shared" ref="CZ69:CZ132" si="96">$CZ$3</f>
        <v>211.14628470344377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4.9999999999999947</v>
      </c>
      <c r="DO69" s="13">
        <f>IF('Données projet'!$A$166&gt;35,DO68+DN69-DW68,IF(A69&lt;'Données projet'!$A$166,$DL$205^A69,IF(A69='Données projet'!$A$166,'Données projet'!$B$166,DO68+DN69-DW68)))</f>
        <v>245.38461538461544</v>
      </c>
      <c r="DP69" s="18">
        <f>DO69*VLOOKUP('Données projet'!$B$14,Paramètres!$A$1:$I$89,3,0)*VLOOKUP('Données projet'!$B$14,Paramètres!$A$1:$I$89,5,0)</f>
        <v>164.60400000000004</v>
      </c>
      <c r="DQ69" s="14">
        <f t="shared" ref="DQ69:DQ132" si="97">EXP(-1.0587+0.8836*LN(DP69)+0.284)</f>
        <v>41.879239712742802</v>
      </c>
      <c r="DR69" s="22">
        <f t="shared" si="70"/>
        <v>359.62497583302707</v>
      </c>
      <c r="DS69" s="60">
        <f t="shared" si="71"/>
        <v>652.95830916636032</v>
      </c>
      <c r="DT69" s="60">
        <f ca="1">AVERAGE(OFFSET($DS$3,0,0,'Données projet'!$E$14+1,1))-AVERAGE(OFFSET($H$3,0,0,'Données projet'!$E$14+1,1))</f>
        <v>212.33913923444732</v>
      </c>
      <c r="DU69" s="60">
        <f t="shared" ref="DU69:DU132" si="98">$DU$3</f>
        <v>183.51194426094372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0" t="e">
        <f t="shared" si="74"/>
        <v>#N/A</v>
      </c>
      <c r="EO69" s="60" t="e">
        <f ca="1">AVERAGE(OFFSET($EN$3,0,0,'Données projet'!$E$15+1,1))-AVERAGE(OFFSET($H$3,0,0,'Données projet'!$E$15+1,1))</f>
        <v>#N/A</v>
      </c>
      <c r="EP69" s="60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0" t="e">
        <f t="shared" si="77"/>
        <v>#N/A</v>
      </c>
      <c r="FJ69" s="60" t="e">
        <f ca="1">AVERAGE(OFFSET($FI$3,0,0,'Données projet'!$E$16+1,1))-AVERAGE(OFFSET($H$3,0,0,'Données projet'!$E$16+1,1))</f>
        <v>#N/A</v>
      </c>
      <c r="FK69" s="60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0" t="e">
        <f t="shared" si="80"/>
        <v>#N/A</v>
      </c>
      <c r="GE69" s="60" t="e">
        <f ca="1">AVERAGE(OFFSET($GD$3,0,0,'Données projet'!$E$17+1,1))-AVERAGE(OFFSET($H$3,0,0,'Données projet'!$E$17+1,1))</f>
        <v>#N/A</v>
      </c>
      <c r="GF69" s="60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0" t="e">
        <f t="shared" si="83"/>
        <v>#N/A</v>
      </c>
      <c r="GZ69" s="60" t="e">
        <f ca="1">AVERAGE(OFFSET($GY$3,0,0,'Données projet'!$E$18+1,1))-AVERAGE(OFFSET($H$3,0,0,'Données projet'!$E$18+1,1))</f>
        <v>#N/A</v>
      </c>
      <c r="HA69" s="60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5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2">
        <f t="shared" si="86"/>
        <v>11.088050101306514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8">
        <f t="shared" si="56"/>
        <v>376.3586705931088</v>
      </c>
      <c r="I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9.7400000000000091</v>
      </c>
      <c r="N70" s="14">
        <f>IF('Données projet'!$A$36&gt;35,N69+M70-V69,IF(A70&lt;'Données projet'!$A$36,$K$205^A70,IF(A70='Données projet'!$A$36,'Données projet'!$B$36,N69+M70-V69)))</f>
        <v>281.38769230769242</v>
      </c>
      <c r="O70" s="14">
        <f>N70*VLOOKUP('Données projet'!$B$9,Paramètres!$A$1:$I$89,3,0)*VLOOKUP('Données projet'!$B$9,Paramètres!$A$1:$I$89,5,0)</f>
        <v>131.68944000000005</v>
      </c>
      <c r="P70" s="14">
        <f t="shared" si="87"/>
        <v>34.386445467742071</v>
      </c>
      <c r="Q70" s="22">
        <f t="shared" si="54"/>
        <v>289.2488338563175</v>
      </c>
      <c r="R70" s="60">
        <f t="shared" si="55"/>
        <v>582.58216718965082</v>
      </c>
      <c r="S70" s="60">
        <f ca="1">AVERAGE(OFFSET($R$3,0,0,'Données projet'!$E$9+1,1))-AVERAGE(OFFSET($H$3,0,0,'Données projet'!$E$9+1,1))</f>
        <v>146.40889017442277</v>
      </c>
      <c r="T70" s="60">
        <f t="shared" si="88"/>
        <v>70.859031694091868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8.1999999999999993</v>
      </c>
      <c r="AI70" s="14">
        <f>IF('Données projet'!$A$62&gt;35,AI69+AH70-AQ69,IF(A70&lt;'Données projet'!$A$62,$AF$205^A70,IF(A70='Données projet'!$A$62,'Données projet'!$B$62,AI69+AH70-AQ69)))</f>
        <v>277.39999999999998</v>
      </c>
      <c r="AJ70" s="14">
        <f>AI70*VLOOKUP('Données projet'!$B$10,Paramètres!$A$1:$I$89,3,0)*VLOOKUP('Données projet'!$B$10,Paramètres!$A$1:$I$89,5,0)</f>
        <v>250.99151999999995</v>
      </c>
      <c r="AK70" s="14">
        <f t="shared" si="89"/>
        <v>60.798211000769406</v>
      </c>
      <c r="AL70" s="22">
        <f t="shared" si="58"/>
        <v>543.03378149300659</v>
      </c>
      <c r="AM70" s="60">
        <f t="shared" si="59"/>
        <v>836.36711482633996</v>
      </c>
      <c r="AN70" s="60">
        <f ca="1">AVERAGE(OFFSET($AM$3,0,0,'Données projet'!$E$10+1,1))-AVERAGE(OFFSET($H$3,0,0,'Données projet'!$E$10+1,1))</f>
        <v>404.14319681142746</v>
      </c>
      <c r="AO70" s="60">
        <f t="shared" si="90"/>
        <v>203.5274665601915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6.8</v>
      </c>
      <c r="BD70" s="13">
        <f>IF('Données projet'!$A$88&gt;35,BD69+BC70-BL69,IF(A70&lt;'Données projet'!$A$88,$BA$205^A70,IF(A70='Données projet'!$A$88,'Données projet'!$B$88,BD69+BC70-BL69)))</f>
        <v>242.59999999999994</v>
      </c>
      <c r="BE70" s="14">
        <f>BD70*VLOOKUP('Données projet'!$B$11,Paramètres!$A$1:$I$89,3,0)*VLOOKUP('Données projet'!$B$11,Paramètres!$A$1:$I$89,5,0)</f>
        <v>245.99639999999997</v>
      </c>
      <c r="BF70" s="14">
        <f t="shared" si="91"/>
        <v>59.72782632026442</v>
      </c>
      <c r="BG70" s="22">
        <f t="shared" si="61"/>
        <v>532.46969417446041</v>
      </c>
      <c r="BH70" s="60">
        <f t="shared" si="62"/>
        <v>825.80302750779379</v>
      </c>
      <c r="BI70" s="60">
        <f ca="1">AVERAGE(OFFSET($BH$3,0,0,'Données projet'!$E$11+1,1))-AVERAGE(OFFSET($H$3,0,0,'Données projet'!$E$11+1,1))</f>
        <v>350.3652766444938</v>
      </c>
      <c r="BJ70" s="60">
        <f t="shared" si="92"/>
        <v>197.04549436738586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6.8</v>
      </c>
      <c r="BY70" s="13">
        <f>IF('Données projet'!$A$114&gt;35,BY69+BX70-CG69,IF(A70&lt;'Données projet'!$A$114,$BV$205^A70,IF(A70='Données projet'!$A$114,'Données projet'!$B$114,BY69+BX70-CG69)))</f>
        <v>242.59999999999994</v>
      </c>
      <c r="BZ70" s="14">
        <f>BY70*VLOOKUP('Données projet'!$B$12,Paramètres!$A$1:$I$89,3,0)*VLOOKUP('Données projet'!$B$12,Paramètres!$A$1:$I$89,5,0)</f>
        <v>234.64271999999994</v>
      </c>
      <c r="CA70" s="14">
        <f t="shared" si="93"/>
        <v>57.285375557336316</v>
      </c>
      <c r="CB70" s="22">
        <f t="shared" si="64"/>
        <v>508.44143309569387</v>
      </c>
      <c r="CC70" s="60">
        <f t="shared" si="65"/>
        <v>801.77476642902718</v>
      </c>
      <c r="CD70" s="60">
        <f ca="1">AVERAGE(OFFSET($CC$3,0,0,'Données projet'!$E$12+1,1))-AVERAGE(OFFSET($H$3,0,0,'Données projet'!$E$12+1,1))</f>
        <v>330.39429528665841</v>
      </c>
      <c r="CE70" s="60">
        <f t="shared" si="94"/>
        <v>186.45728006007261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6.8</v>
      </c>
      <c r="CT70" s="13">
        <f>IF('Données projet'!$A$140&gt;35,CT69+CS70-DB69,IF(A70&lt;'Données projet'!$A$140,$CQ$205^A70,IF(A70='Données projet'!$A$140,'Données projet'!$B$140,CT69+CS70-DB69)))</f>
        <v>242.59999999999994</v>
      </c>
      <c r="CU70" s="18">
        <f>CT70*VLOOKUP('Données projet'!$B$13,Paramètres!$A$1:$I$89,3,0)*VLOOKUP('Données projet'!$B$13,Paramètres!$A$1:$I$89,5,0)</f>
        <v>261.13463999999993</v>
      </c>
      <c r="CV70" s="14">
        <f t="shared" si="95"/>
        <v>62.964176023241265</v>
      </c>
      <c r="CW70" s="22">
        <f t="shared" si="67"/>
        <v>564.47210457381163</v>
      </c>
      <c r="CX70" s="60">
        <f t="shared" si="68"/>
        <v>857.80543790714501</v>
      </c>
      <c r="CY70" s="60">
        <f ca="1">AVERAGE(OFFSET($CX$3,0,0,'Données projet'!$E$13+1,1))-AVERAGE(OFFSET($H$3,0,0,'Données projet'!$E$13+1,1))</f>
        <v>376.96388721258387</v>
      </c>
      <c r="CZ70" s="60">
        <f t="shared" si="96"/>
        <v>211.14628470344377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4.9999999999999947</v>
      </c>
      <c r="DO70" s="13">
        <f>IF('Données projet'!$A$166&gt;35,DO69+DN70-DW69,IF(A70&lt;'Données projet'!$A$166,$DL$205^A70,IF(A70='Données projet'!$A$166,'Données projet'!$B$166,DO69+DN70-DW69)))</f>
        <v>250.38461538461544</v>
      </c>
      <c r="DP70" s="18">
        <f>DO70*VLOOKUP('Données projet'!$B$14,Paramètres!$A$1:$I$89,3,0)*VLOOKUP('Données projet'!$B$14,Paramètres!$A$1:$I$89,5,0)</f>
        <v>167.95800000000006</v>
      </c>
      <c r="DQ70" s="14">
        <f t="shared" si="97"/>
        <v>42.632362356023975</v>
      </c>
      <c r="DR70" s="22">
        <f t="shared" si="70"/>
        <v>366.77821443674179</v>
      </c>
      <c r="DS70" s="60">
        <f t="shared" si="71"/>
        <v>660.11154777007505</v>
      </c>
      <c r="DT70" s="60">
        <f ca="1">AVERAGE(OFFSET($DS$3,0,0,'Données projet'!$E$14+1,1))-AVERAGE(OFFSET($H$3,0,0,'Données projet'!$E$14+1,1))</f>
        <v>212.33913923444732</v>
      </c>
      <c r="DU70" s="60">
        <f t="shared" si="98"/>
        <v>183.51194426094372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0" t="e">
        <f t="shared" si="74"/>
        <v>#N/A</v>
      </c>
      <c r="EO70" s="60" t="e">
        <f ca="1">AVERAGE(OFFSET($EN$3,0,0,'Données projet'!$E$15+1,1))-AVERAGE(OFFSET($H$3,0,0,'Données projet'!$E$15+1,1))</f>
        <v>#N/A</v>
      </c>
      <c r="EP70" s="60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0" t="e">
        <f t="shared" si="77"/>
        <v>#N/A</v>
      </c>
      <c r="FJ70" s="60" t="e">
        <f ca="1">AVERAGE(OFFSET($FI$3,0,0,'Données projet'!$E$16+1,1))-AVERAGE(OFFSET($H$3,0,0,'Données projet'!$E$16+1,1))</f>
        <v>#N/A</v>
      </c>
      <c r="FK70" s="60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0" t="e">
        <f t="shared" si="80"/>
        <v>#N/A</v>
      </c>
      <c r="GE70" s="60" t="e">
        <f ca="1">AVERAGE(OFFSET($GD$3,0,0,'Données projet'!$E$17+1,1))-AVERAGE(OFFSET($H$3,0,0,'Données projet'!$E$17+1,1))</f>
        <v>#N/A</v>
      </c>
      <c r="GF70" s="60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0" t="e">
        <f t="shared" si="83"/>
        <v>#N/A</v>
      </c>
      <c r="GZ70" s="60" t="e">
        <f ca="1">AVERAGE(OFFSET($GY$3,0,0,'Données projet'!$E$18+1,1))-AVERAGE(OFFSET($H$3,0,0,'Données projet'!$E$18+1,1))</f>
        <v>#N/A</v>
      </c>
      <c r="HA70" s="60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5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2">
        <f t="shared" si="86"/>
        <v>11.234153644457548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8">
        <f t="shared" si="56"/>
        <v>377.56408426409683</v>
      </c>
      <c r="I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9.7400000000000091</v>
      </c>
      <c r="N71" s="14">
        <f>IF('Données projet'!$A$36&gt;35,N70+M71-V70,IF(A71&lt;'Données projet'!$A$36,$K$205^A71,IF(A71='Données projet'!$A$36,'Données projet'!$B$36,N70+M71-V70)))</f>
        <v>291.12769230769243</v>
      </c>
      <c r="O71" s="14">
        <f>N71*VLOOKUP('Données projet'!$B$9,Paramètres!$A$1:$I$89,3,0)*VLOOKUP('Données projet'!$B$9,Paramètres!$A$1:$I$89,5,0)</f>
        <v>136.24776000000006</v>
      </c>
      <c r="P71" s="14">
        <f t="shared" si="87"/>
        <v>35.436065602778946</v>
      </c>
      <c r="Q71" s="22">
        <f t="shared" si="54"/>
        <v>299.0159962581734</v>
      </c>
      <c r="R71" s="60">
        <f t="shared" si="55"/>
        <v>592.34932959150672</v>
      </c>
      <c r="S71" s="60">
        <f ca="1">AVERAGE(OFFSET($R$3,0,0,'Données projet'!$E$9+1,1))-AVERAGE(OFFSET($H$3,0,0,'Données projet'!$E$9+1,1))</f>
        <v>146.40889017442277</v>
      </c>
      <c r="T71" s="60">
        <f t="shared" si="88"/>
        <v>70.859031694091868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8.1999999999999993</v>
      </c>
      <c r="AI71" s="14">
        <f>IF('Données projet'!$A$62&gt;35,AI70+AH71-AQ70,IF(A71&lt;'Données projet'!$A$62,$AF$205^A71,IF(A71='Données projet'!$A$62,'Données projet'!$B$62,AI70+AH71-AQ70)))</f>
        <v>285.59999999999997</v>
      </c>
      <c r="AJ71" s="14">
        <f>AI71*VLOOKUP('Données projet'!$B$10,Paramètres!$A$1:$I$89,3,0)*VLOOKUP('Données projet'!$B$10,Paramètres!$A$1:$I$89,5,0)</f>
        <v>258.41087999999996</v>
      </c>
      <c r="AK71" s="14">
        <f t="shared" si="89"/>
        <v>62.383521020316756</v>
      </c>
      <c r="AL71" s="22">
        <f t="shared" si="58"/>
        <v>558.71691511038489</v>
      </c>
      <c r="AM71" s="60">
        <f t="shared" si="59"/>
        <v>852.05024844371815</v>
      </c>
      <c r="AN71" s="60">
        <f ca="1">AVERAGE(OFFSET($AM$3,0,0,'Données projet'!$E$10+1,1))-AVERAGE(OFFSET($H$3,0,0,'Données projet'!$E$10+1,1))</f>
        <v>404.14319681142746</v>
      </c>
      <c r="AO71" s="60">
        <f t="shared" si="90"/>
        <v>203.5274665601915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6.8</v>
      </c>
      <c r="BD71" s="13">
        <f>IF('Données projet'!$A$88&gt;35,BD70+BC71-BL70,IF(A71&lt;'Données projet'!$A$88,$BA$205^A71,IF(A71='Données projet'!$A$88,'Données projet'!$B$88,BD70+BC71-BL70)))</f>
        <v>249.39999999999995</v>
      </c>
      <c r="BE71" s="14">
        <f>BD71*VLOOKUP('Données projet'!$B$11,Paramètres!$A$1:$I$89,3,0)*VLOOKUP('Données projet'!$B$11,Paramètres!$A$1:$I$89,5,0)</f>
        <v>252.89159999999998</v>
      </c>
      <c r="BF71" s="14">
        <f t="shared" si="91"/>
        <v>61.204718436590312</v>
      </c>
      <c r="BG71" s="22">
        <f t="shared" si="61"/>
        <v>547.05108794372802</v>
      </c>
      <c r="BH71" s="60">
        <f t="shared" si="62"/>
        <v>840.38442127706139</v>
      </c>
      <c r="BI71" s="60">
        <f ca="1">AVERAGE(OFFSET($BH$3,0,0,'Données projet'!$E$11+1,1))-AVERAGE(OFFSET($H$3,0,0,'Données projet'!$E$11+1,1))</f>
        <v>350.3652766444938</v>
      </c>
      <c r="BJ71" s="60">
        <f t="shared" si="92"/>
        <v>197.04549436738586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6.8</v>
      </c>
      <c r="BY71" s="13">
        <f>IF('Données projet'!$A$114&gt;35,BY70+BX71-CG70,IF(A71&lt;'Données projet'!$A$114,$BV$205^A71,IF(A71='Données projet'!$A$114,'Données projet'!$B$114,BY70+BX71-CG70)))</f>
        <v>249.39999999999995</v>
      </c>
      <c r="BZ71" s="14">
        <f>BY71*VLOOKUP('Données projet'!$B$12,Paramètres!$A$1:$I$89,3,0)*VLOOKUP('Données projet'!$B$12,Paramètres!$A$1:$I$89,5,0)</f>
        <v>241.21967999999995</v>
      </c>
      <c r="CA71" s="14">
        <f t="shared" si="93"/>
        <v>58.701873105526744</v>
      </c>
      <c r="CB71" s="22">
        <f t="shared" si="64"/>
        <v>522.36337165879229</v>
      </c>
      <c r="CC71" s="60">
        <f t="shared" si="65"/>
        <v>815.69670499212566</v>
      </c>
      <c r="CD71" s="60">
        <f ca="1">AVERAGE(OFFSET($CC$3,0,0,'Données projet'!$E$12+1,1))-AVERAGE(OFFSET($H$3,0,0,'Données projet'!$E$12+1,1))</f>
        <v>330.39429528665841</v>
      </c>
      <c r="CE71" s="60">
        <f t="shared" si="94"/>
        <v>186.45728006007261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6.8</v>
      </c>
      <c r="CT71" s="13">
        <f>IF('Données projet'!$A$140&gt;35,CT70+CS71-DB70,IF(A71&lt;'Données projet'!$A$140,$CQ$205^A71,IF(A71='Données projet'!$A$140,'Données projet'!$B$140,CT70+CS71-DB70)))</f>
        <v>249.39999999999995</v>
      </c>
      <c r="CU71" s="18">
        <f>CT71*VLOOKUP('Données projet'!$B$13,Paramètres!$A$1:$I$89,3,0)*VLOOKUP('Données projet'!$B$13,Paramètres!$A$1:$I$89,5,0)</f>
        <v>268.45415999999994</v>
      </c>
      <c r="CV71" s="14">
        <f t="shared" si="95"/>
        <v>64.521093475436089</v>
      </c>
      <c r="CW71" s="22">
        <f t="shared" si="67"/>
        <v>579.93189980305101</v>
      </c>
      <c r="CX71" s="60">
        <f t="shared" si="68"/>
        <v>873.26523313638427</v>
      </c>
      <c r="CY71" s="60">
        <f ca="1">AVERAGE(OFFSET($CX$3,0,0,'Données projet'!$E$13+1,1))-AVERAGE(OFFSET($H$3,0,0,'Données projet'!$E$13+1,1))</f>
        <v>376.96388721258387</v>
      </c>
      <c r="CZ71" s="60">
        <f t="shared" si="96"/>
        <v>211.14628470344377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4.9999999999999947</v>
      </c>
      <c r="DO71" s="13">
        <f>IF('Données projet'!$A$166&gt;35,DO70+DN71-DW70,IF(A71&lt;'Données projet'!$A$166,$DL$205^A71,IF(A71='Données projet'!$A$166,'Données projet'!$B$166,DO70+DN71-DW70)))</f>
        <v>255.38461538461544</v>
      </c>
      <c r="DP71" s="18">
        <f>DO71*VLOOKUP('Données projet'!$B$14,Paramètres!$A$1:$I$89,3,0)*VLOOKUP('Données projet'!$B$14,Paramètres!$A$1:$I$89,5,0)</f>
        <v>171.31200000000004</v>
      </c>
      <c r="DQ71" s="14">
        <f t="shared" si="97"/>
        <v>43.383736333098376</v>
      </c>
      <c r="DR71" s="22">
        <f t="shared" si="70"/>
        <v>373.92840744681308</v>
      </c>
      <c r="DS71" s="60">
        <f t="shared" si="71"/>
        <v>667.2617407801464</v>
      </c>
      <c r="DT71" s="60">
        <f ca="1">AVERAGE(OFFSET($DS$3,0,0,'Données projet'!$E$14+1,1))-AVERAGE(OFFSET($H$3,0,0,'Données projet'!$E$14+1,1))</f>
        <v>212.33913923444732</v>
      </c>
      <c r="DU71" s="60">
        <f t="shared" si="98"/>
        <v>183.51194426094372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0" t="e">
        <f t="shared" si="74"/>
        <v>#N/A</v>
      </c>
      <c r="EO71" s="60" t="e">
        <f ca="1">AVERAGE(OFFSET($EN$3,0,0,'Données projet'!$E$15+1,1))-AVERAGE(OFFSET($H$3,0,0,'Données projet'!$E$15+1,1))</f>
        <v>#N/A</v>
      </c>
      <c r="EP71" s="60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0" t="e">
        <f t="shared" si="77"/>
        <v>#N/A</v>
      </c>
      <c r="FJ71" s="60" t="e">
        <f ca="1">AVERAGE(OFFSET($FI$3,0,0,'Données projet'!$E$16+1,1))-AVERAGE(OFFSET($H$3,0,0,'Données projet'!$E$16+1,1))</f>
        <v>#N/A</v>
      </c>
      <c r="FK71" s="60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0" t="e">
        <f t="shared" si="80"/>
        <v>#N/A</v>
      </c>
      <c r="GE71" s="60" t="e">
        <f ca="1">AVERAGE(OFFSET($GD$3,0,0,'Données projet'!$E$17+1,1))-AVERAGE(OFFSET($H$3,0,0,'Données projet'!$E$17+1,1))</f>
        <v>#N/A</v>
      </c>
      <c r="GF71" s="60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0" t="e">
        <f t="shared" si="83"/>
        <v>#N/A</v>
      </c>
      <c r="GZ71" s="60" t="e">
        <f ca="1">AVERAGE(OFFSET($GY$3,0,0,'Données projet'!$E$18+1,1))-AVERAGE(OFFSET($H$3,0,0,'Données projet'!$E$18+1,1))</f>
        <v>#N/A</v>
      </c>
      <c r="HA71" s="60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5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2">
        <f t="shared" si="86"/>
        <v>11.380007297126165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8">
        <f t="shared" si="56"/>
        <v>378.76906270916135</v>
      </c>
      <c r="I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9.7400000000000091</v>
      </c>
      <c r="N72" s="14">
        <f>IF('Données projet'!$A$36&gt;35,N71+M72-V71,IF(A72&lt;'Données projet'!$A$36,$K$205^A72,IF(A72='Données projet'!$A$36,'Données projet'!$B$36,N71+M72-V71)))</f>
        <v>300.86769230769244</v>
      </c>
      <c r="O72" s="14">
        <f>N72*VLOOKUP('Données projet'!$B$9,Paramètres!$A$1:$I$89,3,0)*VLOOKUP('Données projet'!$B$9,Paramètres!$A$1:$I$89,5,0)</f>
        <v>140.80608000000007</v>
      </c>
      <c r="P72" s="14">
        <f t="shared" si="87"/>
        <v>36.481605355929283</v>
      </c>
      <c r="Q72" s="22">
        <f t="shared" si="54"/>
        <v>308.77605199491023</v>
      </c>
      <c r="R72" s="60">
        <f t="shared" si="55"/>
        <v>602.10938532824355</v>
      </c>
      <c r="S72" s="60">
        <f ca="1">AVERAGE(OFFSET($R$3,0,0,'Données projet'!$E$9+1,1))-AVERAGE(OFFSET($H$3,0,0,'Données projet'!$E$9+1,1))</f>
        <v>146.40889017442277</v>
      </c>
      <c r="T72" s="60">
        <f t="shared" si="88"/>
        <v>70.859031694091868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8.1999999999999993</v>
      </c>
      <c r="AI72" s="14">
        <f>IF('Données projet'!$A$62&gt;35,AI71+AH72-AQ71,IF(A72&lt;'Données projet'!$A$62,$AF$205^A72,IF(A72='Données projet'!$A$62,'Données projet'!$B$62,AI71+AH72-AQ71)))</f>
        <v>293.79999999999995</v>
      </c>
      <c r="AJ72" s="14">
        <f>AI72*VLOOKUP('Données projet'!$B$10,Paramètres!$A$1:$I$89,3,0)*VLOOKUP('Données projet'!$B$10,Paramètres!$A$1:$I$89,5,0)</f>
        <v>265.83023999999995</v>
      </c>
      <c r="AK72" s="14">
        <f t="shared" si="89"/>
        <v>63.963540982526439</v>
      </c>
      <c r="AL72" s="22">
        <f t="shared" si="58"/>
        <v>574.39083521123348</v>
      </c>
      <c r="AM72" s="60">
        <f t="shared" si="59"/>
        <v>867.72416854456674</v>
      </c>
      <c r="AN72" s="60">
        <f ca="1">AVERAGE(OFFSET($AM$3,0,0,'Données projet'!$E$10+1,1))-AVERAGE(OFFSET($H$3,0,0,'Données projet'!$E$10+1,1))</f>
        <v>404.14319681142746</v>
      </c>
      <c r="AO72" s="60">
        <f t="shared" si="90"/>
        <v>203.5274665601915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6.8</v>
      </c>
      <c r="BD72" s="13">
        <f>IF('Données projet'!$A$88&gt;35,BD71+BC72-BL71,IF(A72&lt;'Données projet'!$A$88,$BA$205^A72,IF(A72='Données projet'!$A$88,'Données projet'!$B$88,BD71+BC72-BL71)))</f>
        <v>256.19999999999993</v>
      </c>
      <c r="BE72" s="14">
        <f>BD72*VLOOKUP('Données projet'!$B$11,Paramètres!$A$1:$I$89,3,0)*VLOOKUP('Données projet'!$B$11,Paramètres!$A$1:$I$89,5,0)</f>
        <v>259.78679999999997</v>
      </c>
      <c r="BF72" s="14">
        <f t="shared" si="91"/>
        <v>62.676930162260739</v>
      </c>
      <c r="BG72" s="22">
        <f t="shared" si="61"/>
        <v>561.62433003260401</v>
      </c>
      <c r="BH72" s="60">
        <f t="shared" si="62"/>
        <v>854.95766336593738</v>
      </c>
      <c r="BI72" s="60">
        <f ca="1">AVERAGE(OFFSET($BH$3,0,0,'Données projet'!$E$11+1,1))-AVERAGE(OFFSET($H$3,0,0,'Données projet'!$E$11+1,1))</f>
        <v>350.3652766444938</v>
      </c>
      <c r="BJ72" s="60">
        <f t="shared" si="92"/>
        <v>197.04549436738586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6.8</v>
      </c>
      <c r="BY72" s="13">
        <f>IF('Données projet'!$A$114&gt;35,BY71+BX72-CG71,IF(A72&lt;'Données projet'!$A$114,$BV$205^A72,IF(A72='Données projet'!$A$114,'Données projet'!$B$114,BY71+BX72-CG71)))</f>
        <v>256.19999999999993</v>
      </c>
      <c r="BZ72" s="14">
        <f>BY72*VLOOKUP('Données projet'!$B$12,Paramètres!$A$1:$I$89,3,0)*VLOOKUP('Données projet'!$B$12,Paramètres!$A$1:$I$89,5,0)</f>
        <v>247.79663999999997</v>
      </c>
      <c r="CA72" s="14">
        <f t="shared" si="93"/>
        <v>60.113881658336368</v>
      </c>
      <c r="CB72" s="22">
        <f t="shared" si="64"/>
        <v>536.27749188826908</v>
      </c>
      <c r="CC72" s="60">
        <f t="shared" si="65"/>
        <v>829.61082522160245</v>
      </c>
      <c r="CD72" s="60">
        <f ca="1">AVERAGE(OFFSET($CC$3,0,0,'Données projet'!$E$12+1,1))-AVERAGE(OFFSET($H$3,0,0,'Données projet'!$E$12+1,1))</f>
        <v>330.39429528665841</v>
      </c>
      <c r="CE72" s="60">
        <f t="shared" si="94"/>
        <v>186.45728006007261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6.8</v>
      </c>
      <c r="CT72" s="13">
        <f>IF('Données projet'!$A$140&gt;35,CT71+CS72-DB71,IF(A72&lt;'Données projet'!$A$140,$CQ$205^A72,IF(A72='Données projet'!$A$140,'Données projet'!$B$140,CT71+CS72-DB71)))</f>
        <v>256.19999999999993</v>
      </c>
      <c r="CU72" s="18">
        <f>CT72*VLOOKUP('Données projet'!$B$13,Paramètres!$A$1:$I$89,3,0)*VLOOKUP('Données projet'!$B$13,Paramètres!$A$1:$I$89,5,0)</f>
        <v>275.7736799999999</v>
      </c>
      <c r="CV72" s="14">
        <f t="shared" si="95"/>
        <v>66.073076930208813</v>
      </c>
      <c r="CW72" s="22">
        <f t="shared" si="67"/>
        <v>595.38310165344672</v>
      </c>
      <c r="CX72" s="60">
        <f t="shared" si="68"/>
        <v>888.71643498678009</v>
      </c>
      <c r="CY72" s="60">
        <f ca="1">AVERAGE(OFFSET($CX$3,0,0,'Données projet'!$E$13+1,1))-AVERAGE(OFFSET($H$3,0,0,'Données projet'!$E$13+1,1))</f>
        <v>376.96388721258387</v>
      </c>
      <c r="CZ72" s="60">
        <f t="shared" si="96"/>
        <v>211.14628470344377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4.9999999999999947</v>
      </c>
      <c r="DO72" s="13">
        <f>IF('Données projet'!$A$166&gt;35,DO71+DN72-DW71,IF(A72&lt;'Données projet'!$A$166,$DL$205^A72,IF(A72='Données projet'!$A$166,'Données projet'!$B$166,DO71+DN72-DW71)))</f>
        <v>260.38461538461542</v>
      </c>
      <c r="DP72" s="18">
        <f>DO72*VLOOKUP('Données projet'!$B$14,Paramètres!$A$1:$I$89,3,0)*VLOOKUP('Données projet'!$B$14,Paramètres!$A$1:$I$89,5,0)</f>
        <v>174.66600000000003</v>
      </c>
      <c r="DQ72" s="14">
        <f t="shared" si="97"/>
        <v>44.133399826367565</v>
      </c>
      <c r="DR72" s="22">
        <f t="shared" si="70"/>
        <v>381.0756213642569</v>
      </c>
      <c r="DS72" s="60">
        <f t="shared" si="71"/>
        <v>674.40895469759016</v>
      </c>
      <c r="DT72" s="60">
        <f ca="1">AVERAGE(OFFSET($DS$3,0,0,'Données projet'!$E$14+1,1))-AVERAGE(OFFSET($H$3,0,0,'Données projet'!$E$14+1,1))</f>
        <v>212.33913923444732</v>
      </c>
      <c r="DU72" s="60">
        <f t="shared" si="98"/>
        <v>183.51194426094372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0" t="e">
        <f t="shared" si="74"/>
        <v>#N/A</v>
      </c>
      <c r="EO72" s="60" t="e">
        <f ca="1">AVERAGE(OFFSET($EN$3,0,0,'Données projet'!$E$15+1,1))-AVERAGE(OFFSET($H$3,0,0,'Données projet'!$E$15+1,1))</f>
        <v>#N/A</v>
      </c>
      <c r="EP72" s="60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0" t="e">
        <f t="shared" si="77"/>
        <v>#N/A</v>
      </c>
      <c r="FJ72" s="60" t="e">
        <f ca="1">AVERAGE(OFFSET($FI$3,0,0,'Données projet'!$E$16+1,1))-AVERAGE(OFFSET($H$3,0,0,'Données projet'!$E$16+1,1))</f>
        <v>#N/A</v>
      </c>
      <c r="FK72" s="60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0" t="e">
        <f t="shared" si="80"/>
        <v>#N/A</v>
      </c>
      <c r="GE72" s="60" t="e">
        <f ca="1">AVERAGE(OFFSET($GD$3,0,0,'Données projet'!$E$17+1,1))-AVERAGE(OFFSET($H$3,0,0,'Données projet'!$E$17+1,1))</f>
        <v>#N/A</v>
      </c>
      <c r="GF72" s="60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0" t="e">
        <f t="shared" si="83"/>
        <v>#N/A</v>
      </c>
      <c r="GZ72" s="60" t="e">
        <f ca="1">AVERAGE(OFFSET($GY$3,0,0,'Données projet'!$E$18+1,1))-AVERAGE(OFFSET($H$3,0,0,'Données projet'!$E$18+1,1))</f>
        <v>#N/A</v>
      </c>
      <c r="HA72" s="60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5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2">
        <f t="shared" si="86"/>
        <v>11.525615099344252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8">
        <f t="shared" si="56"/>
        <v>379.97361296469114</v>
      </c>
      <c r="I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310.60769230769233</v>
      </c>
      <c r="L73" s="13">
        <f>VLOOKUP(A73,'Données projet'!$A$35:$I$55,9,0)</f>
        <v>9.7400000000000091</v>
      </c>
      <c r="M73" s="13">
        <f t="array" ref="M73">INDEX(L:L,MIN(IF(ISNUMBER(L73:L269),ROW(L73:L269),"")))</f>
        <v>9.7400000000000091</v>
      </c>
      <c r="N73" s="14">
        <f>IF('Données projet'!$A$36&gt;35,N72+M73-V72,IF(A73&lt;'Données projet'!$A$36,$K$205^A73,IF(A73='Données projet'!$A$36,'Données projet'!$B$36,N72+M73-V72)))</f>
        <v>310.60769230769245</v>
      </c>
      <c r="O73" s="14">
        <f>N73*VLOOKUP('Données projet'!$B$9,Paramètres!$A$1:$I$89,3,0)*VLOOKUP('Données projet'!$B$9,Paramètres!$A$1:$I$89,5,0)</f>
        <v>145.36440000000007</v>
      </c>
      <c r="P73" s="14">
        <f t="shared" si="87"/>
        <v>37.523211972029195</v>
      </c>
      <c r="Q73" s="22">
        <f t="shared" si="54"/>
        <v>318.52925751795101</v>
      </c>
      <c r="R73" s="60">
        <f t="shared" si="55"/>
        <v>611.86259085128427</v>
      </c>
      <c r="S73" s="60">
        <f ca="1">AVERAGE(OFFSET($R$3,0,0,'Données projet'!$E$9+1,1))-AVERAGE(OFFSET($H$3,0,0,'Données projet'!$E$9+1,1))</f>
        <v>146.40889017442277</v>
      </c>
      <c r="T73" s="60">
        <f t="shared" si="88"/>
        <v>70.859031694091868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302</v>
      </c>
      <c r="AG73" s="13">
        <f>VLOOKUP(A73,'Données projet'!$A$61:$I$81,9,0)</f>
        <v>8.1999999999999993</v>
      </c>
      <c r="AH73" s="13">
        <f t="array" ref="AH73">INDEX(AG:AG,MIN(IF(ISNUMBER(AG73:AG269),ROW(AG73:AG269),"")))</f>
        <v>8.1999999999999993</v>
      </c>
      <c r="AI73" s="14">
        <f>IF('Données projet'!$A$62&gt;35,AI72+AH73-AQ72,IF(A73&lt;'Données projet'!$A$62,$AF$205^A73,IF(A73='Données projet'!$A$62,'Données projet'!$B$62,AI72+AH73-AQ72)))</f>
        <v>301.99999999999994</v>
      </c>
      <c r="AJ73" s="14">
        <f>AI73*VLOOKUP('Données projet'!$B$10,Paramètres!$A$1:$I$89,3,0)*VLOOKUP('Données projet'!$B$10,Paramètres!$A$1:$I$89,5,0)</f>
        <v>273.24959999999999</v>
      </c>
      <c r="AK73" s="14">
        <f t="shared" si="89"/>
        <v>65.538435495514321</v>
      </c>
      <c r="AL73" s="22">
        <f t="shared" si="58"/>
        <v>590.05582848802067</v>
      </c>
      <c r="AM73" s="60">
        <f t="shared" si="59"/>
        <v>883.38916182135404</v>
      </c>
      <c r="AN73" s="60">
        <f ca="1">AVERAGE(OFFSET($AM$3,0,0,'Données projet'!$E$10+1,1))-AVERAGE(OFFSET($H$3,0,0,'Données projet'!$E$10+1,1))</f>
        <v>404.14319681142746</v>
      </c>
      <c r="AO73" s="60">
        <f t="shared" si="90"/>
        <v>203.5274665601915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263</v>
      </c>
      <c r="BB73" s="13">
        <f>VLOOKUP(A73,'Données projet'!$A$87:$I$107,9,0)</f>
        <v>6.8</v>
      </c>
      <c r="BC73" s="13">
        <f t="array" ref="BC73">INDEX(BB:BB,MIN(IF(ISNUMBER(BB73:BB269),ROW(BB73:BB269),"")))</f>
        <v>6.8</v>
      </c>
      <c r="BD73" s="13">
        <f>IF('Données projet'!$A$88&gt;35,BD72+BC73-BL72,IF(A73&lt;'Données projet'!$A$88,$BA$205^A73,IF(A73='Données projet'!$A$88,'Données projet'!$B$88,BD72+BC73-BL72)))</f>
        <v>262.99999999999994</v>
      </c>
      <c r="BE73" s="14">
        <f>BD73*VLOOKUP('Données projet'!$B$11,Paramètres!$A$1:$I$89,3,0)*VLOOKUP('Données projet'!$B$11,Paramètres!$A$1:$I$89,5,0)</f>
        <v>266.68199999999996</v>
      </c>
      <c r="BF73" s="14">
        <f t="shared" si="91"/>
        <v>64.144600001897771</v>
      </c>
      <c r="BG73" s="22">
        <f t="shared" si="61"/>
        <v>576.189661669972</v>
      </c>
      <c r="BH73" s="60">
        <f t="shared" si="62"/>
        <v>869.52299500330537</v>
      </c>
      <c r="BI73" s="60">
        <f ca="1">AVERAGE(OFFSET($BH$3,0,0,'Données projet'!$E$11+1,1))-AVERAGE(OFFSET($H$3,0,0,'Données projet'!$E$11+1,1))</f>
        <v>350.3652766444938</v>
      </c>
      <c r="BJ73" s="60">
        <f t="shared" si="92"/>
        <v>197.04549436738586</v>
      </c>
      <c r="BK73" s="16">
        <f>IF(ISNA(VLOOKUP(A73,'Données projet'!$A$87:$I$107,3,0)),0,VLOOKUP(A73,'Données projet'!$A$87:$I$107,3,0))</f>
        <v>5</v>
      </c>
      <c r="BL73" s="16">
        <f>IF(ISNA(VLOOKUP(A73,'Données projet'!$A$87:$I$107,4,0)),0,VLOOKUP(A73,'Données projet'!$A$87:$I$107,4,0))</f>
        <v>42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263</v>
      </c>
      <c r="BW73" s="13">
        <f>VLOOKUP(A73,'Données projet'!$A$113:$I$133,9,0)</f>
        <v>6.8</v>
      </c>
      <c r="BX73" s="13">
        <f t="array" ref="BX73">INDEX(BW:BW,MIN(IF(ISNUMBER(BW73:BW269),ROW(BW73:BW269),"")))</f>
        <v>6.8</v>
      </c>
      <c r="BY73" s="13">
        <f>IF('Données projet'!$A$114&gt;35,BY72+BX73-CG72,IF(A73&lt;'Données projet'!$A$114,$BV$205^A73,IF(A73='Données projet'!$A$114,'Données projet'!$B$114,BY72+BX73-CG72)))</f>
        <v>262.99999999999994</v>
      </c>
      <c r="BZ73" s="14">
        <f>BY73*VLOOKUP('Données projet'!$B$12,Paramètres!$A$1:$I$89,3,0)*VLOOKUP('Données projet'!$B$12,Paramètres!$A$1:$I$89,5,0)</f>
        <v>254.37359999999998</v>
      </c>
      <c r="CA73" s="14">
        <f t="shared" si="93"/>
        <v>61.521534056516209</v>
      </c>
      <c r="CB73" s="22">
        <f t="shared" si="64"/>
        <v>550.1840251484324</v>
      </c>
      <c r="CC73" s="60">
        <f t="shared" si="65"/>
        <v>843.51735848176577</v>
      </c>
      <c r="CD73" s="60">
        <f ca="1">AVERAGE(OFFSET($CC$3,0,0,'Données projet'!$E$12+1,1))-AVERAGE(OFFSET($H$3,0,0,'Données projet'!$E$12+1,1))</f>
        <v>330.39429528665841</v>
      </c>
      <c r="CE73" s="60">
        <f t="shared" si="94"/>
        <v>186.45728006007261</v>
      </c>
      <c r="CF73" s="16">
        <f>IF(ISNA(VLOOKUP(A73,'Données projet'!$A$113:$I$133,3,0)),0,VLOOKUP(A73,'Données projet'!$A$113:$I$133,3,0))</f>
        <v>5</v>
      </c>
      <c r="CG73" s="16">
        <f>IF(ISNA(VLOOKUP(A73,'Données projet'!$A$113:$I$133,4,0)),0,VLOOKUP(A73,'Données projet'!$A$113:$I$133,4,0))</f>
        <v>42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263</v>
      </c>
      <c r="CR73" s="13">
        <f>VLOOKUP(A73,'Données projet'!$A$139:$I$159,9,0)</f>
        <v>6.8</v>
      </c>
      <c r="CS73" s="13">
        <f t="array" ref="CS73">INDEX(CR:CR,MIN(IF(ISNUMBER(CR73:CR269),ROW(CR73:CR269),"")))</f>
        <v>6.8</v>
      </c>
      <c r="CT73" s="13">
        <f>IF('Données projet'!$A$140&gt;35,CT72+CS73-DB72,IF(A73&lt;'Données projet'!$A$140,$CQ$205^A73,IF(A73='Données projet'!$A$140,'Données projet'!$B$140,CT72+CS73-DB72)))</f>
        <v>262.99999999999994</v>
      </c>
      <c r="CU73" s="18">
        <f>CT73*VLOOKUP('Données projet'!$B$13,Paramètres!$A$1:$I$89,3,0)*VLOOKUP('Données projet'!$B$13,Paramètres!$A$1:$I$89,5,0)</f>
        <v>283.09319999999991</v>
      </c>
      <c r="CV73" s="14">
        <f t="shared" si="95"/>
        <v>67.620272397048666</v>
      </c>
      <c r="CW73" s="22">
        <f t="shared" si="67"/>
        <v>610.82596442485954</v>
      </c>
      <c r="CX73" s="60">
        <f t="shared" si="68"/>
        <v>904.15929775819291</v>
      </c>
      <c r="CY73" s="60">
        <f ca="1">AVERAGE(OFFSET($CX$3,0,0,'Données projet'!$E$13+1,1))-AVERAGE(OFFSET($H$3,0,0,'Données projet'!$E$13+1,1))</f>
        <v>376.96388721258387</v>
      </c>
      <c r="CZ73" s="60">
        <f t="shared" si="96"/>
        <v>211.14628470344377</v>
      </c>
      <c r="DA73" s="16">
        <f>IF(ISNA(VLOOKUP(A73,'Données projet'!$A$139:$I$159,3,0)),0,VLOOKUP(A73,'Données projet'!$A$139:$I$159,3,0))</f>
        <v>5</v>
      </c>
      <c r="DB73" s="16">
        <f>IF(ISNA(VLOOKUP(A73,'Données projet'!$A$139:$I$159,4,0)),0,VLOOKUP(A73,'Données projet'!$A$139:$I$159,4,0))</f>
        <v>42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265.38461538461536</v>
      </c>
      <c r="DM73" s="13">
        <f>VLOOKUP(A73,'Données projet'!$A$165:$I$185,9,0)</f>
        <v>4.9999999999999947</v>
      </c>
      <c r="DN73" s="13">
        <f t="array" ref="DN73">INDEX(DM:DM,MIN(IF(ISNUMBER(DM73:DM269),ROW(DM73:DM269),"")))</f>
        <v>4.9999999999999947</v>
      </c>
      <c r="DO73" s="13">
        <f>IF('Données projet'!$A$166&gt;35,DO72+DN73-DW72,IF(A73&lt;'Données projet'!$A$166,$DL$205^A73,IF(A73='Données projet'!$A$166,'Données projet'!$B$166,DO72+DN73-DW72)))</f>
        <v>265.38461538461542</v>
      </c>
      <c r="DP73" s="18">
        <f>DO73*VLOOKUP('Données projet'!$B$14,Paramètres!$A$1:$I$89,3,0)*VLOOKUP('Données projet'!$B$14,Paramètres!$A$1:$I$89,5,0)</f>
        <v>178.02000000000004</v>
      </c>
      <c r="DQ73" s="14">
        <f t="shared" si="97"/>
        <v>44.881389467952083</v>
      </c>
      <c r="DR73" s="22">
        <f t="shared" si="70"/>
        <v>388.21991999001654</v>
      </c>
      <c r="DS73" s="60">
        <f t="shared" si="71"/>
        <v>681.55325332334985</v>
      </c>
      <c r="DT73" s="60">
        <f ca="1">AVERAGE(OFFSET($DS$3,0,0,'Données projet'!$E$14+1,1))-AVERAGE(OFFSET($H$3,0,0,'Données projet'!$E$14+1,1))</f>
        <v>212.33913923444732</v>
      </c>
      <c r="DU73" s="60">
        <f t="shared" si="98"/>
        <v>183.51194426094372</v>
      </c>
      <c r="DV73" s="16">
        <f>IF(ISNA(VLOOKUP(A73,'Données projet'!$A$165:$I$185,3,0)),0,VLOOKUP(A73,'Données projet'!$A$165:$I$185,3,0))</f>
        <v>6</v>
      </c>
      <c r="DW73" s="16">
        <f>IF(ISNA(VLOOKUP(A73,'Données projet'!$A$165:$I$185,4,0)),0,VLOOKUP(A73,'Données projet'!$A$165:$I$185,4,0))</f>
        <v>27.564102564102562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0" t="e">
        <f t="shared" si="74"/>
        <v>#N/A</v>
      </c>
      <c r="EO73" s="60" t="e">
        <f ca="1">AVERAGE(OFFSET($EN$3,0,0,'Données projet'!$E$15+1,1))-AVERAGE(OFFSET($H$3,0,0,'Données projet'!$E$15+1,1))</f>
        <v>#N/A</v>
      </c>
      <c r="EP73" s="60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0" t="e">
        <f t="shared" si="77"/>
        <v>#N/A</v>
      </c>
      <c r="FJ73" s="60" t="e">
        <f ca="1">AVERAGE(OFFSET($FI$3,0,0,'Données projet'!$E$16+1,1))-AVERAGE(OFFSET($H$3,0,0,'Données projet'!$E$16+1,1))</f>
        <v>#N/A</v>
      </c>
      <c r="FK73" s="60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0" t="e">
        <f t="shared" si="80"/>
        <v>#N/A</v>
      </c>
      <c r="GE73" s="60" t="e">
        <f ca="1">AVERAGE(OFFSET($GD$3,0,0,'Données projet'!$E$17+1,1))-AVERAGE(OFFSET($H$3,0,0,'Données projet'!$E$17+1,1))</f>
        <v>#N/A</v>
      </c>
      <c r="GF73" s="60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0" t="e">
        <f t="shared" si="83"/>
        <v>#N/A</v>
      </c>
      <c r="GZ73" s="60" t="e">
        <f ca="1">AVERAGE(OFFSET($GY$3,0,0,'Données projet'!$E$18+1,1))-AVERAGE(OFFSET($H$3,0,0,'Données projet'!$E$18+1,1))</f>
        <v>#N/A</v>
      </c>
      <c r="HA73" s="60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5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2">
        <f t="shared" si="86"/>
        <v>11.670980969085333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8">
        <f t="shared" si="56"/>
        <v>381.17774185449025</v>
      </c>
      <c r="I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9.9738461538461483</v>
      </c>
      <c r="N74" s="14">
        <f>IF('Données projet'!$A$36&gt;35,N73+M74-V73,IF(A74&lt;'Données projet'!$A$36,$K$205^A74,IF(A74='Données projet'!$A$36,'Données projet'!$B$36,N73+M74-V73)))</f>
        <v>320.58153846153857</v>
      </c>
      <c r="O74" s="14">
        <f>N74*VLOOKUP('Données projet'!$B$9,Paramètres!$A$1:$I$89,3,0)*VLOOKUP('Données projet'!$B$9,Paramètres!$A$1:$I$89,5,0)</f>
        <v>150.03216000000003</v>
      </c>
      <c r="P74" s="14">
        <f t="shared" si="87"/>
        <v>38.585894005067033</v>
      </c>
      <c r="Q74" s="22">
        <f t="shared" si="54"/>
        <v>328.50977739215841</v>
      </c>
      <c r="R74" s="60">
        <f t="shared" si="55"/>
        <v>621.84311072549167</v>
      </c>
      <c r="S74" s="60">
        <f ca="1">AVERAGE(OFFSET($R$3,0,0,'Données projet'!$E$9+1,1))-AVERAGE(OFFSET($H$3,0,0,'Données projet'!$E$9+1,1))</f>
        <v>146.40889017442277</v>
      </c>
      <c r="T74" s="60">
        <f t="shared" si="88"/>
        <v>70.859031694091868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7.6</v>
      </c>
      <c r="AI74" s="14">
        <f>IF('Données projet'!$A$62&gt;35,AI73+AH74-AQ73,IF(A74&lt;'Données projet'!$A$62,$AF$205^A74,IF(A74='Données projet'!$A$62,'Données projet'!$B$62,AI73+AH74-AQ73)))</f>
        <v>309.59999999999997</v>
      </c>
      <c r="AJ74" s="14">
        <f>AI74*VLOOKUP('Données projet'!$B$10,Paramètres!$A$1:$I$89,3,0)*VLOOKUP('Données projet'!$B$10,Paramètres!$A$1:$I$89,5,0)</f>
        <v>280.12607999999994</v>
      </c>
      <c r="AK74" s="14">
        <f t="shared" si="89"/>
        <v>66.993652511337999</v>
      </c>
      <c r="AL74" s="22">
        <f t="shared" si="58"/>
        <v>604.56686745724687</v>
      </c>
      <c r="AM74" s="60">
        <f t="shared" si="59"/>
        <v>897.90020079058013</v>
      </c>
      <c r="AN74" s="60">
        <f ca="1">AVERAGE(OFFSET($AM$3,0,0,'Données projet'!$E$10+1,1))-AVERAGE(OFFSET($H$3,0,0,'Données projet'!$E$10+1,1))</f>
        <v>404.14319681142746</v>
      </c>
      <c r="AO74" s="60">
        <f t="shared" si="90"/>
        <v>203.5274665601915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6.2</v>
      </c>
      <c r="BD74" s="13">
        <f>IF('Données projet'!$A$88&gt;35,BD73+BC74-BL73,IF(A74&lt;'Données projet'!$A$88,$BA$205^A74,IF(A74='Données projet'!$A$88,'Données projet'!$B$88,BD73+BC74-BL73)))</f>
        <v>227.19999999999993</v>
      </c>
      <c r="BE74" s="14">
        <f>BD74*VLOOKUP('Données projet'!$B$11,Paramètres!$A$1:$I$89,3,0)*VLOOKUP('Données projet'!$B$11,Paramètres!$A$1:$I$89,5,0)</f>
        <v>230.38079999999994</v>
      </c>
      <c r="BF74" s="14">
        <f t="shared" si="91"/>
        <v>56.365011465139979</v>
      </c>
      <c r="BG74" s="22">
        <f t="shared" si="61"/>
        <v>499.41562163511867</v>
      </c>
      <c r="BH74" s="60">
        <f t="shared" si="62"/>
        <v>792.74895496845193</v>
      </c>
      <c r="BI74" s="60">
        <f ca="1">AVERAGE(OFFSET($BH$3,0,0,'Données projet'!$E$11+1,1))-AVERAGE(OFFSET($H$3,0,0,'Données projet'!$E$11+1,1))</f>
        <v>350.3652766444938</v>
      </c>
      <c r="BJ74" s="60">
        <f t="shared" si="92"/>
        <v>197.04549436738586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6.2</v>
      </c>
      <c r="BY74" s="13">
        <f>IF('Données projet'!$A$114&gt;35,BY73+BX74-CG73,IF(A74&lt;'Données projet'!$A$114,$BV$205^A74,IF(A74='Données projet'!$A$114,'Données projet'!$B$114,BY73+BX74-CG73)))</f>
        <v>227.19999999999993</v>
      </c>
      <c r="BZ74" s="14">
        <f>BY74*VLOOKUP('Données projet'!$B$12,Paramètres!$A$1:$I$89,3,0)*VLOOKUP('Données projet'!$B$12,Paramètres!$A$1:$I$89,5,0)</f>
        <v>219.74783999999994</v>
      </c>
      <c r="CA74" s="14">
        <f t="shared" si="93"/>
        <v>54.060076332940561</v>
      </c>
      <c r="CB74" s="22">
        <f t="shared" si="64"/>
        <v>476.88212094653812</v>
      </c>
      <c r="CC74" s="60">
        <f t="shared" si="65"/>
        <v>770.21545427987144</v>
      </c>
      <c r="CD74" s="60">
        <f ca="1">AVERAGE(OFFSET($CC$3,0,0,'Données projet'!$E$12+1,1))-AVERAGE(OFFSET($H$3,0,0,'Données projet'!$E$12+1,1))</f>
        <v>330.39429528665841</v>
      </c>
      <c r="CE74" s="60">
        <f t="shared" si="94"/>
        <v>186.45728006007261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6.2</v>
      </c>
      <c r="CT74" s="13">
        <f>IF('Données projet'!$A$140&gt;35,CT73+CS74-DB73,IF(A74&lt;'Données projet'!$A$140,$CQ$205^A74,IF(A74='Données projet'!$A$140,'Données projet'!$B$140,CT73+CS74-DB73)))</f>
        <v>227.19999999999993</v>
      </c>
      <c r="CU74" s="18">
        <f>CT74*VLOOKUP('Données projet'!$B$13,Paramètres!$A$1:$I$89,3,0)*VLOOKUP('Données projet'!$B$13,Paramètres!$A$1:$I$89,5,0)</f>
        <v>244.55807999999993</v>
      </c>
      <c r="CV74" s="14">
        <f t="shared" si="95"/>
        <v>59.419147189674156</v>
      </c>
      <c r="CW74" s="22">
        <f t="shared" si="67"/>
        <v>529.42700402201569</v>
      </c>
      <c r="CX74" s="60">
        <f t="shared" si="68"/>
        <v>822.76033735534907</v>
      </c>
      <c r="CY74" s="60">
        <f ca="1">AVERAGE(OFFSET($CX$3,0,0,'Données projet'!$E$13+1,1))-AVERAGE(OFFSET($H$3,0,0,'Données projet'!$E$13+1,1))</f>
        <v>376.96388721258387</v>
      </c>
      <c r="CZ74" s="60">
        <f t="shared" si="96"/>
        <v>211.14628470344377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4.6153846153846247</v>
      </c>
      <c r="DO74" s="13">
        <f>IF('Données projet'!$A$166&gt;35,DO73+DN74-DW73,IF(A74&lt;'Données projet'!$A$166,$DL$205^A74,IF(A74='Données projet'!$A$166,'Données projet'!$B$166,DO73+DN74-DW73)))</f>
        <v>242.43589743589749</v>
      </c>
      <c r="DP74" s="18">
        <f>DO74*VLOOKUP('Données projet'!$B$14,Paramètres!$A$1:$I$89,3,0)*VLOOKUP('Données projet'!$B$14,Paramètres!$A$1:$I$89,5,0)</f>
        <v>162.62600000000003</v>
      </c>
      <c r="DQ74" s="14">
        <f t="shared" si="97"/>
        <v>41.43425469159893</v>
      </c>
      <c r="DR74" s="22">
        <f t="shared" si="70"/>
        <v>355.40494358786822</v>
      </c>
      <c r="DS74" s="60">
        <f t="shared" si="71"/>
        <v>648.73827692120153</v>
      </c>
      <c r="DT74" s="60">
        <f ca="1">AVERAGE(OFFSET($DS$3,0,0,'Données projet'!$E$14+1,1))-AVERAGE(OFFSET($H$3,0,0,'Données projet'!$E$14+1,1))</f>
        <v>212.33913923444732</v>
      </c>
      <c r="DU74" s="60">
        <f t="shared" si="98"/>
        <v>183.51194426094372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0" t="e">
        <f t="shared" si="74"/>
        <v>#N/A</v>
      </c>
      <c r="EO74" s="60" t="e">
        <f ca="1">AVERAGE(OFFSET($EN$3,0,0,'Données projet'!$E$15+1,1))-AVERAGE(OFFSET($H$3,0,0,'Données projet'!$E$15+1,1))</f>
        <v>#N/A</v>
      </c>
      <c r="EP74" s="60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0" t="e">
        <f t="shared" si="77"/>
        <v>#N/A</v>
      </c>
      <c r="FJ74" s="60" t="e">
        <f ca="1">AVERAGE(OFFSET($FI$3,0,0,'Données projet'!$E$16+1,1))-AVERAGE(OFFSET($H$3,0,0,'Données projet'!$E$16+1,1))</f>
        <v>#N/A</v>
      </c>
      <c r="FK74" s="60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0" t="e">
        <f t="shared" si="80"/>
        <v>#N/A</v>
      </c>
      <c r="GE74" s="60" t="e">
        <f ca="1">AVERAGE(OFFSET($GD$3,0,0,'Données projet'!$E$17+1,1))-AVERAGE(OFFSET($H$3,0,0,'Données projet'!$E$17+1,1))</f>
        <v>#N/A</v>
      </c>
      <c r="GF74" s="60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0" t="e">
        <f t="shared" si="83"/>
        <v>#N/A</v>
      </c>
      <c r="GZ74" s="60" t="e">
        <f ca="1">AVERAGE(OFFSET($GY$3,0,0,'Données projet'!$E$18+1,1))-AVERAGE(OFFSET($H$3,0,0,'Données projet'!$E$18+1,1))</f>
        <v>#N/A</v>
      </c>
      <c r="HA74" s="60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5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2">
        <f t="shared" si="86"/>
        <v>11.816108707618389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8">
        <f t="shared" si="56"/>
        <v>382.38145599910195</v>
      </c>
      <c r="I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9.9738461538461483</v>
      </c>
      <c r="N75" s="14">
        <f>IF('Données projet'!$A$36&gt;35,N74+M75-V74,IF(A75&lt;'Données projet'!$A$36,$K$205^A75,IF(A75='Données projet'!$A$36,'Données projet'!$B$36,N74+M75-V74)))</f>
        <v>330.5553846153847</v>
      </c>
      <c r="O75" s="14">
        <f>N75*VLOOKUP('Données projet'!$B$9,Paramètres!$A$1:$I$89,3,0)*VLOOKUP('Données projet'!$B$9,Paramètres!$A$1:$I$89,5,0)</f>
        <v>154.69992000000005</v>
      </c>
      <c r="P75" s="14">
        <f t="shared" si="87"/>
        <v>39.644733940773868</v>
      </c>
      <c r="Q75" s="22">
        <f t="shared" si="54"/>
        <v>338.48360561351461</v>
      </c>
      <c r="R75" s="60">
        <f t="shared" si="55"/>
        <v>631.81693894684793</v>
      </c>
      <c r="S75" s="60">
        <f ca="1">AVERAGE(OFFSET($R$3,0,0,'Données projet'!$E$9+1,1))-AVERAGE(OFFSET($H$3,0,0,'Données projet'!$E$9+1,1))</f>
        <v>146.40889017442277</v>
      </c>
      <c r="T75" s="60">
        <f t="shared" si="88"/>
        <v>70.859031694091868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7.6</v>
      </c>
      <c r="AI75" s="14">
        <f>IF('Données projet'!$A$62&gt;35,AI74+AH75-AQ74,IF(A75&lt;'Données projet'!$A$62,$AF$205^A75,IF(A75='Données projet'!$A$62,'Données projet'!$B$62,AI74+AH75-AQ74)))</f>
        <v>317.2</v>
      </c>
      <c r="AJ75" s="14">
        <f>AI75*VLOOKUP('Données projet'!$B$10,Paramètres!$A$1:$I$89,3,0)*VLOOKUP('Données projet'!$B$10,Paramètres!$A$1:$I$89,5,0)</f>
        <v>287.00255999999996</v>
      </c>
      <c r="AK75" s="14">
        <f t="shared" si="89"/>
        <v>68.444716936118553</v>
      </c>
      <c r="AL75" s="22">
        <f t="shared" si="58"/>
        <v>619.07067399707296</v>
      </c>
      <c r="AM75" s="60">
        <f t="shared" si="59"/>
        <v>912.40400733040633</v>
      </c>
      <c r="AN75" s="60">
        <f ca="1">AVERAGE(OFFSET($AM$3,0,0,'Données projet'!$E$10+1,1))-AVERAGE(OFFSET($H$3,0,0,'Données projet'!$E$10+1,1))</f>
        <v>404.14319681142746</v>
      </c>
      <c r="AO75" s="60">
        <f t="shared" si="90"/>
        <v>203.5274665601915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6.2</v>
      </c>
      <c r="BD75" s="13">
        <f>IF('Données projet'!$A$88&gt;35,BD74+BC75-BL74,IF(A75&lt;'Données projet'!$A$88,$BA$205^A75,IF(A75='Données projet'!$A$88,'Données projet'!$B$88,BD74+BC75-BL74)))</f>
        <v>233.39999999999992</v>
      </c>
      <c r="BE75" s="14">
        <f>BD75*VLOOKUP('Données projet'!$B$11,Paramètres!$A$1:$I$89,3,0)*VLOOKUP('Données projet'!$B$11,Paramètres!$A$1:$I$89,5,0)</f>
        <v>236.66759999999994</v>
      </c>
      <c r="BF75" s="14">
        <f t="shared" si="91"/>
        <v>57.721965974560838</v>
      </c>
      <c r="BG75" s="22">
        <f t="shared" si="61"/>
        <v>512.72849407235992</v>
      </c>
      <c r="BH75" s="60">
        <f t="shared" si="62"/>
        <v>806.06182740569329</v>
      </c>
      <c r="BI75" s="60">
        <f ca="1">AVERAGE(OFFSET($BH$3,0,0,'Données projet'!$E$11+1,1))-AVERAGE(OFFSET($H$3,0,0,'Données projet'!$E$11+1,1))</f>
        <v>350.3652766444938</v>
      </c>
      <c r="BJ75" s="60">
        <f t="shared" si="92"/>
        <v>197.04549436738586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6.2</v>
      </c>
      <c r="BY75" s="13">
        <f>IF('Données projet'!$A$114&gt;35,BY74+BX75-CG74,IF(A75&lt;'Données projet'!$A$114,$BV$205^A75,IF(A75='Données projet'!$A$114,'Données projet'!$B$114,BY74+BX75-CG74)))</f>
        <v>233.39999999999992</v>
      </c>
      <c r="BZ75" s="14">
        <f>BY75*VLOOKUP('Données projet'!$B$12,Paramètres!$A$1:$I$89,3,0)*VLOOKUP('Données projet'!$B$12,Paramètres!$A$1:$I$89,5,0)</f>
        <v>225.74447999999992</v>
      </c>
      <c r="CA75" s="14">
        <f t="shared" si="93"/>
        <v>55.36154088431374</v>
      </c>
      <c r="CB75" s="22">
        <f t="shared" si="64"/>
        <v>489.59298637351299</v>
      </c>
      <c r="CC75" s="60">
        <f t="shared" si="65"/>
        <v>782.92631970684624</v>
      </c>
      <c r="CD75" s="60">
        <f ca="1">AVERAGE(OFFSET($CC$3,0,0,'Données projet'!$E$12+1,1))-AVERAGE(OFFSET($H$3,0,0,'Données projet'!$E$12+1,1))</f>
        <v>330.39429528665841</v>
      </c>
      <c r="CE75" s="60">
        <f t="shared" si="94"/>
        <v>186.45728006007261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6.2</v>
      </c>
      <c r="CT75" s="13">
        <f>IF('Données projet'!$A$140&gt;35,CT74+CS75-DB74,IF(A75&lt;'Données projet'!$A$140,$CQ$205^A75,IF(A75='Données projet'!$A$140,'Données projet'!$B$140,CT74+CS75-DB74)))</f>
        <v>233.39999999999992</v>
      </c>
      <c r="CU75" s="18">
        <f>CT75*VLOOKUP('Données projet'!$B$13,Paramètres!$A$1:$I$89,3,0)*VLOOKUP('Données projet'!$B$13,Paramètres!$A$1:$I$89,5,0)</f>
        <v>251.23175999999989</v>
      </c>
      <c r="CV75" s="14">
        <f t="shared" si="95"/>
        <v>60.849628220886878</v>
      </c>
      <c r="CW75" s="22">
        <f t="shared" si="67"/>
        <v>543.54175115137775</v>
      </c>
      <c r="CX75" s="60">
        <f t="shared" si="68"/>
        <v>836.87508448471112</v>
      </c>
      <c r="CY75" s="60">
        <f ca="1">AVERAGE(OFFSET($CX$3,0,0,'Données projet'!$E$13+1,1))-AVERAGE(OFFSET($H$3,0,0,'Données projet'!$E$13+1,1))</f>
        <v>376.96388721258387</v>
      </c>
      <c r="CZ75" s="60">
        <f t="shared" si="96"/>
        <v>211.14628470344377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4.6153846153846247</v>
      </c>
      <c r="DO75" s="13">
        <f>IF('Données projet'!$A$166&gt;35,DO74+DN75-DW74,IF(A75&lt;'Données projet'!$A$166,$DL$205^A75,IF(A75='Données projet'!$A$166,'Données projet'!$B$166,DO74+DN75-DW74)))</f>
        <v>247.0512820512821</v>
      </c>
      <c r="DP75" s="18">
        <f>DO75*VLOOKUP('Données projet'!$B$14,Paramètres!$A$1:$I$89,3,0)*VLOOKUP('Données projet'!$B$14,Paramètres!$A$1:$I$89,5,0)</f>
        <v>165.72200000000004</v>
      </c>
      <c r="DQ75" s="14">
        <f t="shared" si="97"/>
        <v>42.130477313738041</v>
      </c>
      <c r="DR75" s="22">
        <f t="shared" si="70"/>
        <v>362.00973132142713</v>
      </c>
      <c r="DS75" s="60">
        <f t="shared" si="71"/>
        <v>655.34306465476038</v>
      </c>
      <c r="DT75" s="60">
        <f ca="1">AVERAGE(OFFSET($DS$3,0,0,'Données projet'!$E$14+1,1))-AVERAGE(OFFSET($H$3,0,0,'Données projet'!$E$14+1,1))</f>
        <v>212.33913923444732</v>
      </c>
      <c r="DU75" s="60">
        <f t="shared" si="98"/>
        <v>183.51194426094372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0" t="e">
        <f t="shared" si="74"/>
        <v>#N/A</v>
      </c>
      <c r="EO75" s="60" t="e">
        <f ca="1">AVERAGE(OFFSET($EN$3,0,0,'Données projet'!$E$15+1,1))-AVERAGE(OFFSET($H$3,0,0,'Données projet'!$E$15+1,1))</f>
        <v>#N/A</v>
      </c>
      <c r="EP75" s="60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0" t="e">
        <f t="shared" si="77"/>
        <v>#N/A</v>
      </c>
      <c r="FJ75" s="60" t="e">
        <f ca="1">AVERAGE(OFFSET($FI$3,0,0,'Données projet'!$E$16+1,1))-AVERAGE(OFFSET($H$3,0,0,'Données projet'!$E$16+1,1))</f>
        <v>#N/A</v>
      </c>
      <c r="FK75" s="60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0" t="e">
        <f t="shared" si="80"/>
        <v>#N/A</v>
      </c>
      <c r="GE75" s="60" t="e">
        <f ca="1">AVERAGE(OFFSET($GD$3,0,0,'Données projet'!$E$17+1,1))-AVERAGE(OFFSET($H$3,0,0,'Données projet'!$E$17+1,1))</f>
        <v>#N/A</v>
      </c>
      <c r="GF75" s="60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0" t="e">
        <f t="shared" si="83"/>
        <v>#N/A</v>
      </c>
      <c r="GZ75" s="60" t="e">
        <f ca="1">AVERAGE(OFFSET($GY$3,0,0,'Données projet'!$E$18+1,1))-AVERAGE(OFFSET($H$3,0,0,'Données projet'!$E$18+1,1))</f>
        <v>#N/A</v>
      </c>
      <c r="HA75" s="60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5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2">
        <f t="shared" si="86"/>
        <v>11.961002004555786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8">
        <f t="shared" si="56"/>
        <v>383.58476182460123</v>
      </c>
      <c r="I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9.9738461538461483</v>
      </c>
      <c r="N76" s="14">
        <f>IF('Données projet'!$A$36&gt;35,N75+M76-V75,IF(A76&lt;'Données projet'!$A$36,$K$205^A76,IF(A76='Données projet'!$A$36,'Données projet'!$B$36,N75+M76-V75)))</f>
        <v>340.52923076923082</v>
      </c>
      <c r="O76" s="14">
        <f>N76*VLOOKUP('Données projet'!$B$9,Paramètres!$A$1:$I$89,3,0)*VLOOKUP('Données projet'!$B$9,Paramètres!$A$1:$I$89,5,0)</f>
        <v>159.36768000000004</v>
      </c>
      <c r="P76" s="14">
        <f t="shared" si="87"/>
        <v>40.69986101346781</v>
      </c>
      <c r="Q76" s="22">
        <f t="shared" si="54"/>
        <v>348.45096726512315</v>
      </c>
      <c r="R76" s="60">
        <f t="shared" si="55"/>
        <v>641.78430059845641</v>
      </c>
      <c r="S76" s="60">
        <f ca="1">AVERAGE(OFFSET($R$3,0,0,'Données projet'!$E$9+1,1))-AVERAGE(OFFSET($H$3,0,0,'Données projet'!$E$9+1,1))</f>
        <v>146.40889017442277</v>
      </c>
      <c r="T76" s="60">
        <f t="shared" si="88"/>
        <v>70.859031694091868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7.6</v>
      </c>
      <c r="AI76" s="14">
        <f>IF('Données projet'!$A$62&gt;35,AI75+AH76-AQ75,IF(A76&lt;'Données projet'!$A$62,$AF$205^A76,IF(A76='Données projet'!$A$62,'Données projet'!$B$62,AI75+AH76-AQ75)))</f>
        <v>324.8</v>
      </c>
      <c r="AJ76" s="14">
        <f>AI76*VLOOKUP('Données projet'!$B$10,Paramètres!$A$1:$I$89,3,0)*VLOOKUP('Données projet'!$B$10,Paramètres!$A$1:$I$89,5,0)</f>
        <v>293.87903999999997</v>
      </c>
      <c r="AK76" s="14">
        <f t="shared" si="89"/>
        <v>69.891739712361669</v>
      </c>
      <c r="AL76" s="22">
        <f t="shared" si="58"/>
        <v>633.56744133236327</v>
      </c>
      <c r="AM76" s="60">
        <f t="shared" si="59"/>
        <v>926.90077466569664</v>
      </c>
      <c r="AN76" s="60">
        <f ca="1">AVERAGE(OFFSET($AM$3,0,0,'Données projet'!$E$10+1,1))-AVERAGE(OFFSET($H$3,0,0,'Données projet'!$E$10+1,1))</f>
        <v>404.14319681142746</v>
      </c>
      <c r="AO76" s="60">
        <f t="shared" si="90"/>
        <v>203.5274665601915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6.2</v>
      </c>
      <c r="BD76" s="13">
        <f>IF('Données projet'!$A$88&gt;35,BD75+BC76-BL75,IF(A76&lt;'Données projet'!$A$88,$BA$205^A76,IF(A76='Données projet'!$A$88,'Données projet'!$B$88,BD75+BC76-BL75)))</f>
        <v>239.59999999999991</v>
      </c>
      <c r="BE76" s="14">
        <f>BD76*VLOOKUP('Données projet'!$B$11,Paramètres!$A$1:$I$89,3,0)*VLOOKUP('Données projet'!$B$11,Paramètres!$A$1:$I$89,5,0)</f>
        <v>242.95439999999994</v>
      </c>
      <c r="BF76" s="14">
        <f t="shared" si="91"/>
        <v>59.074730698078945</v>
      </c>
      <c r="BG76" s="22">
        <f t="shared" si="61"/>
        <v>526.034069299154</v>
      </c>
      <c r="BH76" s="60">
        <f t="shared" si="62"/>
        <v>819.36740263248726</v>
      </c>
      <c r="BI76" s="60">
        <f ca="1">AVERAGE(OFFSET($BH$3,0,0,'Données projet'!$E$11+1,1))-AVERAGE(OFFSET($H$3,0,0,'Données projet'!$E$11+1,1))</f>
        <v>350.3652766444938</v>
      </c>
      <c r="BJ76" s="60">
        <f t="shared" si="92"/>
        <v>197.04549436738586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6.2</v>
      </c>
      <c r="BY76" s="13">
        <f>IF('Données projet'!$A$114&gt;35,BY75+BX76-CG75,IF(A76&lt;'Données projet'!$A$114,$BV$205^A76,IF(A76='Données projet'!$A$114,'Données projet'!$B$114,BY75+BX76-CG75)))</f>
        <v>239.59999999999991</v>
      </c>
      <c r="BZ76" s="14">
        <f>BY76*VLOOKUP('Données projet'!$B$12,Paramètres!$A$1:$I$89,3,0)*VLOOKUP('Données projet'!$B$12,Paramètres!$A$1:$I$89,5,0)</f>
        <v>231.74111999999991</v>
      </c>
      <c r="CA76" s="14">
        <f t="shared" si="93"/>
        <v>56.658986982752438</v>
      </c>
      <c r="CB76" s="22">
        <f t="shared" si="64"/>
        <v>502.29685299496032</v>
      </c>
      <c r="CC76" s="60">
        <f t="shared" si="65"/>
        <v>795.63018632829358</v>
      </c>
      <c r="CD76" s="60">
        <f ca="1">AVERAGE(OFFSET($CC$3,0,0,'Données projet'!$E$12+1,1))-AVERAGE(OFFSET($H$3,0,0,'Données projet'!$E$12+1,1))</f>
        <v>330.39429528665841</v>
      </c>
      <c r="CE76" s="60">
        <f t="shared" si="94"/>
        <v>186.45728006007261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6.2</v>
      </c>
      <c r="CT76" s="13">
        <f>IF('Données projet'!$A$140&gt;35,CT75+CS76-DB75,IF(A76&lt;'Données projet'!$A$140,$CQ$205^A76,IF(A76='Données projet'!$A$140,'Données projet'!$B$140,CT75+CS76-DB75)))</f>
        <v>239.59999999999991</v>
      </c>
      <c r="CU76" s="18">
        <f>CT76*VLOOKUP('Données projet'!$B$13,Paramètres!$A$1:$I$89,3,0)*VLOOKUP('Données projet'!$B$13,Paramètres!$A$1:$I$89,5,0)</f>
        <v>257.90543999999989</v>
      </c>
      <c r="CV76" s="14">
        <f t="shared" si="95"/>
        <v>62.275692442827719</v>
      </c>
      <c r="CW76" s="22">
        <f t="shared" si="67"/>
        <v>557.64880567125817</v>
      </c>
      <c r="CX76" s="60">
        <f t="shared" si="68"/>
        <v>850.98213900459155</v>
      </c>
      <c r="CY76" s="60">
        <f ca="1">AVERAGE(OFFSET($CX$3,0,0,'Données projet'!$E$13+1,1))-AVERAGE(OFFSET($H$3,0,0,'Données projet'!$E$13+1,1))</f>
        <v>376.96388721258387</v>
      </c>
      <c r="CZ76" s="60">
        <f t="shared" si="96"/>
        <v>211.14628470344377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4.6153846153846247</v>
      </c>
      <c r="DO76" s="13">
        <f>IF('Données projet'!$A$166&gt;35,DO75+DN76-DW75,IF(A76&lt;'Données projet'!$A$166,$DL$205^A76,IF(A76='Données projet'!$A$166,'Données projet'!$B$166,DO75+DN76-DW75)))</f>
        <v>251.66666666666671</v>
      </c>
      <c r="DP76" s="18">
        <f>DO76*VLOOKUP('Données projet'!$B$14,Paramètres!$A$1:$I$89,3,0)*VLOOKUP('Données projet'!$B$14,Paramètres!$A$1:$I$89,5,0)</f>
        <v>168.81800000000004</v>
      </c>
      <c r="DQ76" s="14">
        <f t="shared" si="97"/>
        <v>42.825187501685285</v>
      </c>
      <c r="DR76" s="22">
        <f t="shared" si="70"/>
        <v>368.61188489876866</v>
      </c>
      <c r="DS76" s="60">
        <f t="shared" si="71"/>
        <v>661.94521823210198</v>
      </c>
      <c r="DT76" s="60">
        <f ca="1">AVERAGE(OFFSET($DS$3,0,0,'Données projet'!$E$14+1,1))-AVERAGE(OFFSET($H$3,0,0,'Données projet'!$E$14+1,1))</f>
        <v>212.33913923444732</v>
      </c>
      <c r="DU76" s="60">
        <f t="shared" si="98"/>
        <v>183.51194426094372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0" t="e">
        <f t="shared" si="74"/>
        <v>#N/A</v>
      </c>
      <c r="EO76" s="60" t="e">
        <f ca="1">AVERAGE(OFFSET($EN$3,0,0,'Données projet'!$E$15+1,1))-AVERAGE(OFFSET($H$3,0,0,'Données projet'!$E$15+1,1))</f>
        <v>#N/A</v>
      </c>
      <c r="EP76" s="60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0" t="e">
        <f t="shared" si="77"/>
        <v>#N/A</v>
      </c>
      <c r="FJ76" s="60" t="e">
        <f ca="1">AVERAGE(OFFSET($FI$3,0,0,'Données projet'!$E$16+1,1))-AVERAGE(OFFSET($H$3,0,0,'Données projet'!$E$16+1,1))</f>
        <v>#N/A</v>
      </c>
      <c r="FK76" s="60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0" t="e">
        <f t="shared" si="80"/>
        <v>#N/A</v>
      </c>
      <c r="GE76" s="60" t="e">
        <f ca="1">AVERAGE(OFFSET($GD$3,0,0,'Données projet'!$E$17+1,1))-AVERAGE(OFFSET($H$3,0,0,'Données projet'!$E$17+1,1))</f>
        <v>#N/A</v>
      </c>
      <c r="GF76" s="60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0" t="e">
        <f t="shared" si="83"/>
        <v>#N/A</v>
      </c>
      <c r="GZ76" s="60" t="e">
        <f ca="1">AVERAGE(OFFSET($GY$3,0,0,'Données projet'!$E$18+1,1))-AVERAGE(OFFSET($H$3,0,0,'Données projet'!$E$18+1,1))</f>
        <v>#N/A</v>
      </c>
      <c r="HA76" s="60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5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2">
        <f t="shared" si="86"/>
        <v>12.105664442616701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8">
        <f t="shared" si="56"/>
        <v>384.78766557089068</v>
      </c>
      <c r="I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9.9738461538461483</v>
      </c>
      <c r="N77" s="14">
        <f>IF('Données projet'!$A$36&gt;35,N76+M77-V76,IF(A77&lt;'Données projet'!$A$36,$K$205^A77,IF(A77='Données projet'!$A$36,'Données projet'!$B$36,N76+M77-V76)))</f>
        <v>350.50307692307695</v>
      </c>
      <c r="O77" s="14">
        <f>N77*VLOOKUP('Données projet'!$B$9,Paramètres!$A$1:$I$89,3,0)*VLOOKUP('Données projet'!$B$9,Paramètres!$A$1:$I$89,5,0)</f>
        <v>164.03543999999999</v>
      </c>
      <c r="P77" s="14">
        <f t="shared" si="87"/>
        <v>41.751396456696057</v>
      </c>
      <c r="Q77" s="22">
        <f t="shared" si="54"/>
        <v>358.41207349541224</v>
      </c>
      <c r="R77" s="60">
        <f t="shared" si="55"/>
        <v>651.74540682874556</v>
      </c>
      <c r="S77" s="60">
        <f ca="1">AVERAGE(OFFSET($R$3,0,0,'Données projet'!$E$9+1,1))-AVERAGE(OFFSET($H$3,0,0,'Données projet'!$E$9+1,1))</f>
        <v>146.40889017442277</v>
      </c>
      <c r="T77" s="60">
        <f t="shared" si="88"/>
        <v>70.859031694091868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7.6</v>
      </c>
      <c r="AI77" s="14">
        <f>IF('Données projet'!$A$62&gt;35,AI76+AH77-AQ76,IF(A77&lt;'Données projet'!$A$62,$AF$205^A77,IF(A77='Données projet'!$A$62,'Données projet'!$B$62,AI76+AH77-AQ76)))</f>
        <v>332.40000000000003</v>
      </c>
      <c r="AJ77" s="14">
        <f>AI77*VLOOKUP('Données projet'!$B$10,Paramètres!$A$1:$I$89,3,0)*VLOOKUP('Données projet'!$B$10,Paramètres!$A$1:$I$89,5,0)</f>
        <v>300.75551999999999</v>
      </c>
      <c r="AK77" s="14">
        <f t="shared" si="89"/>
        <v>71.334826294482014</v>
      </c>
      <c r="AL77" s="22">
        <f t="shared" si="58"/>
        <v>648.05735312955619</v>
      </c>
      <c r="AM77" s="60">
        <f t="shared" si="59"/>
        <v>941.39068646288956</v>
      </c>
      <c r="AN77" s="60">
        <f ca="1">AVERAGE(OFFSET($AM$3,0,0,'Données projet'!$E$10+1,1))-AVERAGE(OFFSET($H$3,0,0,'Données projet'!$E$10+1,1))</f>
        <v>404.14319681142746</v>
      </c>
      <c r="AO77" s="60">
        <f t="shared" si="90"/>
        <v>203.5274665601915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6.2</v>
      </c>
      <c r="BD77" s="13">
        <f>IF('Données projet'!$A$88&gt;35,BD76+BC77-BL76,IF(A77&lt;'Données projet'!$A$88,$BA$205^A77,IF(A77='Données projet'!$A$88,'Données projet'!$B$88,BD76+BC77-BL76)))</f>
        <v>245.7999999999999</v>
      </c>
      <c r="BE77" s="14">
        <f>BD77*VLOOKUP('Données projet'!$B$11,Paramètres!$A$1:$I$89,3,0)*VLOOKUP('Données projet'!$B$11,Paramètres!$A$1:$I$89,5,0)</f>
        <v>249.24119999999988</v>
      </c>
      <c r="BF77" s="14">
        <f t="shared" si="91"/>
        <v>60.42342651744687</v>
      </c>
      <c r="BG77" s="22">
        <f t="shared" si="61"/>
        <v>539.3325578512198</v>
      </c>
      <c r="BH77" s="60">
        <f t="shared" si="62"/>
        <v>832.66589118455317</v>
      </c>
      <c r="BI77" s="60">
        <f ca="1">AVERAGE(OFFSET($BH$3,0,0,'Données projet'!$E$11+1,1))-AVERAGE(OFFSET($H$3,0,0,'Données projet'!$E$11+1,1))</f>
        <v>350.3652766444938</v>
      </c>
      <c r="BJ77" s="60">
        <f t="shared" si="92"/>
        <v>197.04549436738586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6.2</v>
      </c>
      <c r="BY77" s="13">
        <f>IF('Données projet'!$A$114&gt;35,BY76+BX77-CG76,IF(A77&lt;'Données projet'!$A$114,$BV$205^A77,IF(A77='Données projet'!$A$114,'Données projet'!$B$114,BY76+BX77-CG76)))</f>
        <v>245.7999999999999</v>
      </c>
      <c r="BZ77" s="14">
        <f>BY77*VLOOKUP('Données projet'!$B$12,Paramètres!$A$1:$I$89,3,0)*VLOOKUP('Données projet'!$B$12,Paramètres!$A$1:$I$89,5,0)</f>
        <v>237.73775999999989</v>
      </c>
      <c r="CA77" s="14">
        <f t="shared" si="93"/>
        <v>57.952530566790166</v>
      </c>
      <c r="CB77" s="22">
        <f t="shared" si="64"/>
        <v>514.99392273715932</v>
      </c>
      <c r="CC77" s="60">
        <f t="shared" si="65"/>
        <v>808.32725607049269</v>
      </c>
      <c r="CD77" s="60">
        <f ca="1">AVERAGE(OFFSET($CC$3,0,0,'Données projet'!$E$12+1,1))-AVERAGE(OFFSET($H$3,0,0,'Données projet'!$E$12+1,1))</f>
        <v>330.39429528665841</v>
      </c>
      <c r="CE77" s="60">
        <f t="shared" si="94"/>
        <v>186.45728006007261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6.2</v>
      </c>
      <c r="CT77" s="13">
        <f>IF('Données projet'!$A$140&gt;35,CT76+CS77-DB76,IF(A77&lt;'Données projet'!$A$140,$CQ$205^A77,IF(A77='Données projet'!$A$140,'Données projet'!$B$140,CT76+CS77-DB76)))</f>
        <v>245.7999999999999</v>
      </c>
      <c r="CU77" s="18">
        <f>CT77*VLOOKUP('Données projet'!$B$13,Paramètres!$A$1:$I$89,3,0)*VLOOKUP('Données projet'!$B$13,Paramètres!$A$1:$I$89,5,0)</f>
        <v>264.57911999999988</v>
      </c>
      <c r="CV77" s="14">
        <f t="shared" si="95"/>
        <v>63.697467287221869</v>
      </c>
      <c r="CW77" s="22">
        <f t="shared" si="67"/>
        <v>571.74838952524453</v>
      </c>
      <c r="CX77" s="60">
        <f t="shared" si="68"/>
        <v>865.0817228585779</v>
      </c>
      <c r="CY77" s="60">
        <f ca="1">AVERAGE(OFFSET($CX$3,0,0,'Données projet'!$E$13+1,1))-AVERAGE(OFFSET($H$3,0,0,'Données projet'!$E$13+1,1))</f>
        <v>376.96388721258387</v>
      </c>
      <c r="CZ77" s="60">
        <f t="shared" si="96"/>
        <v>211.14628470344377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4.6153846153846247</v>
      </c>
      <c r="DO77" s="13">
        <f>IF('Données projet'!$A$166&gt;35,DO76+DN77-DW76,IF(A77&lt;'Données projet'!$A$166,$DL$205^A77,IF(A77='Données projet'!$A$166,'Données projet'!$B$166,DO76+DN77-DW76)))</f>
        <v>256.28205128205133</v>
      </c>
      <c r="DP77" s="18">
        <f>DO77*VLOOKUP('Données projet'!$B$14,Paramètres!$A$1:$I$89,3,0)*VLOOKUP('Données projet'!$B$14,Paramètres!$A$1:$I$89,5,0)</f>
        <v>171.91400000000002</v>
      </c>
      <c r="DQ77" s="14">
        <f t="shared" si="97"/>
        <v>43.518416191440224</v>
      </c>
      <c r="DR77" s="22">
        <f t="shared" si="70"/>
        <v>375.21145820009173</v>
      </c>
      <c r="DS77" s="60">
        <f t="shared" si="71"/>
        <v>668.54479153342504</v>
      </c>
      <c r="DT77" s="60">
        <f ca="1">AVERAGE(OFFSET($DS$3,0,0,'Données projet'!$E$14+1,1))-AVERAGE(OFFSET($H$3,0,0,'Données projet'!$E$14+1,1))</f>
        <v>212.33913923444732</v>
      </c>
      <c r="DU77" s="60">
        <f t="shared" si="98"/>
        <v>183.51194426094372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0" t="e">
        <f t="shared" si="74"/>
        <v>#N/A</v>
      </c>
      <c r="EO77" s="60" t="e">
        <f ca="1">AVERAGE(OFFSET($EN$3,0,0,'Données projet'!$E$15+1,1))-AVERAGE(OFFSET($H$3,0,0,'Données projet'!$E$15+1,1))</f>
        <v>#N/A</v>
      </c>
      <c r="EP77" s="60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0" t="e">
        <f t="shared" si="77"/>
        <v>#N/A</v>
      </c>
      <c r="FJ77" s="60" t="e">
        <f ca="1">AVERAGE(OFFSET($FI$3,0,0,'Données projet'!$E$16+1,1))-AVERAGE(OFFSET($H$3,0,0,'Données projet'!$E$16+1,1))</f>
        <v>#N/A</v>
      </c>
      <c r="FK77" s="60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0" t="e">
        <f t="shared" si="80"/>
        <v>#N/A</v>
      </c>
      <c r="GE77" s="60" t="e">
        <f ca="1">AVERAGE(OFFSET($GD$3,0,0,'Données projet'!$E$17+1,1))-AVERAGE(OFFSET($H$3,0,0,'Données projet'!$E$17+1,1))</f>
        <v>#N/A</v>
      </c>
      <c r="GF77" s="60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0" t="e">
        <f t="shared" si="83"/>
        <v>#N/A</v>
      </c>
      <c r="GZ77" s="60" t="e">
        <f ca="1">AVERAGE(OFFSET($GY$3,0,0,'Données projet'!$E$18+1,1))-AVERAGE(OFFSET($H$3,0,0,'Données projet'!$E$18+1,1))</f>
        <v>#N/A</v>
      </c>
      <c r="HA77" s="60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5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2">
        <f t="shared" si="86"/>
        <v>12.250099502125838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8">
        <f t="shared" si="56"/>
        <v>385.99017329953574</v>
      </c>
      <c r="I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360.47692307692307</v>
      </c>
      <c r="L78" s="13">
        <f>VLOOKUP(A78,'Données projet'!$A$35:$I$55,9,0)</f>
        <v>9.9738461538461483</v>
      </c>
      <c r="M78" s="13">
        <f t="array" ref="M78">INDEX(L:L,MIN(IF(ISNUMBER(L78:L274),ROW(L78:L274),"")))</f>
        <v>9.9738461538461483</v>
      </c>
      <c r="N78" s="14">
        <f>IF('Données projet'!$A$36&gt;35,N77+M78-V77,IF(A78&lt;'Données projet'!$A$36,$K$205^A78,IF(A78='Données projet'!$A$36,'Données projet'!$B$36,N77+M78-V77)))</f>
        <v>360.47692307692307</v>
      </c>
      <c r="O78" s="14">
        <f>N78*VLOOKUP('Données projet'!$B$9,Paramètres!$A$1:$I$89,3,0)*VLOOKUP('Données projet'!$B$9,Paramètres!$A$1:$I$89,5,0)</f>
        <v>168.70319999999998</v>
      </c>
      <c r="P78" s="14">
        <f t="shared" si="87"/>
        <v>42.799454211954611</v>
      </c>
      <c r="Q78" s="22">
        <f t="shared" si="54"/>
        <v>368.3671227524876</v>
      </c>
      <c r="R78" s="60">
        <f t="shared" si="55"/>
        <v>661.70045608582086</v>
      </c>
      <c r="S78" s="60">
        <f ca="1">AVERAGE(OFFSET($R$3,0,0,'Données projet'!$E$9+1,1))-AVERAGE(OFFSET($H$3,0,0,'Données projet'!$E$9+1,1))</f>
        <v>146.40889017442277</v>
      </c>
      <c r="T78" s="60">
        <f t="shared" si="88"/>
        <v>70.859031694091868</v>
      </c>
      <c r="U78" s="16">
        <f>IF(ISNA(VLOOKUP(A78,'Données projet'!$A$35:$I$55,3,0)),0,VLOOKUP(A78,'Données projet'!$A$35:$I$55,3,0))</f>
        <v>3</v>
      </c>
      <c r="V78" s="16">
        <f>IF(ISNA(VLOOKUP(A78,'Données projet'!$A$35:$I$55,4,0)),0,VLOOKUP(A78,'Données projet'!$A$35:$I$55,4,0))</f>
        <v>85.361538461538458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340</v>
      </c>
      <c r="AG78" s="13">
        <f>VLOOKUP(A78,'Données projet'!$A$61:$I$81,9,0)</f>
        <v>7.6</v>
      </c>
      <c r="AH78" s="13">
        <f t="array" ref="AH78">INDEX(AG:AG,MIN(IF(ISNUMBER(AG78:AG274),ROW(AG78:AG274),"")))</f>
        <v>7.6</v>
      </c>
      <c r="AI78" s="14">
        <f>IF('Données projet'!$A$62&gt;35,AI77+AH78-AQ77,IF(A78&lt;'Données projet'!$A$62,$AF$205^A78,IF(A78='Données projet'!$A$62,'Données projet'!$B$62,AI77+AH78-AQ77)))</f>
        <v>340.00000000000006</v>
      </c>
      <c r="AJ78" s="14">
        <f>AI78*VLOOKUP('Données projet'!$B$10,Paramètres!$A$1:$I$89,3,0)*VLOOKUP('Données projet'!$B$10,Paramètres!$A$1:$I$89,5,0)</f>
        <v>307.63200000000006</v>
      </c>
      <c r="AK78" s="14">
        <f t="shared" si="89"/>
        <v>72.774077039465567</v>
      </c>
      <c r="AL78" s="22">
        <f t="shared" si="58"/>
        <v>662.54058417706926</v>
      </c>
      <c r="AM78" s="60">
        <f t="shared" si="59"/>
        <v>955.87391751040263</v>
      </c>
      <c r="AN78" s="60">
        <f ca="1">AVERAGE(OFFSET($AM$3,0,0,'Données projet'!$E$10+1,1))-AVERAGE(OFFSET($H$3,0,0,'Données projet'!$E$10+1,1))</f>
        <v>404.14319681142746</v>
      </c>
      <c r="AO78" s="60">
        <f t="shared" si="90"/>
        <v>203.5274665601915</v>
      </c>
      <c r="AP78" s="16">
        <f>IF(ISNA(VLOOKUP(A78,'Données projet'!$A$61:$I$81,3,0)),0,VLOOKUP(A78,'Données projet'!$A$61:$I$81,3,0))</f>
        <v>6</v>
      </c>
      <c r="AQ78" s="16">
        <f>IF(ISNA(VLOOKUP(A78,'Données projet'!$A$61:$I$81,4,0)),0,VLOOKUP(A78,'Données projet'!$A$61:$I$81,4,0))</f>
        <v>56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252</v>
      </c>
      <c r="BB78" s="13">
        <f>VLOOKUP(A78,'Données projet'!$A$87:$I$107,9,0)</f>
        <v>6.2</v>
      </c>
      <c r="BC78" s="13">
        <f t="array" ref="BC78">INDEX(BB:BB,MIN(IF(ISNUMBER(BB78:BB274),ROW(BB78:BB274),"")))</f>
        <v>6.2</v>
      </c>
      <c r="BD78" s="13">
        <f>IF('Données projet'!$A$88&gt;35,BD77+BC78-BL77,IF(A78&lt;'Données projet'!$A$88,$BA$205^A78,IF(A78='Données projet'!$A$88,'Données projet'!$B$88,BD77+BC78-BL77)))</f>
        <v>251.99999999999989</v>
      </c>
      <c r="BE78" s="14">
        <f>BD78*VLOOKUP('Données projet'!$B$11,Paramètres!$A$1:$I$89,3,0)*VLOOKUP('Données projet'!$B$11,Paramètres!$A$1:$I$89,5,0)</f>
        <v>255.52799999999991</v>
      </c>
      <c r="BF78" s="14">
        <f t="shared" si="91"/>
        <v>61.768167868721477</v>
      </c>
      <c r="BG78" s="22">
        <f t="shared" si="61"/>
        <v>552.62415903802309</v>
      </c>
      <c r="BH78" s="60">
        <f t="shared" si="62"/>
        <v>845.95749237135647</v>
      </c>
      <c r="BI78" s="60">
        <f ca="1">AVERAGE(OFFSET($BH$3,0,0,'Données projet'!$E$11+1,1))-AVERAGE(OFFSET($H$3,0,0,'Données projet'!$E$11+1,1))</f>
        <v>350.3652766444938</v>
      </c>
      <c r="BJ78" s="60">
        <f t="shared" si="92"/>
        <v>197.04549436738586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252</v>
      </c>
      <c r="BW78" s="13">
        <f>VLOOKUP(A78,'Données projet'!$A$113:$I$133,9,0)</f>
        <v>6.2</v>
      </c>
      <c r="BX78" s="13">
        <f t="array" ref="BX78">INDEX(BW:BW,MIN(IF(ISNUMBER(BW78:BW274),ROW(BW78:BW274),"")))</f>
        <v>6.2</v>
      </c>
      <c r="BY78" s="13">
        <f>IF('Données projet'!$A$114&gt;35,BY77+BX78-CG77,IF(A78&lt;'Données projet'!$A$114,$BV$205^A78,IF(A78='Données projet'!$A$114,'Données projet'!$B$114,BY77+BX78-CG77)))</f>
        <v>251.99999999999989</v>
      </c>
      <c r="BZ78" s="14">
        <f>BY78*VLOOKUP('Données projet'!$B$12,Paramètres!$A$1:$I$89,3,0)*VLOOKUP('Données projet'!$B$12,Paramètres!$A$1:$I$89,5,0)</f>
        <v>243.73439999999988</v>
      </c>
      <c r="CA78" s="14">
        <f t="shared" si="93"/>
        <v>59.242281392848767</v>
      </c>
      <c r="CB78" s="22">
        <f t="shared" si="64"/>
        <v>527.68438675921141</v>
      </c>
      <c r="CC78" s="60">
        <f t="shared" si="65"/>
        <v>821.01772009254478</v>
      </c>
      <c r="CD78" s="60">
        <f ca="1">AVERAGE(OFFSET($CC$3,0,0,'Données projet'!$E$12+1,1))-AVERAGE(OFFSET($H$3,0,0,'Données projet'!$E$12+1,1))</f>
        <v>330.39429528665841</v>
      </c>
      <c r="CE78" s="60">
        <f t="shared" si="94"/>
        <v>186.45728006007261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252</v>
      </c>
      <c r="CR78" s="13">
        <f>VLOOKUP(A78,'Données projet'!$A$139:$I$159,9,0)</f>
        <v>6.2</v>
      </c>
      <c r="CS78" s="13">
        <f t="array" ref="CS78">INDEX(CR:CR,MIN(IF(ISNUMBER(CR78:CR274),ROW(CR78:CR274),"")))</f>
        <v>6.2</v>
      </c>
      <c r="CT78" s="13">
        <f>IF('Données projet'!$A$140&gt;35,CT77+CS78-DB77,IF(A78&lt;'Données projet'!$A$140,$CQ$205^A78,IF(A78='Données projet'!$A$140,'Données projet'!$B$140,CT77+CS78-DB77)))</f>
        <v>251.99999999999989</v>
      </c>
      <c r="CU78" s="18">
        <f>CT78*VLOOKUP('Données projet'!$B$13,Paramètres!$A$1:$I$89,3,0)*VLOOKUP('Données projet'!$B$13,Paramètres!$A$1:$I$89,5,0)</f>
        <v>271.25279999999987</v>
      </c>
      <c r="CV78" s="14">
        <f t="shared" si="95"/>
        <v>65.115073390838859</v>
      </c>
      <c r="CW78" s="22">
        <f t="shared" si="67"/>
        <v>585.84071282237744</v>
      </c>
      <c r="CX78" s="60">
        <f t="shared" si="68"/>
        <v>879.17404615571081</v>
      </c>
      <c r="CY78" s="60">
        <f ca="1">AVERAGE(OFFSET($CX$3,0,0,'Données projet'!$E$13+1,1))-AVERAGE(OFFSET($H$3,0,0,'Données projet'!$E$13+1,1))</f>
        <v>376.96388721258387</v>
      </c>
      <c r="CZ78" s="60">
        <f t="shared" si="96"/>
        <v>211.14628470344377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260.89743589743591</v>
      </c>
      <c r="DM78" s="13">
        <f>VLOOKUP(A78,'Données projet'!$A$165:$I$185,9,0)</f>
        <v>4.6153846153846247</v>
      </c>
      <c r="DN78" s="13">
        <f t="array" ref="DN78">INDEX(DM:DM,MIN(IF(ISNUMBER(DM78:DM274),ROW(DM78:DM274),"")))</f>
        <v>4.6153846153846247</v>
      </c>
      <c r="DO78" s="13">
        <f>IF('Données projet'!$A$166&gt;35,DO77+DN78-DW77,IF(A78&lt;'Données projet'!$A$166,$DL$205^A78,IF(A78='Données projet'!$A$166,'Données projet'!$B$166,DO77+DN78-DW77)))</f>
        <v>260.89743589743597</v>
      </c>
      <c r="DP78" s="18">
        <f>DO78*VLOOKUP('Données projet'!$B$14,Paramètres!$A$1:$I$89,3,0)*VLOOKUP('Données projet'!$B$14,Paramètres!$A$1:$I$89,5,0)</f>
        <v>175.01000000000005</v>
      </c>
      <c r="DQ78" s="14">
        <f t="shared" si="97"/>
        <v>44.210193140944192</v>
      </c>
      <c r="DR78" s="22">
        <f t="shared" si="70"/>
        <v>381.80850305381119</v>
      </c>
      <c r="DS78" s="60">
        <f t="shared" si="71"/>
        <v>675.14183638714451</v>
      </c>
      <c r="DT78" s="60">
        <f ca="1">AVERAGE(OFFSET($DS$3,0,0,'Données projet'!$E$14+1,1))-AVERAGE(OFFSET($H$3,0,0,'Données projet'!$E$14+1,1))</f>
        <v>212.33913923444732</v>
      </c>
      <c r="DU78" s="60">
        <f t="shared" si="98"/>
        <v>183.51194426094372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0" t="e">
        <f t="shared" si="74"/>
        <v>#N/A</v>
      </c>
      <c r="EO78" s="60" t="e">
        <f ca="1">AVERAGE(OFFSET($EN$3,0,0,'Données projet'!$E$15+1,1))-AVERAGE(OFFSET($H$3,0,0,'Données projet'!$E$15+1,1))</f>
        <v>#N/A</v>
      </c>
      <c r="EP78" s="60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0" t="e">
        <f t="shared" si="77"/>
        <v>#N/A</v>
      </c>
      <c r="FJ78" s="60" t="e">
        <f ca="1">AVERAGE(OFFSET($FI$3,0,0,'Données projet'!$E$16+1,1))-AVERAGE(OFFSET($H$3,0,0,'Données projet'!$E$16+1,1))</f>
        <v>#N/A</v>
      </c>
      <c r="FK78" s="60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0" t="e">
        <f t="shared" si="80"/>
        <v>#N/A</v>
      </c>
      <c r="GE78" s="60" t="e">
        <f ca="1">AVERAGE(OFFSET($GD$3,0,0,'Données projet'!$E$17+1,1))-AVERAGE(OFFSET($H$3,0,0,'Données projet'!$E$17+1,1))</f>
        <v>#N/A</v>
      </c>
      <c r="GF78" s="60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0" t="e">
        <f t="shared" si="83"/>
        <v>#N/A</v>
      </c>
      <c r="GZ78" s="60" t="e">
        <f ca="1">AVERAGE(OFFSET($GY$3,0,0,'Données projet'!$E$18+1,1))-AVERAGE(OFFSET($H$3,0,0,'Données projet'!$E$18+1,1))</f>
        <v>#N/A</v>
      </c>
      <c r="HA78" s="60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5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2">
        <f t="shared" si="86"/>
        <v>12.394310565265254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8">
        <f t="shared" si="56"/>
        <v>387.19229090117022</v>
      </c>
      <c r="I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8.918461538461532</v>
      </c>
      <c r="N79" s="14">
        <f>IF('Données projet'!$A$36&gt;35,N78+M79-V78,IF(A79&lt;'Données projet'!$A$36,$K$205^A79,IF(A79='Données projet'!$A$36,'Données projet'!$B$36,N78+M79-V78)))</f>
        <v>284.03384615384618</v>
      </c>
      <c r="O79" s="14">
        <f>N79*VLOOKUP('Données projet'!$B$9,Paramètres!$A$1:$I$89,3,0)*VLOOKUP('Données projet'!$B$9,Paramètres!$A$1:$I$89,5,0)</f>
        <v>132.92784</v>
      </c>
      <c r="P79" s="14">
        <f t="shared" si="87"/>
        <v>34.672017751273806</v>
      </c>
      <c r="Q79" s="22">
        <f t="shared" si="54"/>
        <v>291.90308558346857</v>
      </c>
      <c r="R79" s="60">
        <f t="shared" si="55"/>
        <v>585.23641891680188</v>
      </c>
      <c r="S79" s="60">
        <f ca="1">AVERAGE(OFFSET($R$3,0,0,'Données projet'!$E$9+1,1))-AVERAGE(OFFSET($H$3,0,0,'Données projet'!$E$9+1,1))</f>
        <v>146.40889017442277</v>
      </c>
      <c r="T79" s="60">
        <f t="shared" si="88"/>
        <v>70.859031694091868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7.2</v>
      </c>
      <c r="AI79" s="14">
        <f>IF('Données projet'!$A$62&gt;35,AI78+AH79-AQ78,IF(A79&lt;'Données projet'!$A$62,$AF$205^A79,IF(A79='Données projet'!$A$62,'Données projet'!$B$62,AI78+AH79-AQ78)))</f>
        <v>291.20000000000005</v>
      </c>
      <c r="AJ79" s="14">
        <f>AI79*VLOOKUP('Données projet'!$B$10,Paramètres!$A$1:$I$89,3,0)*VLOOKUP('Données projet'!$B$10,Paramètres!$A$1:$I$89,5,0)</f>
        <v>263.47776000000005</v>
      </c>
      <c r="AK79" s="14">
        <f t="shared" si="89"/>
        <v>63.46312159763346</v>
      </c>
      <c r="AL79" s="22">
        <f t="shared" si="58"/>
        <v>569.42203544921165</v>
      </c>
      <c r="AM79" s="60">
        <f t="shared" si="59"/>
        <v>862.75536878254502</v>
      </c>
      <c r="AN79" s="60">
        <f ca="1">AVERAGE(OFFSET($AM$3,0,0,'Données projet'!$E$10+1,1))-AVERAGE(OFFSET($H$3,0,0,'Données projet'!$E$10+1,1))</f>
        <v>404.14319681142746</v>
      </c>
      <c r="AO79" s="60">
        <f t="shared" si="90"/>
        <v>203.5274665601915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6</v>
      </c>
      <c r="BD79" s="13">
        <f>IF('Données projet'!$A$88&gt;35,BD78+BC79-BL78,IF(A79&lt;'Données projet'!$A$88,$BA$205^A79,IF(A79='Données projet'!$A$88,'Données projet'!$B$88,BD78+BC79-BL78)))</f>
        <v>257.99999999999989</v>
      </c>
      <c r="BE79" s="14">
        <f>BD79*VLOOKUP('Données projet'!$B$11,Paramètres!$A$1:$I$89,3,0)*VLOOKUP('Données projet'!$B$11,Paramètres!$A$1:$I$89,5,0)</f>
        <v>261.61199999999991</v>
      </c>
      <c r="BF79" s="14">
        <f t="shared" si="91"/>
        <v>63.065867509496442</v>
      </c>
      <c r="BG79" s="22">
        <f t="shared" si="61"/>
        <v>565.48061924570618</v>
      </c>
      <c r="BH79" s="60">
        <f t="shared" si="62"/>
        <v>858.81395257903955</v>
      </c>
      <c r="BI79" s="60">
        <f ca="1">AVERAGE(OFFSET($BH$3,0,0,'Données projet'!$E$11+1,1))-AVERAGE(OFFSET($H$3,0,0,'Données projet'!$E$11+1,1))</f>
        <v>350.3652766444938</v>
      </c>
      <c r="BJ79" s="60">
        <f t="shared" si="92"/>
        <v>197.04549436738586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6</v>
      </c>
      <c r="BY79" s="13">
        <f>IF('Données projet'!$A$114&gt;35,BY78+BX79-CG78,IF(A79&lt;'Données projet'!$A$114,$BV$205^A79,IF(A79='Données projet'!$A$114,'Données projet'!$B$114,BY78+BX79-CG78)))</f>
        <v>257.99999999999989</v>
      </c>
      <c r="BZ79" s="14">
        <f>BY79*VLOOKUP('Données projet'!$B$12,Paramètres!$A$1:$I$89,3,0)*VLOOKUP('Données projet'!$B$12,Paramètres!$A$1:$I$89,5,0)</f>
        <v>249.53759999999988</v>
      </c>
      <c r="CA79" s="14">
        <f t="shared" si="93"/>
        <v>60.486914185674671</v>
      </c>
      <c r="CB79" s="22">
        <f t="shared" si="64"/>
        <v>539.95936220671649</v>
      </c>
      <c r="CC79" s="60">
        <f t="shared" si="65"/>
        <v>833.29269554004986</v>
      </c>
      <c r="CD79" s="60">
        <f ca="1">AVERAGE(OFFSET($CC$3,0,0,'Données projet'!$E$12+1,1))-AVERAGE(OFFSET($H$3,0,0,'Données projet'!$E$12+1,1))</f>
        <v>330.39429528665841</v>
      </c>
      <c r="CE79" s="60">
        <f t="shared" si="94"/>
        <v>186.45728006007261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6</v>
      </c>
      <c r="CT79" s="13">
        <f>IF('Données projet'!$A$140&gt;35,CT78+CS79-DB78,IF(A79&lt;'Données projet'!$A$140,$CQ$205^A79,IF(A79='Données projet'!$A$140,'Données projet'!$B$140,CT78+CS79-DB78)))</f>
        <v>257.99999999999989</v>
      </c>
      <c r="CU79" s="18">
        <f>CT79*VLOOKUP('Données projet'!$B$13,Paramètres!$A$1:$I$89,3,0)*VLOOKUP('Données projet'!$B$13,Paramètres!$A$1:$I$89,5,0)</f>
        <v>277.71119999999985</v>
      </c>
      <c r="CV79" s="14">
        <f t="shared" si="95"/>
        <v>66.483088830893976</v>
      </c>
      <c r="CW79" s="22">
        <f t="shared" si="67"/>
        <v>599.47171971380669</v>
      </c>
      <c r="CX79" s="60">
        <f t="shared" si="68"/>
        <v>892.80505304714006</v>
      </c>
      <c r="CY79" s="60">
        <f ca="1">AVERAGE(OFFSET($CX$3,0,0,'Données projet'!$E$13+1,1))-AVERAGE(OFFSET($H$3,0,0,'Données projet'!$E$13+1,1))</f>
        <v>376.96388721258387</v>
      </c>
      <c r="CZ79" s="60">
        <f t="shared" si="96"/>
        <v>211.14628470344377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4.2307692307692264</v>
      </c>
      <c r="DO79" s="13">
        <f>IF('Données projet'!$A$166&gt;35,DO78+DN79-DW78,IF(A79&lt;'Données projet'!$A$166,$DL$205^A79,IF(A79='Données projet'!$A$166,'Données projet'!$B$166,DO78+DN79-DW78)))</f>
        <v>265.1282051282052</v>
      </c>
      <c r="DP79" s="18">
        <f>DO79*VLOOKUP('Données projet'!$B$14,Paramètres!$A$1:$I$89,3,0)*VLOOKUP('Données projet'!$B$14,Paramètres!$A$1:$I$89,5,0)</f>
        <v>177.84800000000004</v>
      </c>
      <c r="DQ79" s="14">
        <f t="shared" si="97"/>
        <v>44.84307118144492</v>
      </c>
      <c r="DR79" s="22">
        <f t="shared" si="70"/>
        <v>387.85361564101663</v>
      </c>
      <c r="DS79" s="60">
        <f t="shared" si="71"/>
        <v>681.18694897434989</v>
      </c>
      <c r="DT79" s="60">
        <f ca="1">AVERAGE(OFFSET($DS$3,0,0,'Données projet'!$E$14+1,1))-AVERAGE(OFFSET($H$3,0,0,'Données projet'!$E$14+1,1))</f>
        <v>212.33913923444732</v>
      </c>
      <c r="DU79" s="60">
        <f t="shared" si="98"/>
        <v>183.51194426094372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0" t="e">
        <f t="shared" si="74"/>
        <v>#N/A</v>
      </c>
      <c r="EO79" s="60" t="e">
        <f ca="1">AVERAGE(OFFSET($EN$3,0,0,'Données projet'!$E$15+1,1))-AVERAGE(OFFSET($H$3,0,0,'Données projet'!$E$15+1,1))</f>
        <v>#N/A</v>
      </c>
      <c r="EP79" s="60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0" t="e">
        <f t="shared" si="77"/>
        <v>#N/A</v>
      </c>
      <c r="FJ79" s="60" t="e">
        <f ca="1">AVERAGE(OFFSET($FI$3,0,0,'Données projet'!$E$16+1,1))-AVERAGE(OFFSET($H$3,0,0,'Données projet'!$E$16+1,1))</f>
        <v>#N/A</v>
      </c>
      <c r="FK79" s="60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0" t="e">
        <f t="shared" si="80"/>
        <v>#N/A</v>
      </c>
      <c r="GE79" s="60" t="e">
        <f ca="1">AVERAGE(OFFSET($GD$3,0,0,'Données projet'!$E$17+1,1))-AVERAGE(OFFSET($H$3,0,0,'Données projet'!$E$17+1,1))</f>
        <v>#N/A</v>
      </c>
      <c r="GF79" s="60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0" t="e">
        <f t="shared" si="83"/>
        <v>#N/A</v>
      </c>
      <c r="GZ79" s="60" t="e">
        <f ca="1">AVERAGE(OFFSET($GY$3,0,0,'Données projet'!$E$18+1,1))-AVERAGE(OFFSET($H$3,0,0,'Données projet'!$E$18+1,1))</f>
        <v>#N/A</v>
      </c>
      <c r="HA79" s="60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5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2">
        <f t="shared" si="86"/>
        <v>12.538300920096166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8">
        <f t="shared" si="56"/>
        <v>388.39402410250074</v>
      </c>
      <c r="I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8.918461538461532</v>
      </c>
      <c r="N80" s="14">
        <f>IF('Données projet'!$A$36&gt;35,N79+M80-V79,IF(A80&lt;'Données projet'!$A$36,$K$205^A80,IF(A80='Données projet'!$A$36,'Données projet'!$B$36,N79+M80-V79)))</f>
        <v>292.95230769230773</v>
      </c>
      <c r="O80" s="14">
        <f>N80*VLOOKUP('Données projet'!$B$9,Paramètres!$A$1:$I$89,3,0)*VLOOKUP('Données projet'!$B$9,Paramètres!$A$1:$I$89,5,0)</f>
        <v>137.10168000000002</v>
      </c>
      <c r="P80" s="14">
        <f t="shared" si="87"/>
        <v>35.632234858197208</v>
      </c>
      <c r="Q80" s="22">
        <f t="shared" si="54"/>
        <v>300.84490171136019</v>
      </c>
      <c r="R80" s="60">
        <f t="shared" si="55"/>
        <v>594.17823504469357</v>
      </c>
      <c r="S80" s="60">
        <f ca="1">AVERAGE(OFFSET($R$3,0,0,'Données projet'!$E$9+1,1))-AVERAGE(OFFSET($H$3,0,0,'Données projet'!$E$9+1,1))</f>
        <v>146.40889017442277</v>
      </c>
      <c r="T80" s="60">
        <f t="shared" si="88"/>
        <v>70.859031694091868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7.2</v>
      </c>
      <c r="AI80" s="14">
        <f>IF('Données projet'!$A$62&gt;35,AI79+AH80-AQ79,IF(A80&lt;'Données projet'!$A$62,$AF$205^A80,IF(A80='Données projet'!$A$62,'Données projet'!$B$62,AI79+AH80-AQ79)))</f>
        <v>298.40000000000003</v>
      </c>
      <c r="AJ80" s="14">
        <f>AI80*VLOOKUP('Données projet'!$B$10,Paramètres!$A$1:$I$89,3,0)*VLOOKUP('Données projet'!$B$10,Paramètres!$A$1:$I$89,5,0)</f>
        <v>269.99232000000001</v>
      </c>
      <c r="AK80" s="14">
        <f t="shared" si="89"/>
        <v>64.847639395310296</v>
      </c>
      <c r="AL80" s="22">
        <f t="shared" si="58"/>
        <v>583.17959594683214</v>
      </c>
      <c r="AM80" s="60">
        <f t="shared" si="59"/>
        <v>876.51292928016551</v>
      </c>
      <c r="AN80" s="60">
        <f ca="1">AVERAGE(OFFSET($AM$3,0,0,'Données projet'!$E$10+1,1))-AVERAGE(OFFSET($H$3,0,0,'Données projet'!$E$10+1,1))</f>
        <v>404.14319681142746</v>
      </c>
      <c r="AO80" s="60">
        <f t="shared" si="90"/>
        <v>203.5274665601915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6</v>
      </c>
      <c r="BD80" s="13">
        <f>IF('Données projet'!$A$88&gt;35,BD79+BC80-BL79,IF(A80&lt;'Données projet'!$A$88,$BA$205^A80,IF(A80='Données projet'!$A$88,'Données projet'!$B$88,BD79+BC80-BL79)))</f>
        <v>263.99999999999989</v>
      </c>
      <c r="BE80" s="14">
        <f>BD80*VLOOKUP('Données projet'!$B$11,Paramètres!$A$1:$I$89,3,0)*VLOOKUP('Données projet'!$B$11,Paramètres!$A$1:$I$89,5,0)</f>
        <v>267.69599999999991</v>
      </c>
      <c r="BF80" s="14">
        <f t="shared" si="91"/>
        <v>64.360058723585439</v>
      </c>
      <c r="BG80" s="22">
        <f t="shared" si="61"/>
        <v>578.33096894357777</v>
      </c>
      <c r="BH80" s="60">
        <f t="shared" si="62"/>
        <v>871.66430227691103</v>
      </c>
      <c r="BI80" s="60">
        <f ca="1">AVERAGE(OFFSET($BH$3,0,0,'Données projet'!$E$11+1,1))-AVERAGE(OFFSET($H$3,0,0,'Données projet'!$E$11+1,1))</f>
        <v>350.3652766444938</v>
      </c>
      <c r="BJ80" s="60">
        <f t="shared" si="92"/>
        <v>197.04549436738586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6</v>
      </c>
      <c r="BY80" s="13">
        <f>IF('Données projet'!$A$114&gt;35,BY79+BX80-CG79,IF(A80&lt;'Données projet'!$A$114,$BV$205^A80,IF(A80='Données projet'!$A$114,'Données projet'!$B$114,BY79+BX80-CG79)))</f>
        <v>263.99999999999989</v>
      </c>
      <c r="BZ80" s="14">
        <f>BY80*VLOOKUP('Données projet'!$B$12,Paramètres!$A$1:$I$89,3,0)*VLOOKUP('Données projet'!$B$12,Paramètres!$A$1:$I$89,5,0)</f>
        <v>255.34079999999989</v>
      </c>
      <c r="CA80" s="14">
        <f t="shared" si="93"/>
        <v>61.728182021951895</v>
      </c>
      <c r="CB80" s="22">
        <f t="shared" si="64"/>
        <v>552.22847702156594</v>
      </c>
      <c r="CC80" s="60">
        <f t="shared" si="65"/>
        <v>845.56181035489931</v>
      </c>
      <c r="CD80" s="60">
        <f ca="1">AVERAGE(OFFSET($CC$3,0,0,'Données projet'!$E$12+1,1))-AVERAGE(OFFSET($H$3,0,0,'Données projet'!$E$12+1,1))</f>
        <v>330.39429528665841</v>
      </c>
      <c r="CE80" s="60">
        <f t="shared" si="94"/>
        <v>186.45728006007261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6</v>
      </c>
      <c r="CT80" s="13">
        <f>IF('Données projet'!$A$140&gt;35,CT79+CS80-DB79,IF(A80&lt;'Données projet'!$A$140,$CQ$205^A80,IF(A80='Données projet'!$A$140,'Données projet'!$B$140,CT79+CS80-DB79)))</f>
        <v>263.99999999999989</v>
      </c>
      <c r="CU80" s="18">
        <f>CT80*VLOOKUP('Données projet'!$B$13,Paramètres!$A$1:$I$89,3,0)*VLOOKUP('Données projet'!$B$13,Paramètres!$A$1:$I$89,5,0)</f>
        <v>284.16959999999989</v>
      </c>
      <c r="CV80" s="14">
        <f t="shared" si="95"/>
        <v>67.847405740313874</v>
      </c>
      <c r="CW80" s="22">
        <f t="shared" si="67"/>
        <v>613.09628499771316</v>
      </c>
      <c r="CX80" s="60">
        <f t="shared" si="68"/>
        <v>906.42961833104641</v>
      </c>
      <c r="CY80" s="60">
        <f ca="1">AVERAGE(OFFSET($CX$3,0,0,'Données projet'!$E$13+1,1))-AVERAGE(OFFSET($H$3,0,0,'Données projet'!$E$13+1,1))</f>
        <v>376.96388721258387</v>
      </c>
      <c r="CZ80" s="60">
        <f t="shared" si="96"/>
        <v>211.14628470344377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4.2307692307692264</v>
      </c>
      <c r="DO80" s="13">
        <f>IF('Données projet'!$A$166&gt;35,DO79+DN80-DW79,IF(A80&lt;'Données projet'!$A$166,$DL$205^A80,IF(A80='Données projet'!$A$166,'Données projet'!$B$166,DO79+DN80-DW79)))</f>
        <v>269.35897435897442</v>
      </c>
      <c r="DP80" s="18">
        <f>DO80*VLOOKUP('Données projet'!$B$14,Paramètres!$A$1:$I$89,3,0)*VLOOKUP('Données projet'!$B$14,Paramètres!$A$1:$I$89,5,0)</f>
        <v>180.68600000000004</v>
      </c>
      <c r="DQ80" s="14">
        <f t="shared" si="97"/>
        <v>45.474774723021419</v>
      </c>
      <c r="DR80" s="22">
        <f t="shared" si="70"/>
        <v>393.89668264259575</v>
      </c>
      <c r="DS80" s="60">
        <f t="shared" si="71"/>
        <v>687.23001597592906</v>
      </c>
      <c r="DT80" s="60">
        <f ca="1">AVERAGE(OFFSET($DS$3,0,0,'Données projet'!$E$14+1,1))-AVERAGE(OFFSET($H$3,0,0,'Données projet'!$E$14+1,1))</f>
        <v>212.33913923444732</v>
      </c>
      <c r="DU80" s="60">
        <f t="shared" si="98"/>
        <v>183.51194426094372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0" t="e">
        <f t="shared" si="74"/>
        <v>#N/A</v>
      </c>
      <c r="EO80" s="60" t="e">
        <f ca="1">AVERAGE(OFFSET($EN$3,0,0,'Données projet'!$E$15+1,1))-AVERAGE(OFFSET($H$3,0,0,'Données projet'!$E$15+1,1))</f>
        <v>#N/A</v>
      </c>
      <c r="EP80" s="60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0" t="e">
        <f t="shared" si="77"/>
        <v>#N/A</v>
      </c>
      <c r="FJ80" s="60" t="e">
        <f ca="1">AVERAGE(OFFSET($FI$3,0,0,'Données projet'!$E$16+1,1))-AVERAGE(OFFSET($H$3,0,0,'Données projet'!$E$16+1,1))</f>
        <v>#N/A</v>
      </c>
      <c r="FK80" s="60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0" t="e">
        <f t="shared" si="80"/>
        <v>#N/A</v>
      </c>
      <c r="GE80" s="60" t="e">
        <f ca="1">AVERAGE(OFFSET($GD$3,0,0,'Données projet'!$E$17+1,1))-AVERAGE(OFFSET($H$3,0,0,'Données projet'!$E$17+1,1))</f>
        <v>#N/A</v>
      </c>
      <c r="GF80" s="60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0" t="e">
        <f t="shared" si="83"/>
        <v>#N/A</v>
      </c>
      <c r="GZ80" s="60" t="e">
        <f ca="1">AVERAGE(OFFSET($GY$3,0,0,'Données projet'!$E$18+1,1))-AVERAGE(OFFSET($H$3,0,0,'Données projet'!$E$18+1,1))</f>
        <v>#N/A</v>
      </c>
      <c r="HA80" s="60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5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2">
        <f t="shared" si="86"/>
        <v>12.682073764365757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8">
        <f t="shared" si="56"/>
        <v>389.59537847293694</v>
      </c>
      <c r="I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8.918461538461532</v>
      </c>
      <c r="N81" s="14">
        <f>IF('Données projet'!$A$36&gt;35,N80+M81-V80,IF(A81&lt;'Données projet'!$A$36,$K$205^A81,IF(A81='Données projet'!$A$36,'Données projet'!$B$36,N80+M81-V80)))</f>
        <v>301.87076923076927</v>
      </c>
      <c r="O81" s="14">
        <f>N81*VLOOKUP('Données projet'!$B$9,Paramètres!$A$1:$I$89,3,0)*VLOOKUP('Données projet'!$B$9,Paramètres!$A$1:$I$89,5,0)</f>
        <v>141.27552000000003</v>
      </c>
      <c r="P81" s="14">
        <f t="shared" si="87"/>
        <v>36.589054796797832</v>
      </c>
      <c r="Q81" s="22">
        <f t="shared" si="54"/>
        <v>309.78080110442289</v>
      </c>
      <c r="R81" s="60">
        <f t="shared" si="55"/>
        <v>603.11413443775621</v>
      </c>
      <c r="S81" s="60">
        <f ca="1">AVERAGE(OFFSET($R$3,0,0,'Données projet'!$E$9+1,1))-AVERAGE(OFFSET($H$3,0,0,'Données projet'!$E$9+1,1))</f>
        <v>146.40889017442277</v>
      </c>
      <c r="T81" s="60">
        <f t="shared" si="88"/>
        <v>70.859031694091868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7.2</v>
      </c>
      <c r="AI81" s="14">
        <f>IF('Données projet'!$A$62&gt;35,AI80+AH81-AQ80,IF(A81&lt;'Données projet'!$A$62,$AF$205^A81,IF(A81='Données projet'!$A$62,'Données projet'!$B$62,AI80+AH81-AQ80)))</f>
        <v>305.60000000000002</v>
      </c>
      <c r="AJ81" s="14">
        <f>AI81*VLOOKUP('Données projet'!$B$10,Paramètres!$A$1:$I$89,3,0)*VLOOKUP('Données projet'!$B$10,Paramètres!$A$1:$I$89,5,0)</f>
        <v>276.50687999999997</v>
      </c>
      <c r="AK81" s="14">
        <f t="shared" si="89"/>
        <v>66.228273722513677</v>
      </c>
      <c r="AL81" s="22">
        <f t="shared" si="58"/>
        <v>596.93039273337797</v>
      </c>
      <c r="AM81" s="60">
        <f t="shared" si="59"/>
        <v>890.26372606671134</v>
      </c>
      <c r="AN81" s="60">
        <f ca="1">AVERAGE(OFFSET($AM$3,0,0,'Données projet'!$E$10+1,1))-AVERAGE(OFFSET($H$3,0,0,'Données projet'!$E$10+1,1))</f>
        <v>404.14319681142746</v>
      </c>
      <c r="AO81" s="60">
        <f t="shared" si="90"/>
        <v>203.5274665601915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6</v>
      </c>
      <c r="BD81" s="13">
        <f>IF('Données projet'!$A$88&gt;35,BD80+BC81-BL80,IF(A81&lt;'Données projet'!$A$88,$BA$205^A81,IF(A81='Données projet'!$A$88,'Données projet'!$B$88,BD80+BC81-BL80)))</f>
        <v>269.99999999999989</v>
      </c>
      <c r="BE81" s="14">
        <f>BD81*VLOOKUP('Données projet'!$B$11,Paramètres!$A$1:$I$89,3,0)*VLOOKUP('Données projet'!$B$11,Paramètres!$A$1:$I$89,5,0)</f>
        <v>273.77999999999992</v>
      </c>
      <c r="BF81" s="14">
        <f t="shared" si="91"/>
        <v>65.650830427167435</v>
      </c>
      <c r="BG81" s="22">
        <f t="shared" si="61"/>
        <v>591.17536299398307</v>
      </c>
      <c r="BH81" s="60">
        <f t="shared" si="62"/>
        <v>884.50869632731633</v>
      </c>
      <c r="BI81" s="60">
        <f ca="1">AVERAGE(OFFSET($BH$3,0,0,'Données projet'!$E$11+1,1))-AVERAGE(OFFSET($H$3,0,0,'Données projet'!$E$11+1,1))</f>
        <v>350.3652766444938</v>
      </c>
      <c r="BJ81" s="60">
        <f t="shared" si="92"/>
        <v>197.04549436738586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6</v>
      </c>
      <c r="BY81" s="13">
        <f>IF('Données projet'!$A$114&gt;35,BY80+BX81-CG80,IF(A81&lt;'Données projet'!$A$114,$BV$205^A81,IF(A81='Données projet'!$A$114,'Données projet'!$B$114,BY80+BX81-CG80)))</f>
        <v>269.99999999999989</v>
      </c>
      <c r="BZ81" s="14">
        <f>BY81*VLOOKUP('Données projet'!$B$12,Paramètres!$A$1:$I$89,3,0)*VLOOKUP('Données projet'!$B$12,Paramètres!$A$1:$I$89,5,0)</f>
        <v>261.14399999999989</v>
      </c>
      <c r="CA81" s="14">
        <f t="shared" si="93"/>
        <v>62.966170181808813</v>
      </c>
      <c r="CB81" s="22">
        <f t="shared" si="64"/>
        <v>564.49187973331675</v>
      </c>
      <c r="CC81" s="60">
        <f t="shared" si="65"/>
        <v>857.82521306665012</v>
      </c>
      <c r="CD81" s="60">
        <f ca="1">AVERAGE(OFFSET($CC$3,0,0,'Données projet'!$E$12+1,1))-AVERAGE(OFFSET($H$3,0,0,'Données projet'!$E$12+1,1))</f>
        <v>330.39429528665841</v>
      </c>
      <c r="CE81" s="60">
        <f t="shared" si="94"/>
        <v>186.45728006007261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6</v>
      </c>
      <c r="CT81" s="13">
        <f>IF('Données projet'!$A$140&gt;35,CT80+CS81-DB80,IF(A81&lt;'Données projet'!$A$140,$CQ$205^A81,IF(A81='Données projet'!$A$140,'Données projet'!$B$140,CT80+CS81-DB80)))</f>
        <v>269.99999999999989</v>
      </c>
      <c r="CU81" s="18">
        <f>CT81*VLOOKUP('Données projet'!$B$13,Paramètres!$A$1:$I$89,3,0)*VLOOKUP('Données projet'!$B$13,Paramètres!$A$1:$I$89,5,0)</f>
        <v>290.62799999999987</v>
      </c>
      <c r="CV81" s="14">
        <f t="shared" si="95"/>
        <v>69.208117853196882</v>
      </c>
      <c r="CW81" s="22">
        <f t="shared" si="67"/>
        <v>626.71457192765104</v>
      </c>
      <c r="CX81" s="60">
        <f t="shared" si="68"/>
        <v>920.04790526098441</v>
      </c>
      <c r="CY81" s="60">
        <f ca="1">AVERAGE(OFFSET($CX$3,0,0,'Données projet'!$E$13+1,1))-AVERAGE(OFFSET($H$3,0,0,'Données projet'!$E$13+1,1))</f>
        <v>376.96388721258387</v>
      </c>
      <c r="CZ81" s="60">
        <f t="shared" si="96"/>
        <v>211.14628470344377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4.2307692307692264</v>
      </c>
      <c r="DO81" s="13">
        <f>IF('Données projet'!$A$166&gt;35,DO80+DN81-DW80,IF(A81&lt;'Données projet'!$A$166,$DL$205^A81,IF(A81='Données projet'!$A$166,'Données projet'!$B$166,DO80+DN81-DW80)))</f>
        <v>273.58974358974365</v>
      </c>
      <c r="DP81" s="18">
        <f>DO81*VLOOKUP('Données projet'!$B$14,Paramètres!$A$1:$I$89,3,0)*VLOOKUP('Données projet'!$B$14,Paramètres!$A$1:$I$89,5,0)</f>
        <v>183.52400000000006</v>
      </c>
      <c r="DQ81" s="14">
        <f t="shared" si="97"/>
        <v>46.10532434349372</v>
      </c>
      <c r="DR81" s="22">
        <f t="shared" si="70"/>
        <v>399.93773989825166</v>
      </c>
      <c r="DS81" s="60">
        <f t="shared" si="71"/>
        <v>693.27107323158498</v>
      </c>
      <c r="DT81" s="60">
        <f ca="1">AVERAGE(OFFSET($DS$3,0,0,'Données projet'!$E$14+1,1))-AVERAGE(OFFSET($H$3,0,0,'Données projet'!$E$14+1,1))</f>
        <v>212.33913923444732</v>
      </c>
      <c r="DU81" s="60">
        <f t="shared" si="98"/>
        <v>183.51194426094372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0" t="e">
        <f t="shared" si="74"/>
        <v>#N/A</v>
      </c>
      <c r="EO81" s="60" t="e">
        <f ca="1">AVERAGE(OFFSET($EN$3,0,0,'Données projet'!$E$15+1,1))-AVERAGE(OFFSET($H$3,0,0,'Données projet'!$E$15+1,1))</f>
        <v>#N/A</v>
      </c>
      <c r="EP81" s="60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0" t="e">
        <f t="shared" si="77"/>
        <v>#N/A</v>
      </c>
      <c r="FJ81" s="60" t="e">
        <f ca="1">AVERAGE(OFFSET($FI$3,0,0,'Données projet'!$E$16+1,1))-AVERAGE(OFFSET($H$3,0,0,'Données projet'!$E$16+1,1))</f>
        <v>#N/A</v>
      </c>
      <c r="FK81" s="60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0" t="e">
        <f t="shared" si="80"/>
        <v>#N/A</v>
      </c>
      <c r="GE81" s="60" t="e">
        <f ca="1">AVERAGE(OFFSET($GD$3,0,0,'Données projet'!$E$17+1,1))-AVERAGE(OFFSET($H$3,0,0,'Données projet'!$E$17+1,1))</f>
        <v>#N/A</v>
      </c>
      <c r="GF81" s="60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0" t="e">
        <f t="shared" si="83"/>
        <v>#N/A</v>
      </c>
      <c r="GZ81" s="60" t="e">
        <f ca="1">AVERAGE(OFFSET($GY$3,0,0,'Données projet'!$E$18+1,1))-AVERAGE(OFFSET($H$3,0,0,'Données projet'!$E$18+1,1))</f>
        <v>#N/A</v>
      </c>
      <c r="HA81" s="60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5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2">
        <f t="shared" si="86"/>
        <v>12.82563220911333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8">
        <f t="shared" si="56"/>
        <v>390.79635943087231</v>
      </c>
      <c r="I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8.918461538461532</v>
      </c>
      <c r="N82" s="14">
        <f>IF('Données projet'!$A$36&gt;35,N81+M82-V81,IF(A82&lt;'Données projet'!$A$36,$K$205^A82,IF(A82='Données projet'!$A$36,'Données projet'!$B$36,N81+M82-V81)))</f>
        <v>310.78923076923081</v>
      </c>
      <c r="O82" s="14">
        <f>N82*VLOOKUP('Données projet'!$B$9,Paramètres!$A$1:$I$89,3,0)*VLOOKUP('Données projet'!$B$9,Paramètres!$A$1:$I$89,5,0)</f>
        <v>145.44936000000001</v>
      </c>
      <c r="P82" s="14">
        <f t="shared" si="87"/>
        <v>37.542589456064086</v>
      </c>
      <c r="Q82" s="22">
        <f t="shared" si="54"/>
        <v>318.71097863597828</v>
      </c>
      <c r="R82" s="60">
        <f t="shared" si="55"/>
        <v>612.04431196931159</v>
      </c>
      <c r="S82" s="60">
        <f ca="1">AVERAGE(OFFSET($R$3,0,0,'Données projet'!$E$9+1,1))-AVERAGE(OFFSET($H$3,0,0,'Données projet'!$E$9+1,1))</f>
        <v>146.40889017442277</v>
      </c>
      <c r="T82" s="60">
        <f t="shared" si="88"/>
        <v>70.859031694091868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7.2</v>
      </c>
      <c r="AI82" s="14">
        <f>IF('Données projet'!$A$62&gt;35,AI81+AH82-AQ81,IF(A82&lt;'Données projet'!$A$62,$AF$205^A82,IF(A82='Données projet'!$A$62,'Données projet'!$B$62,AI81+AH82-AQ81)))</f>
        <v>312.8</v>
      </c>
      <c r="AJ82" s="14">
        <f>AI82*VLOOKUP('Données projet'!$B$10,Paramètres!$A$1:$I$89,3,0)*VLOOKUP('Données projet'!$B$10,Paramètres!$A$1:$I$89,5,0)</f>
        <v>283.02144000000004</v>
      </c>
      <c r="AK82" s="14">
        <f t="shared" si="89"/>
        <v>67.605126603830598</v>
      </c>
      <c r="AL82" s="22">
        <f t="shared" si="58"/>
        <v>610.67460350167164</v>
      </c>
      <c r="AM82" s="60">
        <f t="shared" si="59"/>
        <v>904.00793683500501</v>
      </c>
      <c r="AN82" s="60">
        <f ca="1">AVERAGE(OFFSET($AM$3,0,0,'Données projet'!$E$10+1,1))-AVERAGE(OFFSET($H$3,0,0,'Données projet'!$E$10+1,1))</f>
        <v>404.14319681142746</v>
      </c>
      <c r="AO82" s="60">
        <f t="shared" si="90"/>
        <v>203.5274665601915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6</v>
      </c>
      <c r="BD82" s="13">
        <f>IF('Données projet'!$A$88&gt;35,BD81+BC82-BL81,IF(A82&lt;'Données projet'!$A$88,$BA$205^A82,IF(A82='Données projet'!$A$88,'Données projet'!$B$88,BD81+BC82-BL81)))</f>
        <v>275.99999999999989</v>
      </c>
      <c r="BE82" s="14">
        <f>BD82*VLOOKUP('Données projet'!$B$11,Paramètres!$A$1:$I$89,3,0)*VLOOKUP('Données projet'!$B$11,Paramètres!$A$1:$I$89,5,0)</f>
        <v>279.86399999999986</v>
      </c>
      <c r="BF82" s="14">
        <f t="shared" si="91"/>
        <v>66.938267358965007</v>
      </c>
      <c r="BG82" s="22">
        <f t="shared" si="61"/>
        <v>604.01394898353044</v>
      </c>
      <c r="BH82" s="60">
        <f t="shared" si="62"/>
        <v>897.34728231686381</v>
      </c>
      <c r="BI82" s="60">
        <f ca="1">AVERAGE(OFFSET($BH$3,0,0,'Données projet'!$E$11+1,1))-AVERAGE(OFFSET($H$3,0,0,'Données projet'!$E$11+1,1))</f>
        <v>350.3652766444938</v>
      </c>
      <c r="BJ82" s="60">
        <f t="shared" si="92"/>
        <v>197.04549436738586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6</v>
      </c>
      <c r="BY82" s="13">
        <f>IF('Données projet'!$A$114&gt;35,BY81+BX82-CG81,IF(A82&lt;'Données projet'!$A$114,$BV$205^A82,IF(A82='Données projet'!$A$114,'Données projet'!$B$114,BY81+BX82-CG81)))</f>
        <v>275.99999999999989</v>
      </c>
      <c r="BZ82" s="14">
        <f>BY82*VLOOKUP('Données projet'!$B$12,Paramètres!$A$1:$I$89,3,0)*VLOOKUP('Données projet'!$B$12,Paramètres!$A$1:$I$89,5,0)</f>
        <v>266.9471999999999</v>
      </c>
      <c r="CA82" s="14">
        <f t="shared" si="93"/>
        <v>64.200959938746379</v>
      </c>
      <c r="CB82" s="22">
        <f t="shared" si="64"/>
        <v>576.74971189331643</v>
      </c>
      <c r="CC82" s="60">
        <f t="shared" si="65"/>
        <v>870.0830452266498</v>
      </c>
      <c r="CD82" s="60">
        <f ca="1">AVERAGE(OFFSET($CC$3,0,0,'Données projet'!$E$12+1,1))-AVERAGE(OFFSET($H$3,0,0,'Données projet'!$E$12+1,1))</f>
        <v>330.39429528665841</v>
      </c>
      <c r="CE82" s="60">
        <f t="shared" si="94"/>
        <v>186.45728006007261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6</v>
      </c>
      <c r="CT82" s="13">
        <f>IF('Données projet'!$A$140&gt;35,CT81+CS82-DB81,IF(A82&lt;'Données projet'!$A$140,$CQ$205^A82,IF(A82='Données projet'!$A$140,'Données projet'!$B$140,CT81+CS82-DB81)))</f>
        <v>275.99999999999989</v>
      </c>
      <c r="CU82" s="18">
        <f>CT82*VLOOKUP('Données projet'!$B$13,Paramètres!$A$1:$I$89,3,0)*VLOOKUP('Données projet'!$B$13,Paramètres!$A$1:$I$89,5,0)</f>
        <v>297.08639999999986</v>
      </c>
      <c r="CV82" s="14">
        <f t="shared" si="95"/>
        <v>70.565314499829583</v>
      </c>
      <c r="CW82" s="22">
        <f t="shared" si="67"/>
        <v>640.3267360872029</v>
      </c>
      <c r="CX82" s="60">
        <f t="shared" si="68"/>
        <v>933.66006942053627</v>
      </c>
      <c r="CY82" s="60">
        <f ca="1">AVERAGE(OFFSET($CX$3,0,0,'Données projet'!$E$13+1,1))-AVERAGE(OFFSET($H$3,0,0,'Données projet'!$E$13+1,1))</f>
        <v>376.96388721258387</v>
      </c>
      <c r="CZ82" s="60">
        <f t="shared" si="96"/>
        <v>211.14628470344377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4.2307692307692264</v>
      </c>
      <c r="DO82" s="13">
        <f>IF('Données projet'!$A$166&gt;35,DO81+DN82-DW81,IF(A82&lt;'Données projet'!$A$166,$DL$205^A82,IF(A82='Données projet'!$A$166,'Données projet'!$B$166,DO81+DN82-DW81)))</f>
        <v>277.82051282051287</v>
      </c>
      <c r="DP82" s="18">
        <f>DO82*VLOOKUP('Données projet'!$B$14,Paramètres!$A$1:$I$89,3,0)*VLOOKUP('Données projet'!$B$14,Paramètres!$A$1:$I$89,5,0)</f>
        <v>186.36200000000002</v>
      </c>
      <c r="DQ82" s="14">
        <f t="shared" si="97"/>
        <v>46.734739947740024</v>
      </c>
      <c r="DR82" s="22">
        <f t="shared" si="70"/>
        <v>405.97682207564725</v>
      </c>
      <c r="DS82" s="60">
        <f t="shared" si="71"/>
        <v>699.31015540898056</v>
      </c>
      <c r="DT82" s="60">
        <f ca="1">AVERAGE(OFFSET($DS$3,0,0,'Données projet'!$E$14+1,1))-AVERAGE(OFFSET($H$3,0,0,'Données projet'!$E$14+1,1))</f>
        <v>212.33913923444732</v>
      </c>
      <c r="DU82" s="60">
        <f t="shared" si="98"/>
        <v>183.51194426094372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0" t="e">
        <f t="shared" si="74"/>
        <v>#N/A</v>
      </c>
      <c r="EO82" s="60" t="e">
        <f ca="1">AVERAGE(OFFSET($EN$3,0,0,'Données projet'!$E$15+1,1))-AVERAGE(OFFSET($H$3,0,0,'Données projet'!$E$15+1,1))</f>
        <v>#N/A</v>
      </c>
      <c r="EP82" s="60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0" t="e">
        <f t="shared" si="77"/>
        <v>#N/A</v>
      </c>
      <c r="FJ82" s="60" t="e">
        <f ca="1">AVERAGE(OFFSET($FI$3,0,0,'Données projet'!$E$16+1,1))-AVERAGE(OFFSET($H$3,0,0,'Données projet'!$E$16+1,1))</f>
        <v>#N/A</v>
      </c>
      <c r="FK82" s="60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0" t="e">
        <f t="shared" si="80"/>
        <v>#N/A</v>
      </c>
      <c r="GE82" s="60" t="e">
        <f ca="1">AVERAGE(OFFSET($GD$3,0,0,'Données projet'!$E$17+1,1))-AVERAGE(OFFSET($H$3,0,0,'Données projet'!$E$17+1,1))</f>
        <v>#N/A</v>
      </c>
      <c r="GF82" s="60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0" t="e">
        <f t="shared" si="83"/>
        <v>#N/A</v>
      </c>
      <c r="GZ82" s="60" t="e">
        <f ca="1">AVERAGE(OFFSET($GY$3,0,0,'Données projet'!$E$18+1,1))-AVERAGE(OFFSET($H$3,0,0,'Données projet'!$E$18+1,1))</f>
        <v>#N/A</v>
      </c>
      <c r="HA82" s="60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5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2">
        <f t="shared" si="86"/>
        <v>12.968979282088567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8">
        <f t="shared" si="56"/>
        <v>391.99697224963751</v>
      </c>
      <c r="I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319.7076923076923</v>
      </c>
      <c r="L83" s="13">
        <f>VLOOKUP(A83,'Données projet'!$A$35:$I$55,9,0)</f>
        <v>8.918461538461532</v>
      </c>
      <c r="M83" s="13">
        <f t="array" ref="M83">INDEX(L:L,MIN(IF(ISNUMBER(L83:L279),ROW(L83:L279),"")))</f>
        <v>8.918461538461532</v>
      </c>
      <c r="N83" s="14">
        <f>IF('Données projet'!$A$36&gt;35,N82+M83-V82,IF(A83&lt;'Données projet'!$A$36,$K$205^A83,IF(A83='Données projet'!$A$36,'Données projet'!$B$36,N82+M83-V82)))</f>
        <v>319.70769230769235</v>
      </c>
      <c r="O83" s="14">
        <f>N83*VLOOKUP('Données projet'!$B$9,Paramètres!$A$1:$I$89,3,0)*VLOOKUP('Données projet'!$B$9,Paramètres!$A$1:$I$89,5,0)</f>
        <v>149.62320000000003</v>
      </c>
      <c r="P83" s="14">
        <f t="shared" si="87"/>
        <v>38.492943938194955</v>
      </c>
      <c r="Q83" s="22">
        <f t="shared" si="54"/>
        <v>327.63561735902289</v>
      </c>
      <c r="R83" s="60">
        <f t="shared" si="55"/>
        <v>620.9689506923562</v>
      </c>
      <c r="S83" s="60">
        <f ca="1">AVERAGE(OFFSET($R$3,0,0,'Données projet'!$E$9+1,1))-AVERAGE(OFFSET($H$3,0,0,'Données projet'!$E$9+1,1))</f>
        <v>146.40889017442277</v>
      </c>
      <c r="T83" s="60">
        <f t="shared" si="88"/>
        <v>70.859031694091868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320</v>
      </c>
      <c r="AG83" s="13">
        <f>VLOOKUP(A83,'Données projet'!$A$61:$I$81,9,0)</f>
        <v>7.2</v>
      </c>
      <c r="AH83" s="13">
        <f t="array" ref="AH83">INDEX(AG:AG,MIN(IF(ISNUMBER(AG83:AG279),ROW(AG83:AG279),"")))</f>
        <v>7.2</v>
      </c>
      <c r="AI83" s="14">
        <f>IF('Données projet'!$A$62&gt;35,AI82+AH83-AQ82,IF(A83&lt;'Données projet'!$A$62,$AF$205^A83,IF(A83='Données projet'!$A$62,'Données projet'!$B$62,AI82+AH83-AQ82)))</f>
        <v>320</v>
      </c>
      <c r="AJ83" s="14">
        <f>AI83*VLOOKUP('Données projet'!$B$10,Paramètres!$A$1:$I$89,3,0)*VLOOKUP('Données projet'!$B$10,Paramètres!$A$1:$I$89,5,0)</f>
        <v>289.536</v>
      </c>
      <c r="AK83" s="14">
        <f t="shared" si="89"/>
        <v>68.97829509904436</v>
      </c>
      <c r="AL83" s="22">
        <f t="shared" si="58"/>
        <v>624.41239729750225</v>
      </c>
      <c r="AM83" s="60">
        <f t="shared" si="59"/>
        <v>917.74573063083562</v>
      </c>
      <c r="AN83" s="60">
        <f ca="1">AVERAGE(OFFSET($AM$3,0,0,'Données projet'!$E$10+1,1))-AVERAGE(OFFSET($H$3,0,0,'Données projet'!$E$10+1,1))</f>
        <v>404.14319681142746</v>
      </c>
      <c r="AO83" s="60">
        <f t="shared" si="90"/>
        <v>203.5274665601915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282</v>
      </c>
      <c r="BB83" s="13">
        <f>VLOOKUP(A83,'Données projet'!$A$87:$I$107,9,0)</f>
        <v>6</v>
      </c>
      <c r="BC83" s="13">
        <f t="array" ref="BC83">INDEX(BB:BB,MIN(IF(ISNUMBER(BB83:BB279),ROW(BB83:BB279),"")))</f>
        <v>6</v>
      </c>
      <c r="BD83" s="13">
        <f>IF('Données projet'!$A$88&gt;35,BD82+BC83-BL82,IF(A83&lt;'Données projet'!$A$88,$BA$205^A83,IF(A83='Données projet'!$A$88,'Données projet'!$B$88,BD82+BC83-BL82)))</f>
        <v>281.99999999999989</v>
      </c>
      <c r="BE83" s="14">
        <f>BD83*VLOOKUP('Données projet'!$B$11,Paramètres!$A$1:$I$89,3,0)*VLOOKUP('Données projet'!$B$11,Paramètres!$A$1:$I$89,5,0)</f>
        <v>285.94799999999992</v>
      </c>
      <c r="BF83" s="14">
        <f t="shared" si="91"/>
        <v>68.222450362989363</v>
      </c>
      <c r="BG83" s="22">
        <f t="shared" si="61"/>
        <v>616.84686771553959</v>
      </c>
      <c r="BH83" s="60">
        <f t="shared" si="62"/>
        <v>910.18020104887296</v>
      </c>
      <c r="BI83" s="60">
        <f ca="1">AVERAGE(OFFSET($BH$3,0,0,'Données projet'!$E$11+1,1))-AVERAGE(OFFSET($H$3,0,0,'Données projet'!$E$11+1,1))</f>
        <v>350.3652766444938</v>
      </c>
      <c r="BJ83" s="60">
        <f t="shared" si="92"/>
        <v>197.04549436738586</v>
      </c>
      <c r="BK83" s="16">
        <f>IF(ISNA(VLOOKUP(A83,'Données projet'!$A$87:$I$107,3,0)),0,VLOOKUP(A83,'Données projet'!$A$87:$I$107,3,0))</f>
        <v>6</v>
      </c>
      <c r="BL83" s="23">
        <f>IF(ISNA(VLOOKUP(A83,'Données projet'!$A$87:$I$107,4,0)),0,VLOOKUP(A83,'Données projet'!$A$87:$I$107,4,0))</f>
        <v>42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282</v>
      </c>
      <c r="BW83" s="13">
        <f>VLOOKUP(A83,'Données projet'!$A$113:$I$133,9,0)</f>
        <v>6</v>
      </c>
      <c r="BX83" s="13">
        <f t="array" ref="BX83">INDEX(BW:BW,MIN(IF(ISNUMBER(BW83:BW279),ROW(BW83:BW279),"")))</f>
        <v>6</v>
      </c>
      <c r="BY83" s="13">
        <f>IF('Données projet'!$A$114&gt;35,BY82+BX83-CG82,IF(A83&lt;'Données projet'!$A$114,$BV$205^A83,IF(A83='Données projet'!$A$114,'Données projet'!$B$114,BY82+BX83-CG82)))</f>
        <v>281.99999999999989</v>
      </c>
      <c r="BZ83" s="14">
        <f>BY83*VLOOKUP('Données projet'!$B$12,Paramètres!$A$1:$I$89,3,0)*VLOOKUP('Données projet'!$B$12,Paramètres!$A$1:$I$89,5,0)</f>
        <v>272.7503999999999</v>
      </c>
      <c r="CA83" s="14">
        <f t="shared" si="93"/>
        <v>65.432628830820633</v>
      </c>
      <c r="CB83" s="22">
        <f t="shared" si="64"/>
        <v>589.00210854701243</v>
      </c>
      <c r="CC83" s="60">
        <f t="shared" si="65"/>
        <v>882.3354418803458</v>
      </c>
      <c r="CD83" s="60">
        <f ca="1">AVERAGE(OFFSET($CC$3,0,0,'Données projet'!$E$12+1,1))-AVERAGE(OFFSET($H$3,0,0,'Données projet'!$E$12+1,1))</f>
        <v>330.39429528665841</v>
      </c>
      <c r="CE83" s="60">
        <f t="shared" si="94"/>
        <v>186.45728006007261</v>
      </c>
      <c r="CF83" s="16">
        <f>IF(ISNA(VLOOKUP(A83,'Données projet'!$A$113:$I$133,3,0)),0,VLOOKUP(A83,'Données projet'!$A$113:$I$133,3,0))</f>
        <v>6</v>
      </c>
      <c r="CG83" s="16">
        <f>IF(ISNA(VLOOKUP(A83,'Données projet'!$A$113:$I$133,4,0)),0,VLOOKUP(A83,'Données projet'!$A$113:$I$133,4,0))</f>
        <v>42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282</v>
      </c>
      <c r="CR83" s="13">
        <f>VLOOKUP(A83,'Données projet'!$A$139:$I$159,9,0)</f>
        <v>6</v>
      </c>
      <c r="CS83" s="13">
        <f t="array" ref="CS83">INDEX(CR:CR,MIN(IF(ISNUMBER(CR83:CR279),ROW(CR83:CR279),"")))</f>
        <v>6</v>
      </c>
      <c r="CT83" s="13">
        <f>IF('Données projet'!$A$140&gt;35,CT82+CS83-DB82,IF(A83&lt;'Données projet'!$A$140,$CQ$205^A83,IF(A83='Données projet'!$A$140,'Données projet'!$B$140,CT82+CS83-DB82)))</f>
        <v>281.99999999999989</v>
      </c>
      <c r="CU83" s="18">
        <f>CT83*VLOOKUP('Données projet'!$B$13,Paramètres!$A$1:$I$89,3,0)*VLOOKUP('Données projet'!$B$13,Paramètres!$A$1:$I$89,5,0)</f>
        <v>303.54479999999984</v>
      </c>
      <c r="CV83" s="14">
        <f t="shared" si="95"/>
        <v>71.919080904752505</v>
      </c>
      <c r="CW83" s="22">
        <f t="shared" si="67"/>
        <v>653.93292590911028</v>
      </c>
      <c r="CX83" s="60">
        <f t="shared" si="68"/>
        <v>947.26625924244354</v>
      </c>
      <c r="CY83" s="60">
        <f ca="1">AVERAGE(OFFSET($CX$3,0,0,'Données projet'!$E$13+1,1))-AVERAGE(OFFSET($H$3,0,0,'Données projet'!$E$13+1,1))</f>
        <v>376.96388721258387</v>
      </c>
      <c r="CZ83" s="60">
        <f t="shared" si="96"/>
        <v>211.14628470344377</v>
      </c>
      <c r="DA83" s="16">
        <f>IF(ISNA(VLOOKUP(A83,'Données projet'!$A$139:$I$159,3,0)),0,VLOOKUP(A83,'Données projet'!$A$139:$I$159,3,0))</f>
        <v>6</v>
      </c>
      <c r="DB83" s="16">
        <f>IF(ISNA(VLOOKUP(A83,'Données projet'!$A$139:$I$159,4,0)),0,VLOOKUP(A83,'Données projet'!$A$139:$I$159,4,0))</f>
        <v>42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282.05128205128204</v>
      </c>
      <c r="DM83" s="13">
        <f>VLOOKUP(A83,'Données projet'!$A$165:$I$185,9,0)</f>
        <v>4.2307692307692264</v>
      </c>
      <c r="DN83" s="13">
        <f t="array" ref="DN83">INDEX(DM:DM,MIN(IF(ISNUMBER(DM83:DM279),ROW(DM83:DM279),"")))</f>
        <v>4.2307692307692264</v>
      </c>
      <c r="DO83" s="13">
        <f>IF('Données projet'!$A$166&gt;35,DO82+DN83-DW82,IF(A83&lt;'Données projet'!$A$166,$DL$205^A83,IF(A83='Données projet'!$A$166,'Données projet'!$B$166,DO82+DN83-DW82)))</f>
        <v>282.0512820512821</v>
      </c>
      <c r="DP83" s="18">
        <f>DO83*VLOOKUP('Données projet'!$B$14,Paramètres!$A$1:$I$89,3,0)*VLOOKUP('Données projet'!$B$14,Paramètres!$A$1:$I$89,5,0)</f>
        <v>189.20000000000005</v>
      </c>
      <c r="DQ83" s="14">
        <f t="shared" si="97"/>
        <v>47.363040799609742</v>
      </c>
      <c r="DR83" s="22">
        <f t="shared" si="70"/>
        <v>412.01396272598703</v>
      </c>
      <c r="DS83" s="60">
        <f t="shared" si="71"/>
        <v>705.34729605932034</v>
      </c>
      <c r="DT83" s="60">
        <f ca="1">AVERAGE(OFFSET($DS$3,0,0,'Données projet'!$E$14+1,1))-AVERAGE(OFFSET($H$3,0,0,'Données projet'!$E$14+1,1))</f>
        <v>212.33913923444732</v>
      </c>
      <c r="DU83" s="60">
        <f t="shared" si="98"/>
        <v>183.51194426094372</v>
      </c>
      <c r="DV83" s="16">
        <f>IF(ISNA(VLOOKUP(A83,'Données projet'!$A$165:$I$185,3,0)),0,VLOOKUP(A83,'Données projet'!$A$165:$I$185,3,0))</f>
        <v>7</v>
      </c>
      <c r="DW83" s="16">
        <f>IF(ISNA(VLOOKUP(A83,'Données projet'!$A$165:$I$185,4,0)),0,VLOOKUP(A83,'Données projet'!$A$165:$I$185,4,0))</f>
        <v>26.282051282051281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0" t="e">
        <f t="shared" si="74"/>
        <v>#N/A</v>
      </c>
      <c r="EO83" s="60" t="e">
        <f ca="1">AVERAGE(OFFSET($EN$3,0,0,'Données projet'!$E$15+1,1))-AVERAGE(OFFSET($H$3,0,0,'Données projet'!$E$15+1,1))</f>
        <v>#N/A</v>
      </c>
      <c r="EP83" s="60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0" t="e">
        <f t="shared" si="77"/>
        <v>#N/A</v>
      </c>
      <c r="FJ83" s="60" t="e">
        <f ca="1">AVERAGE(OFFSET($FI$3,0,0,'Données projet'!$E$16+1,1))-AVERAGE(OFFSET($H$3,0,0,'Données projet'!$E$16+1,1))</f>
        <v>#N/A</v>
      </c>
      <c r="FK83" s="60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0" t="e">
        <f t="shared" si="80"/>
        <v>#N/A</v>
      </c>
      <c r="GE83" s="60" t="e">
        <f ca="1">AVERAGE(OFFSET($GD$3,0,0,'Données projet'!$E$17+1,1))-AVERAGE(OFFSET($H$3,0,0,'Données projet'!$E$17+1,1))</f>
        <v>#N/A</v>
      </c>
      <c r="GF83" s="60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0" t="e">
        <f t="shared" si="83"/>
        <v>#N/A</v>
      </c>
      <c r="GZ83" s="60" t="e">
        <f ca="1">AVERAGE(OFFSET($GY$3,0,0,'Données projet'!$E$18+1,1))-AVERAGE(OFFSET($H$3,0,0,'Données projet'!$E$18+1,1))</f>
        <v>#N/A</v>
      </c>
      <c r="HA83" s="60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5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2">
        <f t="shared" si="86"/>
        <v>13.112117930994097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8">
        <f t="shared" si="56"/>
        <v>393.19722206314799</v>
      </c>
      <c r="I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9.046153846153846</v>
      </c>
      <c r="N84" s="14">
        <f>IF('Données projet'!$A$36&gt;35,N83+M84-V83,IF(A84&lt;'Données projet'!$A$36,$K$205^A84,IF(A84='Données projet'!$A$36,'Données projet'!$B$36,N83+M84-V83)))</f>
        <v>328.75384615384621</v>
      </c>
      <c r="O84" s="14">
        <f>N84*VLOOKUP('Données projet'!$B$9,Paramètres!$A$1:$I$89,3,0)*VLOOKUP('Données projet'!$B$9,Paramètres!$A$1:$I$89,5,0)</f>
        <v>153.85680000000002</v>
      </c>
      <c r="P84" s="14">
        <f t="shared" si="87"/>
        <v>39.453758056234719</v>
      </c>
      <c r="Q84" s="22">
        <f t="shared" si="54"/>
        <v>336.68255528127548</v>
      </c>
      <c r="R84" s="60">
        <f t="shared" si="55"/>
        <v>630.0158886146088</v>
      </c>
      <c r="S84" s="60">
        <f ca="1">AVERAGE(OFFSET($R$3,0,0,'Données projet'!$E$9+1,1))-AVERAGE(OFFSET($H$3,0,0,'Données projet'!$E$9+1,1))</f>
        <v>146.40889017442277</v>
      </c>
      <c r="T84" s="60">
        <f t="shared" si="88"/>
        <v>70.859031694091868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6.6</v>
      </c>
      <c r="AI84" s="14">
        <f>IF('Données projet'!$A$62&gt;35,AI83+AH84-AQ83,IF(A84&lt;'Données projet'!$A$62,$AF$205^A84,IF(A84='Données projet'!$A$62,'Données projet'!$B$62,AI83+AH84-AQ83)))</f>
        <v>326.60000000000002</v>
      </c>
      <c r="AJ84" s="14">
        <f>AI84*VLOOKUP('Données projet'!$B$10,Paramètres!$A$1:$I$89,3,0)*VLOOKUP('Données projet'!$B$10,Paramètres!$A$1:$I$89,5,0)</f>
        <v>295.50767999999999</v>
      </c>
      <c r="AK84" s="14">
        <f t="shared" si="89"/>
        <v>70.233875285761272</v>
      </c>
      <c r="AL84" s="22">
        <f t="shared" si="58"/>
        <v>636.99987545603415</v>
      </c>
      <c r="AM84" s="60">
        <f t="shared" si="59"/>
        <v>930.33320878936752</v>
      </c>
      <c r="AN84" s="60">
        <f ca="1">AVERAGE(OFFSET($AM$3,0,0,'Données projet'!$E$10+1,1))-AVERAGE(OFFSET($H$3,0,0,'Données projet'!$E$10+1,1))</f>
        <v>404.14319681142746</v>
      </c>
      <c r="AO84" s="60">
        <f t="shared" si="90"/>
        <v>203.5274665601915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5.6</v>
      </c>
      <c r="BD84" s="13">
        <f>IF('Données projet'!$A$88&gt;35,BD83+BC84-BL83,IF(A84&lt;'Données projet'!$A$88,$BA$205^A84,IF(A84='Données projet'!$A$88,'Données projet'!$B$88,BD83+BC84-BL83)))</f>
        <v>245.59999999999991</v>
      </c>
      <c r="BE84" s="14">
        <f>BD84*VLOOKUP('Données projet'!$B$11,Paramètres!$A$1:$I$89,3,0)*VLOOKUP('Données projet'!$B$11,Paramètres!$A$1:$I$89,5,0)</f>
        <v>249.03839999999994</v>
      </c>
      <c r="BF84" s="14">
        <f t="shared" si="91"/>
        <v>60.379982523339947</v>
      </c>
      <c r="BG84" s="22">
        <f t="shared" si="61"/>
        <v>538.90368289481694</v>
      </c>
      <c r="BH84" s="60">
        <f t="shared" si="62"/>
        <v>832.2370162281502</v>
      </c>
      <c r="BI84" s="60">
        <f ca="1">AVERAGE(OFFSET($BH$3,0,0,'Données projet'!$E$11+1,1))-AVERAGE(OFFSET($H$3,0,0,'Données projet'!$E$11+1,1))</f>
        <v>350.3652766444938</v>
      </c>
      <c r="BJ84" s="60">
        <f t="shared" si="92"/>
        <v>197.04549436738586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5.6</v>
      </c>
      <c r="BY84" s="13">
        <f>IF('Données projet'!$A$114&gt;35,BY83+BX84-CG83,IF(A84&lt;'Données projet'!$A$114,$BV$205^A84,IF(A84='Données projet'!$A$114,'Données projet'!$B$114,BY83+BX84-CG83)))</f>
        <v>245.59999999999991</v>
      </c>
      <c r="BZ84" s="14">
        <f>BY84*VLOOKUP('Données projet'!$B$12,Paramètres!$A$1:$I$89,3,0)*VLOOKUP('Données projet'!$B$12,Paramètres!$A$1:$I$89,5,0)</f>
        <v>237.54431999999991</v>
      </c>
      <c r="CA84" s="14">
        <f t="shared" si="93"/>
        <v>57.910863128487989</v>
      </c>
      <c r="CB84" s="22">
        <f t="shared" si="64"/>
        <v>514.58444394878302</v>
      </c>
      <c r="CC84" s="60">
        <f t="shared" si="65"/>
        <v>807.91777728211628</v>
      </c>
      <c r="CD84" s="60">
        <f ca="1">AVERAGE(OFFSET($CC$3,0,0,'Données projet'!$E$12+1,1))-AVERAGE(OFFSET($H$3,0,0,'Données projet'!$E$12+1,1))</f>
        <v>330.39429528665841</v>
      </c>
      <c r="CE84" s="60">
        <f t="shared" si="94"/>
        <v>186.45728006007261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5.6</v>
      </c>
      <c r="CT84" s="13">
        <f>IF('Données projet'!$A$140&gt;35,CT83+CS84-DB83,IF(A84&lt;'Données projet'!$A$140,$CQ$205^A84,IF(A84='Données projet'!$A$140,'Données projet'!$B$140,CT83+CS84-DB83)))</f>
        <v>245.59999999999991</v>
      </c>
      <c r="CU84" s="18">
        <f>CT84*VLOOKUP('Données projet'!$B$13,Paramètres!$A$1:$I$89,3,0)*VLOOKUP('Données projet'!$B$13,Paramètres!$A$1:$I$89,5,0)</f>
        <v>264.36383999999987</v>
      </c>
      <c r="CV84" s="14">
        <f t="shared" si="95"/>
        <v>63.651669282160768</v>
      </c>
      <c r="CW84" s="22">
        <f t="shared" si="67"/>
        <v>571.29367866642974</v>
      </c>
      <c r="CX84" s="60">
        <f t="shared" si="68"/>
        <v>864.627011999763</v>
      </c>
      <c r="CY84" s="60">
        <f ca="1">AVERAGE(OFFSET($CX$3,0,0,'Données projet'!$E$13+1,1))-AVERAGE(OFFSET($H$3,0,0,'Données projet'!$E$13+1,1))</f>
        <v>376.96388721258387</v>
      </c>
      <c r="CZ84" s="60">
        <f t="shared" si="96"/>
        <v>211.14628470344377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4.1025641025640995</v>
      </c>
      <c r="DO84" s="13">
        <f>IF('Données projet'!$A$166&gt;35,DO83+DN84-DW83,IF(A84&lt;'Données projet'!$A$166,$DL$205^A84,IF(A84='Données projet'!$A$166,'Données projet'!$B$166,DO83+DN84-DW83)))</f>
        <v>259.87179487179492</v>
      </c>
      <c r="DP84" s="18">
        <f>DO84*VLOOKUP('Données projet'!$B$14,Paramètres!$A$1:$I$89,3,0)*VLOOKUP('Données projet'!$B$14,Paramètres!$A$1:$I$89,5,0)</f>
        <v>174.32200000000003</v>
      </c>
      <c r="DQ84" s="14">
        <f t="shared" si="97"/>
        <v>44.056588905148665</v>
      </c>
      <c r="DR84" s="22">
        <f t="shared" si="70"/>
        <v>380.34270900980056</v>
      </c>
      <c r="DS84" s="60">
        <f t="shared" si="71"/>
        <v>673.67604234313387</v>
      </c>
      <c r="DT84" s="60">
        <f ca="1">AVERAGE(OFFSET($DS$3,0,0,'Données projet'!$E$14+1,1))-AVERAGE(OFFSET($H$3,0,0,'Données projet'!$E$14+1,1))</f>
        <v>212.33913923444732</v>
      </c>
      <c r="DU84" s="60">
        <f t="shared" si="98"/>
        <v>183.51194426094372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0" t="e">
        <f t="shared" si="74"/>
        <v>#N/A</v>
      </c>
      <c r="EO84" s="60" t="e">
        <f ca="1">AVERAGE(OFFSET($EN$3,0,0,'Données projet'!$E$15+1,1))-AVERAGE(OFFSET($H$3,0,0,'Données projet'!$E$15+1,1))</f>
        <v>#N/A</v>
      </c>
      <c r="EP84" s="60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0" t="e">
        <f t="shared" si="77"/>
        <v>#N/A</v>
      </c>
      <c r="FJ84" s="60" t="e">
        <f ca="1">AVERAGE(OFFSET($FI$3,0,0,'Données projet'!$E$16+1,1))-AVERAGE(OFFSET($H$3,0,0,'Données projet'!$E$16+1,1))</f>
        <v>#N/A</v>
      </c>
      <c r="FK84" s="60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0" t="e">
        <f t="shared" si="80"/>
        <v>#N/A</v>
      </c>
      <c r="GE84" s="60" t="e">
        <f ca="1">AVERAGE(OFFSET($GD$3,0,0,'Données projet'!$E$17+1,1))-AVERAGE(OFFSET($H$3,0,0,'Données projet'!$E$17+1,1))</f>
        <v>#N/A</v>
      </c>
      <c r="GF84" s="60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0" t="e">
        <f t="shared" si="83"/>
        <v>#N/A</v>
      </c>
      <c r="GZ84" s="60" t="e">
        <f ca="1">AVERAGE(OFFSET($GY$3,0,0,'Données projet'!$E$18+1,1))-AVERAGE(OFFSET($H$3,0,0,'Données projet'!$E$18+1,1))</f>
        <v>#N/A</v>
      </c>
      <c r="HA84" s="60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5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2">
        <f t="shared" si="86"/>
        <v>13.255051026563269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8">
        <f t="shared" si="56"/>
        <v>394.39711387126425</v>
      </c>
      <c r="I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9.046153846153846</v>
      </c>
      <c r="N85" s="14">
        <f>IF('Données projet'!$A$36&gt;35,N84+M85-V84,IF(A85&lt;'Données projet'!$A$36,$K$205^A85,IF(A85='Données projet'!$A$36,'Données projet'!$B$36,N84+M85-V84)))</f>
        <v>337.80000000000007</v>
      </c>
      <c r="O85" s="14">
        <f>N85*VLOOKUP('Données projet'!$B$9,Paramètres!$A$1:$I$89,3,0)*VLOOKUP('Données projet'!$B$9,Paramètres!$A$1:$I$89,5,0)</f>
        <v>158.09040000000002</v>
      </c>
      <c r="P85" s="14">
        <f t="shared" si="87"/>
        <v>40.411499276734304</v>
      </c>
      <c r="Q85" s="22">
        <f t="shared" si="54"/>
        <v>345.72414124031229</v>
      </c>
      <c r="R85" s="60">
        <f t="shared" si="55"/>
        <v>639.05747457364555</v>
      </c>
      <c r="S85" s="60">
        <f ca="1">AVERAGE(OFFSET($R$3,0,0,'Données projet'!$E$9+1,1))-AVERAGE(OFFSET($H$3,0,0,'Données projet'!$E$9+1,1))</f>
        <v>146.40889017442277</v>
      </c>
      <c r="T85" s="60">
        <f t="shared" si="88"/>
        <v>70.859031694091868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6.6</v>
      </c>
      <c r="AI85" s="14">
        <f>IF('Données projet'!$A$62&gt;35,AI84+AH85-AQ84,IF(A85&lt;'Données projet'!$A$62,$AF$205^A85,IF(A85='Données projet'!$A$62,'Données projet'!$B$62,AI84+AH85-AQ84)))</f>
        <v>333.20000000000005</v>
      </c>
      <c r="AJ85" s="14">
        <f>AI85*VLOOKUP('Données projet'!$B$10,Paramètres!$A$1:$I$89,3,0)*VLOOKUP('Données projet'!$B$10,Paramètres!$A$1:$I$89,5,0)</f>
        <v>301.47935999999999</v>
      </c>
      <c r="AK85" s="14">
        <f t="shared" si="89"/>
        <v>71.486505311225272</v>
      </c>
      <c r="AL85" s="22">
        <f t="shared" si="58"/>
        <v>649.58221541705063</v>
      </c>
      <c r="AM85" s="60">
        <f t="shared" si="59"/>
        <v>942.915548750384</v>
      </c>
      <c r="AN85" s="60">
        <f ca="1">AVERAGE(OFFSET($AM$3,0,0,'Données projet'!$E$10+1,1))-AVERAGE(OFFSET($H$3,0,0,'Données projet'!$E$10+1,1))</f>
        <v>404.14319681142746</v>
      </c>
      <c r="AO85" s="60">
        <f t="shared" si="90"/>
        <v>203.5274665601915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5.6</v>
      </c>
      <c r="BD85" s="13">
        <f>IF('Données projet'!$A$88&gt;35,BD84+BC85-BL84,IF(A85&lt;'Données projet'!$A$88,$BA$205^A85,IF(A85='Données projet'!$A$88,'Données projet'!$B$88,BD84+BC85-BL84)))</f>
        <v>251.1999999999999</v>
      </c>
      <c r="BE85" s="14">
        <f>BD85*VLOOKUP('Données projet'!$B$11,Paramètres!$A$1:$I$89,3,0)*VLOOKUP('Données projet'!$B$11,Paramètres!$A$1:$I$89,5,0)</f>
        <v>254.71679999999992</v>
      </c>
      <c r="BF85" s="14">
        <f t="shared" si="91"/>
        <v>61.594871205031538</v>
      </c>
      <c r="BG85" s="22">
        <f t="shared" si="61"/>
        <v>550.9094940154298</v>
      </c>
      <c r="BH85" s="60">
        <f t="shared" si="62"/>
        <v>844.24282734876306</v>
      </c>
      <c r="BI85" s="60">
        <f ca="1">AVERAGE(OFFSET($BH$3,0,0,'Données projet'!$E$11+1,1))-AVERAGE(OFFSET($H$3,0,0,'Données projet'!$E$11+1,1))</f>
        <v>350.3652766444938</v>
      </c>
      <c r="BJ85" s="60">
        <f t="shared" si="92"/>
        <v>197.04549436738586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5.6</v>
      </c>
      <c r="BY85" s="13">
        <f>IF('Données projet'!$A$114&gt;35,BY84+BX85-CG84,IF(A85&lt;'Données projet'!$A$114,$BV$205^A85,IF(A85='Données projet'!$A$114,'Données projet'!$B$114,BY84+BX85-CG84)))</f>
        <v>251.1999999999999</v>
      </c>
      <c r="BZ85" s="14">
        <f>BY85*VLOOKUP('Données projet'!$B$12,Paramètres!$A$1:$I$89,3,0)*VLOOKUP('Données projet'!$B$12,Paramètres!$A$1:$I$89,5,0)</f>
        <v>242.96063999999993</v>
      </c>
      <c r="CA85" s="14">
        <f t="shared" si="93"/>
        <v>59.076071351835715</v>
      </c>
      <c r="CB85" s="22">
        <f t="shared" si="64"/>
        <v>526.04727227111368</v>
      </c>
      <c r="CC85" s="60">
        <f t="shared" si="65"/>
        <v>819.38060560444706</v>
      </c>
      <c r="CD85" s="60">
        <f ca="1">AVERAGE(OFFSET($CC$3,0,0,'Données projet'!$E$12+1,1))-AVERAGE(OFFSET($H$3,0,0,'Données projet'!$E$12+1,1))</f>
        <v>330.39429528665841</v>
      </c>
      <c r="CE85" s="60">
        <f t="shared" si="94"/>
        <v>186.45728006007261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5.6</v>
      </c>
      <c r="CT85" s="13">
        <f>IF('Données projet'!$A$140&gt;35,CT84+CS85-DB84,IF(A85&lt;'Données projet'!$A$140,$CQ$205^A85,IF(A85='Données projet'!$A$140,'Données projet'!$B$140,CT84+CS85-DB84)))</f>
        <v>251.1999999999999</v>
      </c>
      <c r="CU85" s="18">
        <f>CT85*VLOOKUP('Données projet'!$B$13,Paramètres!$A$1:$I$89,3,0)*VLOOKUP('Données projet'!$B$13,Paramètres!$A$1:$I$89,5,0)</f>
        <v>270.39167999999989</v>
      </c>
      <c r="CV85" s="14">
        <f t="shared" si="95"/>
        <v>64.932386654872516</v>
      </c>
      <c r="CW85" s="22">
        <f t="shared" si="67"/>
        <v>584.02274942390272</v>
      </c>
      <c r="CX85" s="60">
        <f t="shared" si="68"/>
        <v>877.35608275723598</v>
      </c>
      <c r="CY85" s="60">
        <f ca="1">AVERAGE(OFFSET($CX$3,0,0,'Données projet'!$E$13+1,1))-AVERAGE(OFFSET($H$3,0,0,'Données projet'!$E$13+1,1))</f>
        <v>376.96388721258387</v>
      </c>
      <c r="CZ85" s="60">
        <f t="shared" si="96"/>
        <v>211.14628470344377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4.1025641025640995</v>
      </c>
      <c r="DO85" s="13">
        <f>IF('Données projet'!$A$166&gt;35,DO84+DN85-DW84,IF(A85&lt;'Données projet'!$A$166,$DL$205^A85,IF(A85='Données projet'!$A$166,'Données projet'!$B$166,DO84+DN85-DW84)))</f>
        <v>263.97435897435901</v>
      </c>
      <c r="DP85" s="18">
        <f>DO85*VLOOKUP('Données projet'!$B$14,Paramètres!$A$1:$I$89,3,0)*VLOOKUP('Données projet'!$B$14,Paramètres!$A$1:$I$89,5,0)</f>
        <v>177.07400000000001</v>
      </c>
      <c r="DQ85" s="14">
        <f t="shared" si="97"/>
        <v>44.670585441115527</v>
      </c>
      <c r="DR85" s="22">
        <f t="shared" si="70"/>
        <v>386.2051529766095</v>
      </c>
      <c r="DS85" s="60">
        <f t="shared" si="71"/>
        <v>679.53848630994275</v>
      </c>
      <c r="DT85" s="60">
        <f ca="1">AVERAGE(OFFSET($DS$3,0,0,'Données projet'!$E$14+1,1))-AVERAGE(OFFSET($H$3,0,0,'Données projet'!$E$14+1,1))</f>
        <v>212.33913923444732</v>
      </c>
      <c r="DU85" s="60">
        <f t="shared" si="98"/>
        <v>183.51194426094372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0" t="e">
        <f t="shared" si="74"/>
        <v>#N/A</v>
      </c>
      <c r="EO85" s="60" t="e">
        <f ca="1">AVERAGE(OFFSET($EN$3,0,0,'Données projet'!$E$15+1,1))-AVERAGE(OFFSET($H$3,0,0,'Données projet'!$E$15+1,1))</f>
        <v>#N/A</v>
      </c>
      <c r="EP85" s="60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0" t="e">
        <f t="shared" si="77"/>
        <v>#N/A</v>
      </c>
      <c r="FJ85" s="60" t="e">
        <f ca="1">AVERAGE(OFFSET($FI$3,0,0,'Données projet'!$E$16+1,1))-AVERAGE(OFFSET($H$3,0,0,'Données projet'!$E$16+1,1))</f>
        <v>#N/A</v>
      </c>
      <c r="FK85" s="60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0" t="e">
        <f t="shared" si="80"/>
        <v>#N/A</v>
      </c>
      <c r="GE85" s="60" t="e">
        <f ca="1">AVERAGE(OFFSET($GD$3,0,0,'Données projet'!$E$17+1,1))-AVERAGE(OFFSET($H$3,0,0,'Données projet'!$E$17+1,1))</f>
        <v>#N/A</v>
      </c>
      <c r="GF85" s="60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0" t="e">
        <f t="shared" si="83"/>
        <v>#N/A</v>
      </c>
      <c r="GZ85" s="60" t="e">
        <f ca="1">AVERAGE(OFFSET($GY$3,0,0,'Données projet'!$E$18+1,1))-AVERAGE(OFFSET($H$3,0,0,'Données projet'!$E$18+1,1))</f>
        <v>#N/A</v>
      </c>
      <c r="HA85" s="60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5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2">
        <f t="shared" si="86"/>
        <v>13.397781365483624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8">
        <f t="shared" si="56"/>
        <v>395.59665254488391</v>
      </c>
      <c r="I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9.046153846153846</v>
      </c>
      <c r="N86" s="14">
        <f>IF('Données projet'!$A$36&gt;35,N85+M86-V85,IF(A86&lt;'Données projet'!$A$36,$K$205^A86,IF(A86='Données projet'!$A$36,'Données projet'!$B$36,N85+M86-V85)))</f>
        <v>346.84615384615392</v>
      </c>
      <c r="O86" s="14">
        <f>N86*VLOOKUP('Données projet'!$B$9,Paramètres!$A$1:$I$89,3,0)*VLOOKUP('Données projet'!$B$9,Paramètres!$A$1:$I$89,5,0)</f>
        <v>162.32400000000004</v>
      </c>
      <c r="P86" s="14">
        <f t="shared" si="87"/>
        <v>41.3662593485464</v>
      </c>
      <c r="Q86" s="22">
        <f t="shared" si="54"/>
        <v>354.76053503205168</v>
      </c>
      <c r="R86" s="60">
        <f t="shared" si="55"/>
        <v>648.09386836538499</v>
      </c>
      <c r="S86" s="60">
        <f ca="1">AVERAGE(OFFSET($R$3,0,0,'Données projet'!$E$9+1,1))-AVERAGE(OFFSET($H$3,0,0,'Données projet'!$E$9+1,1))</f>
        <v>146.40889017442277</v>
      </c>
      <c r="T86" s="60">
        <f t="shared" si="88"/>
        <v>70.859031694091868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6.6</v>
      </c>
      <c r="AI86" s="14">
        <f>IF('Données projet'!$A$62&gt;35,AI85+AH86-AQ85,IF(A86&lt;'Données projet'!$A$62,$AF$205^A86,IF(A86='Données projet'!$A$62,'Données projet'!$B$62,AI85+AH86-AQ85)))</f>
        <v>339.80000000000007</v>
      </c>
      <c r="AJ86" s="14">
        <f>AI86*VLOOKUP('Données projet'!$B$10,Paramètres!$A$1:$I$89,3,0)*VLOOKUP('Données projet'!$B$10,Paramètres!$A$1:$I$89,5,0)</f>
        <v>307.45104000000003</v>
      </c>
      <c r="AK86" s="14">
        <f t="shared" si="89"/>
        <v>72.736250347470119</v>
      </c>
      <c r="AL86" s="22">
        <f t="shared" si="58"/>
        <v>662.15953068851047</v>
      </c>
      <c r="AM86" s="60">
        <f t="shared" si="59"/>
        <v>955.49286402184384</v>
      </c>
      <c r="AN86" s="60">
        <f ca="1">AVERAGE(OFFSET($AM$3,0,0,'Données projet'!$E$10+1,1))-AVERAGE(OFFSET($H$3,0,0,'Données projet'!$E$10+1,1))</f>
        <v>404.14319681142746</v>
      </c>
      <c r="AO86" s="60">
        <f t="shared" si="90"/>
        <v>203.5274665601915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5.6</v>
      </c>
      <c r="BD86" s="13">
        <f>IF('Données projet'!$A$88&gt;35,BD85+BC86-BL85,IF(A86&lt;'Données projet'!$A$88,$BA$205^A86,IF(A86='Données projet'!$A$88,'Données projet'!$B$88,BD85+BC86-BL85)))</f>
        <v>256.7999999999999</v>
      </c>
      <c r="BE86" s="14">
        <f>BD86*VLOOKUP('Données projet'!$B$11,Paramètres!$A$1:$I$89,3,0)*VLOOKUP('Données projet'!$B$11,Paramètres!$A$1:$I$89,5,0)</f>
        <v>260.39519999999987</v>
      </c>
      <c r="BF86" s="14">
        <f t="shared" si="91"/>
        <v>62.806611177714331</v>
      </c>
      <c r="BG86" s="22">
        <f t="shared" si="61"/>
        <v>562.90982113451889</v>
      </c>
      <c r="BH86" s="60">
        <f t="shared" si="62"/>
        <v>856.24315446785226</v>
      </c>
      <c r="BI86" s="60">
        <f ca="1">AVERAGE(OFFSET($BH$3,0,0,'Données projet'!$E$11+1,1))-AVERAGE(OFFSET($H$3,0,0,'Données projet'!$E$11+1,1))</f>
        <v>350.3652766444938</v>
      </c>
      <c r="BJ86" s="60">
        <f t="shared" si="92"/>
        <v>197.04549436738586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5.6</v>
      </c>
      <c r="BY86" s="13">
        <f>IF('Données projet'!$A$114&gt;35,BY85+BX86-CG85,IF(A86&lt;'Données projet'!$A$114,$BV$205^A86,IF(A86='Données projet'!$A$114,'Données projet'!$B$114,BY85+BX86-CG85)))</f>
        <v>256.7999999999999</v>
      </c>
      <c r="BZ86" s="14">
        <f>BY86*VLOOKUP('Données projet'!$B$12,Paramètres!$A$1:$I$89,3,0)*VLOOKUP('Données projet'!$B$12,Paramètres!$A$1:$I$89,5,0)</f>
        <v>248.37695999999988</v>
      </c>
      <c r="CA86" s="14">
        <f t="shared" si="93"/>
        <v>60.238259626372319</v>
      </c>
      <c r="CB86" s="22">
        <f t="shared" si="64"/>
        <v>537.50484084926495</v>
      </c>
      <c r="CC86" s="60">
        <f t="shared" si="65"/>
        <v>830.83817418259832</v>
      </c>
      <c r="CD86" s="60">
        <f ca="1">AVERAGE(OFFSET($CC$3,0,0,'Données projet'!$E$12+1,1))-AVERAGE(OFFSET($H$3,0,0,'Données projet'!$E$12+1,1))</f>
        <v>330.39429528665841</v>
      </c>
      <c r="CE86" s="60">
        <f t="shared" si="94"/>
        <v>186.45728006007261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5.6</v>
      </c>
      <c r="CT86" s="13">
        <f>IF('Données projet'!$A$140&gt;35,CT85+CS86-DB85,IF(A86&lt;'Données projet'!$A$140,$CQ$205^A86,IF(A86='Données projet'!$A$140,'Données projet'!$B$140,CT85+CS86-DB85)))</f>
        <v>256.7999999999999</v>
      </c>
      <c r="CU86" s="18">
        <f>CT86*VLOOKUP('Données projet'!$B$13,Paramètres!$A$1:$I$89,3,0)*VLOOKUP('Données projet'!$B$13,Paramètres!$A$1:$I$89,5,0)</f>
        <v>276.41951999999986</v>
      </c>
      <c r="CV86" s="14">
        <f t="shared" si="95"/>
        <v>66.209784705913108</v>
      </c>
      <c r="CW86" s="22">
        <f t="shared" si="67"/>
        <v>596.74603902946512</v>
      </c>
      <c r="CX86" s="60">
        <f t="shared" si="68"/>
        <v>890.07937236279849</v>
      </c>
      <c r="CY86" s="60">
        <f ca="1">AVERAGE(OFFSET($CX$3,0,0,'Données projet'!$E$13+1,1))-AVERAGE(OFFSET($H$3,0,0,'Données projet'!$E$13+1,1))</f>
        <v>376.96388721258387</v>
      </c>
      <c r="CZ86" s="60">
        <f t="shared" si="96"/>
        <v>211.14628470344377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4.1025641025640995</v>
      </c>
      <c r="DO86" s="13">
        <f>IF('Données projet'!$A$166&gt;35,DO85+DN86-DW85,IF(A86&lt;'Données projet'!$A$166,$DL$205^A86,IF(A86='Données projet'!$A$166,'Données projet'!$B$166,DO85+DN86-DW85)))</f>
        <v>268.07692307692309</v>
      </c>
      <c r="DP86" s="18">
        <f>DO86*VLOOKUP('Données projet'!$B$14,Paramètres!$A$1:$I$89,3,0)*VLOOKUP('Données projet'!$B$14,Paramètres!$A$1:$I$89,5,0)</f>
        <v>179.82600000000002</v>
      </c>
      <c r="DQ86" s="14">
        <f t="shared" si="97"/>
        <v>45.283472193614408</v>
      </c>
      <c r="DR86" s="22">
        <f t="shared" si="70"/>
        <v>392.06566407054515</v>
      </c>
      <c r="DS86" s="60">
        <f t="shared" si="71"/>
        <v>685.39899740387841</v>
      </c>
      <c r="DT86" s="60">
        <f ca="1">AVERAGE(OFFSET($DS$3,0,0,'Données projet'!$E$14+1,1))-AVERAGE(OFFSET($H$3,0,0,'Données projet'!$E$14+1,1))</f>
        <v>212.33913923444732</v>
      </c>
      <c r="DU86" s="60">
        <f t="shared" si="98"/>
        <v>183.51194426094372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0" t="e">
        <f t="shared" si="74"/>
        <v>#N/A</v>
      </c>
      <c r="EO86" s="60" t="e">
        <f ca="1">AVERAGE(OFFSET($EN$3,0,0,'Données projet'!$E$15+1,1))-AVERAGE(OFFSET($H$3,0,0,'Données projet'!$E$15+1,1))</f>
        <v>#N/A</v>
      </c>
      <c r="EP86" s="60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0" t="e">
        <f t="shared" si="77"/>
        <v>#N/A</v>
      </c>
      <c r="FJ86" s="60" t="e">
        <f ca="1">AVERAGE(OFFSET($FI$3,0,0,'Données projet'!$E$16+1,1))-AVERAGE(OFFSET($H$3,0,0,'Données projet'!$E$16+1,1))</f>
        <v>#N/A</v>
      </c>
      <c r="FK86" s="60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0" t="e">
        <f t="shared" si="80"/>
        <v>#N/A</v>
      </c>
      <c r="GE86" s="60" t="e">
        <f ca="1">AVERAGE(OFFSET($GD$3,0,0,'Données projet'!$E$17+1,1))-AVERAGE(OFFSET($H$3,0,0,'Données projet'!$E$17+1,1))</f>
        <v>#N/A</v>
      </c>
      <c r="GF86" s="60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0" t="e">
        <f t="shared" si="83"/>
        <v>#N/A</v>
      </c>
      <c r="GZ86" s="60" t="e">
        <f ca="1">AVERAGE(OFFSET($GY$3,0,0,'Données projet'!$E$18+1,1))-AVERAGE(OFFSET($H$3,0,0,'Données projet'!$E$18+1,1))</f>
        <v>#N/A</v>
      </c>
      <c r="HA86" s="60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5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2">
        <f t="shared" si="86"/>
        <v>13.540311673175388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8">
        <f t="shared" si="56"/>
        <v>396.79584283078037</v>
      </c>
      <c r="I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9.046153846153846</v>
      </c>
      <c r="N87" s="14">
        <f>IF('Données projet'!$A$36&gt;35,N86+M87-V86,IF(A87&lt;'Données projet'!$A$36,$K$205^A87,IF(A87='Données projet'!$A$36,'Données projet'!$B$36,N86+M87-V86)))</f>
        <v>355.89230769230778</v>
      </c>
      <c r="O87" s="14">
        <f>N87*VLOOKUP('Données projet'!$B$9,Paramètres!$A$1:$I$89,3,0)*VLOOKUP('Données projet'!$B$9,Paramètres!$A$1:$I$89,5,0)</f>
        <v>166.55760000000006</v>
      </c>
      <c r="P87" s="14">
        <f t="shared" si="87"/>
        <v>42.318124962101905</v>
      </c>
      <c r="Q87" s="22">
        <f t="shared" si="54"/>
        <v>363.79188764232754</v>
      </c>
      <c r="R87" s="60">
        <f t="shared" si="55"/>
        <v>657.1252209756608</v>
      </c>
      <c r="S87" s="60">
        <f ca="1">AVERAGE(OFFSET($R$3,0,0,'Données projet'!$E$9+1,1))-AVERAGE(OFFSET($H$3,0,0,'Données projet'!$E$9+1,1))</f>
        <v>146.40889017442277</v>
      </c>
      <c r="T87" s="60">
        <f t="shared" si="88"/>
        <v>70.859031694091868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6.6</v>
      </c>
      <c r="AI87" s="14">
        <f>IF('Données projet'!$A$62&gt;35,AI86+AH87-AQ86,IF(A87&lt;'Données projet'!$A$62,$AF$205^A87,IF(A87='Données projet'!$A$62,'Données projet'!$B$62,AI86+AH87-AQ86)))</f>
        <v>346.40000000000009</v>
      </c>
      <c r="AJ87" s="14">
        <f>AI87*VLOOKUP('Données projet'!$B$10,Paramètres!$A$1:$I$89,3,0)*VLOOKUP('Données projet'!$B$10,Paramètres!$A$1:$I$89,5,0)</f>
        <v>313.42272000000008</v>
      </c>
      <c r="AK87" s="14">
        <f t="shared" si="89"/>
        <v>73.983172890008831</v>
      </c>
      <c r="AL87" s="22">
        <f t="shared" si="58"/>
        <v>674.73193011676551</v>
      </c>
      <c r="AM87" s="60">
        <f t="shared" si="59"/>
        <v>968.06526345009888</v>
      </c>
      <c r="AN87" s="60">
        <f ca="1">AVERAGE(OFFSET($AM$3,0,0,'Données projet'!$E$10+1,1))-AVERAGE(OFFSET($H$3,0,0,'Données projet'!$E$10+1,1))</f>
        <v>404.14319681142746</v>
      </c>
      <c r="AO87" s="60">
        <f t="shared" si="90"/>
        <v>203.5274665601915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5.6</v>
      </c>
      <c r="BD87" s="13">
        <f>IF('Données projet'!$A$88&gt;35,BD86+BC87-BL86,IF(A87&lt;'Données projet'!$A$88,$BA$205^A87,IF(A87='Données projet'!$A$88,'Données projet'!$B$88,BD86+BC87-BL86)))</f>
        <v>262.39999999999992</v>
      </c>
      <c r="BE87" s="14">
        <f>BD87*VLOOKUP('Données projet'!$B$11,Paramètres!$A$1:$I$89,3,0)*VLOOKUP('Données projet'!$B$11,Paramètres!$A$1:$I$89,5,0)</f>
        <v>266.07359999999994</v>
      </c>
      <c r="BF87" s="14">
        <f t="shared" si="91"/>
        <v>64.015279012301136</v>
      </c>
      <c r="BG87" s="22">
        <f t="shared" si="61"/>
        <v>574.90479761309098</v>
      </c>
      <c r="BH87" s="60">
        <f t="shared" si="62"/>
        <v>868.23813094642423</v>
      </c>
      <c r="BI87" s="60">
        <f ca="1">AVERAGE(OFFSET($BH$3,0,0,'Données projet'!$E$11+1,1))-AVERAGE(OFFSET($H$3,0,0,'Données projet'!$E$11+1,1))</f>
        <v>350.3652766444938</v>
      </c>
      <c r="BJ87" s="60">
        <f t="shared" si="92"/>
        <v>197.04549436738586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5.6</v>
      </c>
      <c r="BY87" s="13">
        <f>IF('Données projet'!$A$114&gt;35,BY86+BX87-CG86,IF(A87&lt;'Données projet'!$A$114,$BV$205^A87,IF(A87='Données projet'!$A$114,'Données projet'!$B$114,BY86+BX87-CG86)))</f>
        <v>262.39999999999992</v>
      </c>
      <c r="BZ87" s="14">
        <f>BY87*VLOOKUP('Données projet'!$B$12,Paramètres!$A$1:$I$89,3,0)*VLOOKUP('Données projet'!$B$12,Paramètres!$A$1:$I$89,5,0)</f>
        <v>253.79327999999995</v>
      </c>
      <c r="CA87" s="14">
        <f t="shared" si="93"/>
        <v>61.39750139179521</v>
      </c>
      <c r="CB87" s="22">
        <f t="shared" si="64"/>
        <v>548.95727759070985</v>
      </c>
      <c r="CC87" s="60">
        <f t="shared" si="65"/>
        <v>842.29061092404322</v>
      </c>
      <c r="CD87" s="60">
        <f ca="1">AVERAGE(OFFSET($CC$3,0,0,'Données projet'!$E$12+1,1))-AVERAGE(OFFSET($H$3,0,0,'Données projet'!$E$12+1,1))</f>
        <v>330.39429528665841</v>
      </c>
      <c r="CE87" s="60">
        <f t="shared" si="94"/>
        <v>186.45728006007261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5.6</v>
      </c>
      <c r="CT87" s="13">
        <f>IF('Données projet'!$A$140&gt;35,CT86+CS87-DB86,IF(A87&lt;'Données projet'!$A$140,$CQ$205^A87,IF(A87='Données projet'!$A$140,'Données projet'!$B$140,CT86+CS87-DB86)))</f>
        <v>262.39999999999992</v>
      </c>
      <c r="CU87" s="18">
        <f>CT87*VLOOKUP('Données projet'!$B$13,Paramètres!$A$1:$I$89,3,0)*VLOOKUP('Données projet'!$B$13,Paramètres!$A$1:$I$89,5,0)</f>
        <v>282.44735999999989</v>
      </c>
      <c r="CV87" s="14">
        <f t="shared" si="95"/>
        <v>67.48394415518699</v>
      </c>
      <c r="CW87" s="22">
        <f t="shared" si="67"/>
        <v>609.46368807028375</v>
      </c>
      <c r="CX87" s="60">
        <f t="shared" si="68"/>
        <v>902.79702140361701</v>
      </c>
      <c r="CY87" s="60">
        <f ca="1">AVERAGE(OFFSET($CX$3,0,0,'Données projet'!$E$13+1,1))-AVERAGE(OFFSET($H$3,0,0,'Données projet'!$E$13+1,1))</f>
        <v>376.96388721258387</v>
      </c>
      <c r="CZ87" s="60">
        <f t="shared" si="96"/>
        <v>211.14628470344377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4.1025641025640995</v>
      </c>
      <c r="DO87" s="13">
        <f>IF('Données projet'!$A$166&gt;35,DO86+DN87-DW86,IF(A87&lt;'Données projet'!$A$166,$DL$205^A87,IF(A87='Données projet'!$A$166,'Données projet'!$B$166,DO86+DN87-DW86)))</f>
        <v>272.17948717948718</v>
      </c>
      <c r="DP87" s="18">
        <f>DO87*VLOOKUP('Données projet'!$B$14,Paramètres!$A$1:$I$89,3,0)*VLOOKUP('Données projet'!$B$14,Paramètres!$A$1:$I$89,5,0)</f>
        <v>182.578</v>
      </c>
      <c r="DQ87" s="14">
        <f t="shared" si="97"/>
        <v>45.895268107941853</v>
      </c>
      <c r="DR87" s="22">
        <f t="shared" si="70"/>
        <v>397.9242752879988</v>
      </c>
      <c r="DS87" s="60">
        <f t="shared" si="71"/>
        <v>691.25760862133211</v>
      </c>
      <c r="DT87" s="60">
        <f ca="1">AVERAGE(OFFSET($DS$3,0,0,'Données projet'!$E$14+1,1))-AVERAGE(OFFSET($H$3,0,0,'Données projet'!$E$14+1,1))</f>
        <v>212.33913923444732</v>
      </c>
      <c r="DU87" s="60">
        <f t="shared" si="98"/>
        <v>183.51194426094372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0" t="e">
        <f t="shared" si="74"/>
        <v>#N/A</v>
      </c>
      <c r="EO87" s="60" t="e">
        <f ca="1">AVERAGE(OFFSET($EN$3,0,0,'Données projet'!$E$15+1,1))-AVERAGE(OFFSET($H$3,0,0,'Données projet'!$E$15+1,1))</f>
        <v>#N/A</v>
      </c>
      <c r="EP87" s="60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0" t="e">
        <f t="shared" si="77"/>
        <v>#N/A</v>
      </c>
      <c r="FJ87" s="60" t="e">
        <f ca="1">AVERAGE(OFFSET($FI$3,0,0,'Données projet'!$E$16+1,1))-AVERAGE(OFFSET($H$3,0,0,'Données projet'!$E$16+1,1))</f>
        <v>#N/A</v>
      </c>
      <c r="FK87" s="60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0" t="e">
        <f t="shared" si="80"/>
        <v>#N/A</v>
      </c>
      <c r="GE87" s="60" t="e">
        <f ca="1">AVERAGE(OFFSET($GD$3,0,0,'Données projet'!$E$17+1,1))-AVERAGE(OFFSET($H$3,0,0,'Données projet'!$E$17+1,1))</f>
        <v>#N/A</v>
      </c>
      <c r="GF87" s="60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0" t="e">
        <f t="shared" si="83"/>
        <v>#N/A</v>
      </c>
      <c r="GZ87" s="60" t="e">
        <f ca="1">AVERAGE(OFFSET($GY$3,0,0,'Données projet'!$E$18+1,1))-AVERAGE(OFFSET($H$3,0,0,'Données projet'!$E$18+1,1))</f>
        <v>#N/A</v>
      </c>
      <c r="HA87" s="60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5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2">
        <f t="shared" si="86"/>
        <v>13.68264460643392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8">
        <f t="shared" si="56"/>
        <v>397.99468935620564</v>
      </c>
      <c r="I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>
        <f>VLOOKUP(A88,'Données projet'!$A$35:$I$55,2,0)</f>
        <v>364.93846153846152</v>
      </c>
      <c r="L88" s="13">
        <f>VLOOKUP(A88,'Données projet'!$A$35:$I$55,9,0)</f>
        <v>9.046153846153846</v>
      </c>
      <c r="M88" s="13">
        <f t="array" ref="M88">INDEX(L:L,MIN(IF(ISNUMBER(L88:L284),ROW(L88:L284),"")))</f>
        <v>9.046153846153846</v>
      </c>
      <c r="N88" s="14">
        <f>IF('Données projet'!$A$36&gt;35,N87+M88-V87,IF(A88&lt;'Données projet'!$A$36,$K$205^A88,IF(A88='Données projet'!$A$36,'Données projet'!$B$36,N87+M88-V87)))</f>
        <v>364.93846153846164</v>
      </c>
      <c r="O88" s="14">
        <f>N88*VLOOKUP('Données projet'!$B$9,Paramètres!$A$1:$I$89,3,0)*VLOOKUP('Données projet'!$B$9,Paramètres!$A$1:$I$89,5,0)</f>
        <v>170.79120000000003</v>
      </c>
      <c r="P88" s="14">
        <f t="shared" si="87"/>
        <v>43.267178149686309</v>
      </c>
      <c r="Q88" s="22">
        <f t="shared" si="54"/>
        <v>372.818341944037</v>
      </c>
      <c r="R88" s="60">
        <f t="shared" si="55"/>
        <v>666.15167527737026</v>
      </c>
      <c r="S88" s="60">
        <f ca="1">AVERAGE(OFFSET($R$3,0,0,'Données projet'!$E$9+1,1))-AVERAGE(OFFSET($H$3,0,0,'Données projet'!$E$9+1,1))</f>
        <v>146.40889017442277</v>
      </c>
      <c r="T88" s="60">
        <f t="shared" si="88"/>
        <v>70.859031694091868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6.6</v>
      </c>
      <c r="AI88" s="14">
        <f>IF('Données projet'!$A$62&gt;35,AI87+AH88-AQ87,IF(A88&lt;'Données projet'!$A$62,$AF$205^A88,IF(A88='Données projet'!$A$62,'Données projet'!$B$62,AI87+AH88-AQ87)))</f>
        <v>353.00000000000011</v>
      </c>
      <c r="AJ88" s="14">
        <f>AI88*VLOOKUP('Données projet'!$B$10,Paramètres!$A$1:$I$89,3,0)*VLOOKUP('Données projet'!$B$10,Paramètres!$A$1:$I$89,5,0)</f>
        <v>319.39440000000013</v>
      </c>
      <c r="AK88" s="14">
        <f t="shared" si="89"/>
        <v>75.227332916620099</v>
      </c>
      <c r="AL88" s="22">
        <f t="shared" si="58"/>
        <v>687.29951816311348</v>
      </c>
      <c r="AM88" s="60">
        <f t="shared" si="59"/>
        <v>980.63285149644685</v>
      </c>
      <c r="AN88" s="60">
        <f ca="1">AVERAGE(OFFSET($AM$3,0,0,'Données projet'!$E$10+1,1))-AVERAGE(OFFSET($H$3,0,0,'Données projet'!$E$10+1,1))</f>
        <v>404.14319681142746</v>
      </c>
      <c r="AO88" s="60">
        <f t="shared" si="90"/>
        <v>203.5274665601915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5.6</v>
      </c>
      <c r="BD88" s="13">
        <f>IF('Données projet'!$A$88&gt;35,BD87+BC88-BL87,IF(A88&lt;'Données projet'!$A$88,$BA$205^A88,IF(A88='Données projet'!$A$88,'Données projet'!$B$88,BD87+BC88-BL87)))</f>
        <v>267.99999999999994</v>
      </c>
      <c r="BE88" s="14">
        <f>BD88*VLOOKUP('Données projet'!$B$11,Paramètres!$A$1:$I$89,3,0)*VLOOKUP('Données projet'!$B$11,Paramètres!$A$1:$I$89,5,0)</f>
        <v>271.75199999999995</v>
      </c>
      <c r="BF88" s="14">
        <f t="shared" si="91"/>
        <v>65.220947824724931</v>
      </c>
      <c r="BG88" s="22">
        <f t="shared" si="61"/>
        <v>586.89455079472907</v>
      </c>
      <c r="BH88" s="60">
        <f t="shared" si="62"/>
        <v>880.22788412806244</v>
      </c>
      <c r="BI88" s="60">
        <f ca="1">AVERAGE(OFFSET($BH$3,0,0,'Données projet'!$E$11+1,1))-AVERAGE(OFFSET($H$3,0,0,'Données projet'!$E$11+1,1))</f>
        <v>350.3652766444938</v>
      </c>
      <c r="BJ88" s="60">
        <f t="shared" si="92"/>
        <v>197.04549436738586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5.6</v>
      </c>
      <c r="BY88" s="13">
        <f>IF('Données projet'!$A$114&gt;35,BY87+BX88-CG87,IF(A88&lt;'Données projet'!$A$114,$BV$205^A88,IF(A88='Données projet'!$A$114,'Données projet'!$B$114,BY87+BX88-CG87)))</f>
        <v>267.99999999999994</v>
      </c>
      <c r="BZ88" s="14">
        <f>BY88*VLOOKUP('Données projet'!$B$12,Paramètres!$A$1:$I$89,3,0)*VLOOKUP('Données projet'!$B$12,Paramètres!$A$1:$I$89,5,0)</f>
        <v>259.20959999999997</v>
      </c>
      <c r="CA88" s="14">
        <f t="shared" si="93"/>
        <v>62.553866774106702</v>
      </c>
      <c r="CB88" s="22">
        <f t="shared" si="64"/>
        <v>560.40470463156907</v>
      </c>
      <c r="CC88" s="60">
        <f t="shared" si="65"/>
        <v>853.73803796490233</v>
      </c>
      <c r="CD88" s="60">
        <f ca="1">AVERAGE(OFFSET($CC$3,0,0,'Données projet'!$E$12+1,1))-AVERAGE(OFFSET($H$3,0,0,'Données projet'!$E$12+1,1))</f>
        <v>330.39429528665841</v>
      </c>
      <c r="CE88" s="60">
        <f t="shared" si="94"/>
        <v>186.45728006007261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5.6</v>
      </c>
      <c r="CT88" s="13">
        <f>IF('Données projet'!$A$140&gt;35,CT87+CS88-DB87,IF(A88&lt;'Données projet'!$A$140,$CQ$205^A88,IF(A88='Données projet'!$A$140,'Données projet'!$B$140,CT87+CS88-DB87)))</f>
        <v>267.99999999999994</v>
      </c>
      <c r="CU88" s="18">
        <f>CT88*VLOOKUP('Données projet'!$B$13,Paramètres!$A$1:$I$89,3,0)*VLOOKUP('Données projet'!$B$13,Paramètres!$A$1:$I$89,5,0)</f>
        <v>288.47519999999997</v>
      </c>
      <c r="CV88" s="14">
        <f t="shared" si="95"/>
        <v>68.754942080410842</v>
      </c>
      <c r="CW88" s="22">
        <f t="shared" si="67"/>
        <v>622.17583079004874</v>
      </c>
      <c r="CX88" s="60">
        <f t="shared" si="68"/>
        <v>915.50916412338211</v>
      </c>
      <c r="CY88" s="60">
        <f ca="1">AVERAGE(OFFSET($CX$3,0,0,'Données projet'!$E$13+1,1))-AVERAGE(OFFSET($H$3,0,0,'Données projet'!$E$13+1,1))</f>
        <v>376.96388721258387</v>
      </c>
      <c r="CZ88" s="60">
        <f t="shared" si="96"/>
        <v>211.14628470344377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>
        <f>VLOOKUP(A88,'Données projet'!$A$165:$I$185,2,0)</f>
        <v>276.28205128205127</v>
      </c>
      <c r="DM88" s="13">
        <f>VLOOKUP(A88,'Données projet'!$A$165:$I$185,9,0)</f>
        <v>4.1025641025640995</v>
      </c>
      <c r="DN88" s="13">
        <f t="array" ref="DN88">INDEX(DM:DM,MIN(IF(ISNUMBER(DM88:DM284),ROW(DM88:DM284),"")))</f>
        <v>4.1025641025640995</v>
      </c>
      <c r="DO88" s="13">
        <f>IF('Données projet'!$A$166&gt;35,DO87+DN88-DW87,IF(A88&lt;'Données projet'!$A$166,$DL$205^A88,IF(A88='Données projet'!$A$166,'Données projet'!$B$166,DO87+DN88-DW87)))</f>
        <v>276.28205128205127</v>
      </c>
      <c r="DP88" s="18">
        <f>DO88*VLOOKUP('Données projet'!$B$14,Paramètres!$A$1:$I$89,3,0)*VLOOKUP('Données projet'!$B$14,Paramètres!$A$1:$I$89,5,0)</f>
        <v>185.32999999999998</v>
      </c>
      <c r="DQ88" s="14">
        <f t="shared" si="97"/>
        <v>46.505991525491268</v>
      </c>
      <c r="DR88" s="22">
        <f t="shared" si="70"/>
        <v>403.78101857356387</v>
      </c>
      <c r="DS88" s="60">
        <f t="shared" si="71"/>
        <v>697.11435190689713</v>
      </c>
      <c r="DT88" s="60">
        <f ca="1">AVERAGE(OFFSET($DS$3,0,0,'Données projet'!$E$14+1,1))-AVERAGE(OFFSET($H$3,0,0,'Données projet'!$E$14+1,1))</f>
        <v>212.33913923444732</v>
      </c>
      <c r="DU88" s="60">
        <f t="shared" si="98"/>
        <v>183.51194426094372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0" t="e">
        <f t="shared" si="74"/>
        <v>#N/A</v>
      </c>
      <c r="EO88" s="60" t="e">
        <f ca="1">AVERAGE(OFFSET($EN$3,0,0,'Données projet'!$E$15+1,1))-AVERAGE(OFFSET($H$3,0,0,'Données projet'!$E$15+1,1))</f>
        <v>#N/A</v>
      </c>
      <c r="EP88" s="60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0" t="e">
        <f t="shared" si="77"/>
        <v>#N/A</v>
      </c>
      <c r="FJ88" s="60" t="e">
        <f ca="1">AVERAGE(OFFSET($FI$3,0,0,'Données projet'!$E$16+1,1))-AVERAGE(OFFSET($H$3,0,0,'Données projet'!$E$16+1,1))</f>
        <v>#N/A</v>
      </c>
      <c r="FK88" s="60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0" t="e">
        <f t="shared" si="80"/>
        <v>#N/A</v>
      </c>
      <c r="GE88" s="60" t="e">
        <f ca="1">AVERAGE(OFFSET($GD$3,0,0,'Données projet'!$E$17+1,1))-AVERAGE(OFFSET($H$3,0,0,'Données projet'!$E$17+1,1))</f>
        <v>#N/A</v>
      </c>
      <c r="GF88" s="60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0" t="e">
        <f t="shared" si="83"/>
        <v>#N/A</v>
      </c>
      <c r="GZ88" s="60" t="e">
        <f ca="1">AVERAGE(OFFSET($GY$3,0,0,'Données projet'!$E$18+1,1))-AVERAGE(OFFSET($H$3,0,0,'Données projet'!$E$18+1,1))</f>
        <v>#N/A</v>
      </c>
      <c r="HA88" s="60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5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2">
        <f t="shared" si="86"/>
        <v>13.824782755944199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8">
        <f t="shared" si="56"/>
        <v>399.19319663326939</v>
      </c>
      <c r="I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9.0999999999999943</v>
      </c>
      <c r="N89" s="14">
        <f>IF('Données projet'!$A$36&gt;35,N88+M89-V88,IF(A89&lt;'Données projet'!$A$36,$K$205^A89,IF(A89='Données projet'!$A$36,'Données projet'!$B$36,N88+M89-V88)))</f>
        <v>374.03846153846166</v>
      </c>
      <c r="O89" s="14">
        <f>N89*VLOOKUP('Données projet'!$B$9,Paramètres!$A$1:$I$89,3,0)*VLOOKUP('Données projet'!$B$9,Paramètres!$A$1:$I$89,5,0)</f>
        <v>175.05000000000004</v>
      </c>
      <c r="P89" s="14">
        <f t="shared" si="87"/>
        <v>44.219121455227665</v>
      </c>
      <c r="Q89" s="22">
        <f t="shared" si="54"/>
        <v>381.89371986785494</v>
      </c>
      <c r="R89" s="60">
        <f t="shared" si="55"/>
        <v>675.22705320118826</v>
      </c>
      <c r="S89" s="60">
        <f ca="1">AVERAGE(OFFSET($R$3,0,0,'Données projet'!$E$9+1,1))-AVERAGE(OFFSET($H$3,0,0,'Données projet'!$E$9+1,1))</f>
        <v>146.40889017442277</v>
      </c>
      <c r="T89" s="60">
        <f t="shared" si="88"/>
        <v>70.859031694091868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6.6</v>
      </c>
      <c r="AI89" s="14">
        <f>IF('Données projet'!$A$62&gt;35,AI88+AH89-AQ88,IF(A89&lt;'Données projet'!$A$62,$AF$205^A89,IF(A89='Données projet'!$A$62,'Données projet'!$B$62,AI88+AH89-AQ88)))</f>
        <v>359.60000000000014</v>
      </c>
      <c r="AJ89" s="14">
        <f>AI89*VLOOKUP('Données projet'!$B$10,Paramètres!$A$1:$I$89,3,0)*VLOOKUP('Données projet'!$B$10,Paramètres!$A$1:$I$89,5,0)</f>
        <v>325.36608000000012</v>
      </c>
      <c r="AK89" s="14">
        <f t="shared" si="89"/>
        <v>76.468788033923758</v>
      </c>
      <c r="AL89" s="22">
        <f t="shared" si="58"/>
        <v>699.86239515908403</v>
      </c>
      <c r="AM89" s="60">
        <f t="shared" si="59"/>
        <v>993.1957284924174</v>
      </c>
      <c r="AN89" s="60">
        <f ca="1">AVERAGE(OFFSET($AM$3,0,0,'Données projet'!$E$10+1,1))-AVERAGE(OFFSET($H$3,0,0,'Données projet'!$E$10+1,1))</f>
        <v>404.14319681142746</v>
      </c>
      <c r="AO89" s="60">
        <f t="shared" si="90"/>
        <v>203.5274665601915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5.6</v>
      </c>
      <c r="BD89" s="13">
        <f>IF('Données projet'!$A$88&gt;35,BD88+BC89-BL88,IF(A89&lt;'Données projet'!$A$88,$BA$205^A89,IF(A89='Données projet'!$A$88,'Données projet'!$B$88,BD88+BC89-BL88)))</f>
        <v>273.59999999999997</v>
      </c>
      <c r="BE89" s="14">
        <f>BD89*VLOOKUP('Données projet'!$B$11,Paramètres!$A$1:$I$89,3,0)*VLOOKUP('Données projet'!$B$11,Paramètres!$A$1:$I$89,5,0)</f>
        <v>277.43039999999996</v>
      </c>
      <c r="BF89" s="14">
        <f t="shared" si="91"/>
        <v>66.423687500715673</v>
      </c>
      <c r="BG89" s="22">
        <f t="shared" si="61"/>
        <v>598.87920239707967</v>
      </c>
      <c r="BH89" s="60">
        <f t="shared" si="62"/>
        <v>892.21253573041304</v>
      </c>
      <c r="BI89" s="60">
        <f ca="1">AVERAGE(OFFSET($BH$3,0,0,'Données projet'!$E$11+1,1))-AVERAGE(OFFSET($H$3,0,0,'Données projet'!$E$11+1,1))</f>
        <v>350.3652766444938</v>
      </c>
      <c r="BJ89" s="60">
        <f t="shared" si="92"/>
        <v>197.04549436738586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5.6</v>
      </c>
      <c r="BY89" s="13">
        <f>IF('Données projet'!$A$114&gt;35,BY88+BX89-CG88,IF(A89&lt;'Données projet'!$A$114,$BV$205^A89,IF(A89='Données projet'!$A$114,'Données projet'!$B$114,BY88+BX89-CG88)))</f>
        <v>273.59999999999997</v>
      </c>
      <c r="BZ89" s="14">
        <f>BY89*VLOOKUP('Données projet'!$B$12,Paramètres!$A$1:$I$89,3,0)*VLOOKUP('Données projet'!$B$12,Paramètres!$A$1:$I$89,5,0)</f>
        <v>264.62591999999995</v>
      </c>
      <c r="CA89" s="14">
        <f t="shared" si="93"/>
        <v>63.707422801198604</v>
      </c>
      <c r="CB89" s="22">
        <f t="shared" si="64"/>
        <v>571.84723871208746</v>
      </c>
      <c r="CC89" s="60">
        <f t="shared" si="65"/>
        <v>865.18057204542083</v>
      </c>
      <c r="CD89" s="60">
        <f ca="1">AVERAGE(OFFSET($CC$3,0,0,'Données projet'!$E$12+1,1))-AVERAGE(OFFSET($H$3,0,0,'Données projet'!$E$12+1,1))</f>
        <v>330.39429528665841</v>
      </c>
      <c r="CE89" s="60">
        <f t="shared" si="94"/>
        <v>186.45728006007261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5.6</v>
      </c>
      <c r="CT89" s="13">
        <f>IF('Données projet'!$A$140&gt;35,CT88+CS89-DB88,IF(A89&lt;'Données projet'!$A$140,$CQ$205^A89,IF(A89='Données projet'!$A$140,'Données projet'!$B$140,CT88+CS89-DB88)))</f>
        <v>273.59999999999997</v>
      </c>
      <c r="CU89" s="18">
        <f>CT89*VLOOKUP('Données projet'!$B$13,Paramètres!$A$1:$I$89,3,0)*VLOOKUP('Données projet'!$B$13,Paramètres!$A$1:$I$89,5,0)</f>
        <v>294.50303999999994</v>
      </c>
      <c r="CV89" s="14">
        <f t="shared" si="95"/>
        <v>70.022852154069838</v>
      </c>
      <c r="CW89" s="22">
        <f t="shared" si="67"/>
        <v>634.88259550167152</v>
      </c>
      <c r="CX89" s="60">
        <f t="shared" si="68"/>
        <v>928.21592883500489</v>
      </c>
      <c r="CY89" s="60">
        <f ca="1">AVERAGE(OFFSET($CX$3,0,0,'Données projet'!$E$13+1,1))-AVERAGE(OFFSET($H$3,0,0,'Données projet'!$E$13+1,1))</f>
        <v>376.96388721258387</v>
      </c>
      <c r="CZ89" s="60">
        <f t="shared" si="96"/>
        <v>211.14628470344377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3.8461538461538454</v>
      </c>
      <c r="DO89" s="13">
        <f>IF('Données projet'!$A$166&gt;35,DO88+DN89-DW88,IF(A89&lt;'Données projet'!$A$166,$DL$205^A89,IF(A89='Données projet'!$A$166,'Données projet'!$B$166,DO88+DN89-DW88)))</f>
        <v>280.12820512820514</v>
      </c>
      <c r="DP89" s="18">
        <f>DO89*VLOOKUP('Données projet'!$B$14,Paramètres!$A$1:$I$89,3,0)*VLOOKUP('Données projet'!$B$14,Paramètres!$A$1:$I$89,5,0)</f>
        <v>187.91</v>
      </c>
      <c r="DQ89" s="14">
        <f t="shared" si="97"/>
        <v>47.077586490700433</v>
      </c>
      <c r="DR89" s="22">
        <f t="shared" si="70"/>
        <v>409.27004647130326</v>
      </c>
      <c r="DS89" s="60">
        <f t="shared" si="71"/>
        <v>702.60337980463657</v>
      </c>
      <c r="DT89" s="60">
        <f ca="1">AVERAGE(OFFSET($DS$3,0,0,'Données projet'!$E$14+1,1))-AVERAGE(OFFSET($H$3,0,0,'Données projet'!$E$14+1,1))</f>
        <v>212.33913923444732</v>
      </c>
      <c r="DU89" s="60">
        <f t="shared" si="98"/>
        <v>183.51194426094372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0" t="e">
        <f t="shared" si="74"/>
        <v>#N/A</v>
      </c>
      <c r="EO89" s="60" t="e">
        <f ca="1">AVERAGE(OFFSET($EN$3,0,0,'Données projet'!$E$15+1,1))-AVERAGE(OFFSET($H$3,0,0,'Données projet'!$E$15+1,1))</f>
        <v>#N/A</v>
      </c>
      <c r="EP89" s="60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0" t="e">
        <f t="shared" si="77"/>
        <v>#N/A</v>
      </c>
      <c r="FJ89" s="60" t="e">
        <f ca="1">AVERAGE(OFFSET($FI$3,0,0,'Données projet'!$E$16+1,1))-AVERAGE(OFFSET($H$3,0,0,'Données projet'!$E$16+1,1))</f>
        <v>#N/A</v>
      </c>
      <c r="FK89" s="60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0" t="e">
        <f t="shared" si="80"/>
        <v>#N/A</v>
      </c>
      <c r="GE89" s="60" t="e">
        <f ca="1">AVERAGE(OFFSET($GD$3,0,0,'Données projet'!$E$17+1,1))-AVERAGE(OFFSET($H$3,0,0,'Données projet'!$E$17+1,1))</f>
        <v>#N/A</v>
      </c>
      <c r="GF89" s="60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0" t="e">
        <f t="shared" si="83"/>
        <v>#N/A</v>
      </c>
      <c r="GZ89" s="60" t="e">
        <f ca="1">AVERAGE(OFFSET($GY$3,0,0,'Données projet'!$E$18+1,1))-AVERAGE(OFFSET($H$3,0,0,'Données projet'!$E$18+1,1))</f>
        <v>#N/A</v>
      </c>
      <c r="HA89" s="60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5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2">
        <f t="shared" si="86"/>
        <v>13.966728648675151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8">
        <f t="shared" si="56"/>
        <v>400.39136906310915</v>
      </c>
      <c r="I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>
        <f>VLOOKUP(A90,'Données projet'!$A$35:$I$55,2,0)</f>
        <v>383.13846153846151</v>
      </c>
      <c r="L90" s="13">
        <f>VLOOKUP(A90,'Données projet'!$A$35:$I$55,9,0)</f>
        <v>9.0999999999999943</v>
      </c>
      <c r="M90" s="13">
        <f t="array" ref="M90">INDEX(L:L,MIN(IF(ISNUMBER(L90:L286),ROW(L90:L286),"")))</f>
        <v>9.0999999999999943</v>
      </c>
      <c r="N90" s="14">
        <f>IF('Données projet'!$A$36&gt;35,N89+M90-V89,IF(A90&lt;'Données projet'!$A$36,$K$205^A90,IF(A90='Données projet'!$A$36,'Données projet'!$B$36,N89+M90-V89)))</f>
        <v>383.13846153846168</v>
      </c>
      <c r="O90" s="14">
        <f>N90*VLOOKUP('Données projet'!$B$9,Paramètres!$A$1:$I$89,3,0)*VLOOKUP('Données projet'!$B$9,Paramètres!$A$1:$I$89,5,0)</f>
        <v>179.30880000000008</v>
      </c>
      <c r="P90" s="14">
        <f t="shared" si="87"/>
        <v>45.168372484136597</v>
      </c>
      <c r="Q90" s="22">
        <f t="shared" si="54"/>
        <v>390.96440874320461</v>
      </c>
      <c r="R90" s="60">
        <f t="shared" si="55"/>
        <v>684.29774207653793</v>
      </c>
      <c r="S90" s="60">
        <f ca="1">AVERAGE(OFFSET($R$3,0,0,'Données projet'!$E$9+1,1))-AVERAGE(OFFSET($H$3,0,0,'Données projet'!$E$9+1,1))</f>
        <v>146.40889017442277</v>
      </c>
      <c r="T90" s="60">
        <f t="shared" si="88"/>
        <v>70.859031694091868</v>
      </c>
      <c r="U90" s="16">
        <f>IF(ISNA(VLOOKUP(A90,'Données projet'!$A$35:$I$55,3,0)),0,VLOOKUP(A90,'Données projet'!$A$35:$I$55,3,0))</f>
        <v>4</v>
      </c>
      <c r="V90" s="16">
        <f>IF(ISNA(VLOOKUP(A90,'Données projet'!$A$35:$I$55,4,0)),0,VLOOKUP(A90,'Données projet'!$A$35:$I$55,4,0))</f>
        <v>82.938461538461524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6.6</v>
      </c>
      <c r="AI90" s="14">
        <f>IF('Données projet'!$A$62&gt;35,AI89+AH90-AQ89,IF(A90&lt;'Données projet'!$A$62,$AF$205^A90,IF(A90='Données projet'!$A$62,'Données projet'!$B$62,AI89+AH90-AQ89)))</f>
        <v>366.20000000000016</v>
      </c>
      <c r="AJ90" s="14">
        <f>AI90*VLOOKUP('Données projet'!$B$10,Paramètres!$A$1:$I$89,3,0)*VLOOKUP('Données projet'!$B$10,Paramètres!$A$1:$I$89,5,0)</f>
        <v>331.33776000000012</v>
      </c>
      <c r="AK90" s="14">
        <f t="shared" si="89"/>
        <v>77.707593612890619</v>
      </c>
      <c r="AL90" s="22">
        <f t="shared" si="58"/>
        <v>712.42065754245129</v>
      </c>
      <c r="AM90" s="60">
        <f t="shared" si="59"/>
        <v>1005.7539908757847</v>
      </c>
      <c r="AN90" s="60">
        <f ca="1">AVERAGE(OFFSET($AM$3,0,0,'Données projet'!$E$10+1,1))-AVERAGE(OFFSET($H$3,0,0,'Données projet'!$E$10+1,1))</f>
        <v>404.14319681142746</v>
      </c>
      <c r="AO90" s="60">
        <f t="shared" si="90"/>
        <v>203.5274665601915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5.6</v>
      </c>
      <c r="BD90" s="13">
        <f>IF('Données projet'!$A$88&gt;35,BD89+BC90-BL89,IF(A90&lt;'Données projet'!$A$88,$BA$205^A90,IF(A90='Données projet'!$A$88,'Données projet'!$B$88,BD89+BC90-BL89)))</f>
        <v>279.2</v>
      </c>
      <c r="BE90" s="14">
        <f>BD90*VLOOKUP('Données projet'!$B$11,Paramètres!$A$1:$I$89,3,0)*VLOOKUP('Données projet'!$B$11,Paramètres!$A$1:$I$89,5,0)</f>
        <v>283.10879999999997</v>
      </c>
      <c r="BF90" s="14">
        <f t="shared" si="91"/>
        <v>67.623564901653808</v>
      </c>
      <c r="BG90" s="22">
        <f t="shared" si="61"/>
        <v>610.85886887038032</v>
      </c>
      <c r="BH90" s="60">
        <f t="shared" si="62"/>
        <v>904.19220220371358</v>
      </c>
      <c r="BI90" s="60">
        <f ca="1">AVERAGE(OFFSET($BH$3,0,0,'Données projet'!$E$11+1,1))-AVERAGE(OFFSET($H$3,0,0,'Données projet'!$E$11+1,1))</f>
        <v>350.3652766444938</v>
      </c>
      <c r="BJ90" s="60">
        <f t="shared" si="92"/>
        <v>197.04549436738586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5.6</v>
      </c>
      <c r="BY90" s="13">
        <f>IF('Données projet'!$A$114&gt;35,BY89+BX90-CG89,IF(A90&lt;'Données projet'!$A$114,$BV$205^A90,IF(A90='Données projet'!$A$114,'Données projet'!$B$114,BY89+BX90-CG89)))</f>
        <v>279.2</v>
      </c>
      <c r="BZ90" s="14">
        <f>BY90*VLOOKUP('Données projet'!$B$12,Paramètres!$A$1:$I$89,3,0)*VLOOKUP('Données projet'!$B$12,Paramètres!$A$1:$I$89,5,0)</f>
        <v>270.04223999999999</v>
      </c>
      <c r="CA90" s="14">
        <f t="shared" si="93"/>
        <v>64.858233600288145</v>
      </c>
      <c r="CB90" s="22">
        <f t="shared" si="64"/>
        <v>583.28499152050188</v>
      </c>
      <c r="CC90" s="60">
        <f t="shared" si="65"/>
        <v>876.61832485383525</v>
      </c>
      <c r="CD90" s="60">
        <f ca="1">AVERAGE(OFFSET($CC$3,0,0,'Données projet'!$E$12+1,1))-AVERAGE(OFFSET($H$3,0,0,'Données projet'!$E$12+1,1))</f>
        <v>330.39429528665841</v>
      </c>
      <c r="CE90" s="60">
        <f t="shared" si="94"/>
        <v>186.45728006007261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5.6</v>
      </c>
      <c r="CT90" s="13">
        <f>IF('Données projet'!$A$140&gt;35,CT89+CS90-DB89,IF(A90&lt;'Données projet'!$A$140,$CQ$205^A90,IF(A90='Données projet'!$A$140,'Données projet'!$B$140,CT89+CS90-DB89)))</f>
        <v>279.2</v>
      </c>
      <c r="CU90" s="18">
        <f>CT90*VLOOKUP('Données projet'!$B$13,Paramètres!$A$1:$I$89,3,0)*VLOOKUP('Données projet'!$B$13,Paramètres!$A$1:$I$89,5,0)</f>
        <v>300.53087999999997</v>
      </c>
      <c r="CV90" s="14">
        <f t="shared" si="95"/>
        <v>71.287744860425462</v>
      </c>
      <c r="CW90" s="22">
        <f t="shared" si="67"/>
        <v>647.58410496524095</v>
      </c>
      <c r="CX90" s="60">
        <f t="shared" si="68"/>
        <v>940.91743829857433</v>
      </c>
      <c r="CY90" s="60">
        <f ca="1">AVERAGE(OFFSET($CX$3,0,0,'Données projet'!$E$13+1,1))-AVERAGE(OFFSET($H$3,0,0,'Données projet'!$E$13+1,1))</f>
        <v>376.96388721258387</v>
      </c>
      <c r="CZ90" s="60">
        <f t="shared" si="96"/>
        <v>211.14628470344377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3.8461538461538454</v>
      </c>
      <c r="DO90" s="13">
        <f>IF('Données projet'!$A$166&gt;35,DO89+DN90-DW89,IF(A90&lt;'Données projet'!$A$166,$DL$205^A90,IF(A90='Données projet'!$A$166,'Données projet'!$B$166,DO89+DN90-DW89)))</f>
        <v>283.97435897435901</v>
      </c>
      <c r="DP90" s="18">
        <f>DO90*VLOOKUP('Données projet'!$B$14,Paramètres!$A$1:$I$89,3,0)*VLOOKUP('Données projet'!$B$14,Paramètres!$A$1:$I$89,5,0)</f>
        <v>190.49</v>
      </c>
      <c r="DQ90" s="14">
        <f t="shared" si="97"/>
        <v>47.648268649617435</v>
      </c>
      <c r="DR90" s="22">
        <f t="shared" si="70"/>
        <v>414.75748456475031</v>
      </c>
      <c r="DS90" s="60">
        <f t="shared" si="71"/>
        <v>708.09081789808363</v>
      </c>
      <c r="DT90" s="60">
        <f ca="1">AVERAGE(OFFSET($DS$3,0,0,'Données projet'!$E$14+1,1))-AVERAGE(OFFSET($H$3,0,0,'Données projet'!$E$14+1,1))</f>
        <v>212.33913923444732</v>
      </c>
      <c r="DU90" s="60">
        <f t="shared" si="98"/>
        <v>183.51194426094372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0" t="e">
        <f t="shared" si="74"/>
        <v>#N/A</v>
      </c>
      <c r="EO90" s="60" t="e">
        <f ca="1">AVERAGE(OFFSET($EN$3,0,0,'Données projet'!$E$15+1,1))-AVERAGE(OFFSET($H$3,0,0,'Données projet'!$E$15+1,1))</f>
        <v>#N/A</v>
      </c>
      <c r="EP90" s="60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0" t="e">
        <f t="shared" si="77"/>
        <v>#N/A</v>
      </c>
      <c r="FJ90" s="60" t="e">
        <f ca="1">AVERAGE(OFFSET($FI$3,0,0,'Données projet'!$E$16+1,1))-AVERAGE(OFFSET($H$3,0,0,'Données projet'!$E$16+1,1))</f>
        <v>#N/A</v>
      </c>
      <c r="FK90" s="60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0" t="e">
        <f t="shared" si="80"/>
        <v>#N/A</v>
      </c>
      <c r="GE90" s="60" t="e">
        <f ca="1">AVERAGE(OFFSET($GD$3,0,0,'Données projet'!$E$17+1,1))-AVERAGE(OFFSET($H$3,0,0,'Données projet'!$E$17+1,1))</f>
        <v>#N/A</v>
      </c>
      <c r="GF90" s="60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0" t="e">
        <f t="shared" si="83"/>
        <v>#N/A</v>
      </c>
      <c r="GZ90" s="60" t="e">
        <f ca="1">AVERAGE(OFFSET($GY$3,0,0,'Données projet'!$E$18+1,1))-AVERAGE(OFFSET($H$3,0,0,'Données projet'!$E$18+1,1))</f>
        <v>#N/A</v>
      </c>
      <c r="HA90" s="60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5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2">
        <f t="shared" si="86"/>
        <v>14.10848475016061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8">
        <f t="shared" si="56"/>
        <v>401.58921093986299</v>
      </c>
      <c r="I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8.1384615384615326</v>
      </c>
      <c r="N91" s="14">
        <f>IF('Données projet'!$A$36&gt;35,N90+M91-V90,IF(A91&lt;'Données projet'!$A$36,$K$205^A91,IF(A91='Données projet'!$A$36,'Données projet'!$B$36,N90+M91-V90)))</f>
        <v>308.33846153846167</v>
      </c>
      <c r="O91" s="14">
        <f>N91*VLOOKUP('Données projet'!$B$9,Paramètres!$A$1:$I$89,3,0)*VLOOKUP('Données projet'!$B$9,Paramètres!$A$1:$I$89,5,0)</f>
        <v>144.30240000000006</v>
      </c>
      <c r="P91" s="14">
        <f t="shared" si="87"/>
        <v>37.280881908845643</v>
      </c>
      <c r="Q91" s="22">
        <f t="shared" si="54"/>
        <v>316.25754932457295</v>
      </c>
      <c r="R91" s="60">
        <f t="shared" si="55"/>
        <v>609.59088265790626</v>
      </c>
      <c r="S91" s="60">
        <f ca="1">AVERAGE(OFFSET($R$3,0,0,'Données projet'!$E$9+1,1))-AVERAGE(OFFSET($H$3,0,0,'Données projet'!$E$9+1,1))</f>
        <v>146.40889017442277</v>
      </c>
      <c r="T91" s="60">
        <f t="shared" si="88"/>
        <v>70.859031694091868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6.6</v>
      </c>
      <c r="AI91" s="14">
        <f>IF('Données projet'!$A$62&gt;35,AI90+AH91-AQ90,IF(A91&lt;'Données projet'!$A$62,$AF$205^A91,IF(A91='Données projet'!$A$62,'Données projet'!$B$62,AI90+AH91-AQ90)))</f>
        <v>372.80000000000018</v>
      </c>
      <c r="AJ91" s="14">
        <f>AI91*VLOOKUP('Données projet'!$B$10,Paramètres!$A$1:$I$89,3,0)*VLOOKUP('Données projet'!$B$10,Paramètres!$A$1:$I$89,5,0)</f>
        <v>337.30944000000017</v>
      </c>
      <c r="AK91" s="14">
        <f t="shared" si="89"/>
        <v>78.943802914307284</v>
      </c>
      <c r="AL91" s="22">
        <f t="shared" si="58"/>
        <v>724.97439807575211</v>
      </c>
      <c r="AM91" s="60">
        <f t="shared" si="59"/>
        <v>1018.3077314090854</v>
      </c>
      <c r="AN91" s="60">
        <f ca="1">AVERAGE(OFFSET($AM$3,0,0,'Données projet'!$E$10+1,1))-AVERAGE(OFFSET($H$3,0,0,'Données projet'!$E$10+1,1))</f>
        <v>404.14319681142746</v>
      </c>
      <c r="AO91" s="60">
        <f t="shared" si="90"/>
        <v>203.5274665601915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5.6</v>
      </c>
      <c r="BD91" s="13">
        <f>IF('Données projet'!$A$88&gt;35,BD90+BC91-BL90,IF(A91&lt;'Données projet'!$A$88,$BA$205^A91,IF(A91='Données projet'!$A$88,'Données projet'!$B$88,BD90+BC91-BL90)))</f>
        <v>284.8</v>
      </c>
      <c r="BE91" s="14">
        <f>BD91*VLOOKUP('Données projet'!$B$11,Paramètres!$A$1:$I$89,3,0)*VLOOKUP('Données projet'!$B$11,Paramètres!$A$1:$I$89,5,0)</f>
        <v>288.78720000000004</v>
      </c>
      <c r="BF91" s="14">
        <f t="shared" si="91"/>
        <v>68.820644053442436</v>
      </c>
      <c r="BG91" s="22">
        <f t="shared" si="61"/>
        <v>622.83366172641229</v>
      </c>
      <c r="BH91" s="60">
        <f t="shared" si="62"/>
        <v>916.16699505974566</v>
      </c>
      <c r="BI91" s="60">
        <f ca="1">AVERAGE(OFFSET($BH$3,0,0,'Données projet'!$E$11+1,1))-AVERAGE(OFFSET($H$3,0,0,'Données projet'!$E$11+1,1))</f>
        <v>350.3652766444938</v>
      </c>
      <c r="BJ91" s="60">
        <f t="shared" si="92"/>
        <v>197.04549436738586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5.6</v>
      </c>
      <c r="BY91" s="13">
        <f>IF('Données projet'!$A$114&gt;35,BY90+BX91-CG90,IF(A91&lt;'Données projet'!$A$114,$BV$205^A91,IF(A91='Données projet'!$A$114,'Données projet'!$B$114,BY90+BX91-CG90)))</f>
        <v>284.8</v>
      </c>
      <c r="BZ91" s="14">
        <f>BY91*VLOOKUP('Données projet'!$B$12,Paramètres!$A$1:$I$89,3,0)*VLOOKUP('Données projet'!$B$12,Paramètres!$A$1:$I$89,5,0)</f>
        <v>275.45855999999998</v>
      </c>
      <c r="CA91" s="14">
        <f t="shared" si="93"/>
        <v>66.006360579066197</v>
      </c>
      <c r="CB91" s="22">
        <f t="shared" si="64"/>
        <v>594.71807000854017</v>
      </c>
      <c r="CC91" s="60">
        <f t="shared" si="65"/>
        <v>888.05140334187354</v>
      </c>
      <c r="CD91" s="60">
        <f ca="1">AVERAGE(OFFSET($CC$3,0,0,'Données projet'!$E$12+1,1))-AVERAGE(OFFSET($H$3,0,0,'Données projet'!$E$12+1,1))</f>
        <v>330.39429528665841</v>
      </c>
      <c r="CE91" s="60">
        <f t="shared" si="94"/>
        <v>186.45728006007261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5.6</v>
      </c>
      <c r="CT91" s="13">
        <f>IF('Données projet'!$A$140&gt;35,CT90+CS91-DB90,IF(A91&lt;'Données projet'!$A$140,$CQ$205^A91,IF(A91='Données projet'!$A$140,'Données projet'!$B$140,CT90+CS91-DB90)))</f>
        <v>284.8</v>
      </c>
      <c r="CU91" s="18">
        <f>CT91*VLOOKUP('Données projet'!$B$13,Paramètres!$A$1:$I$89,3,0)*VLOOKUP('Données projet'!$B$13,Paramètres!$A$1:$I$89,5,0)</f>
        <v>306.55871999999999</v>
      </c>
      <c r="CV91" s="14">
        <f t="shared" si="95"/>
        <v>72.549687694621639</v>
      </c>
      <c r="CW91" s="22">
        <f t="shared" si="67"/>
        <v>660.28047673479932</v>
      </c>
      <c r="CX91" s="60">
        <f t="shared" si="68"/>
        <v>953.61381006813258</v>
      </c>
      <c r="CY91" s="60">
        <f ca="1">AVERAGE(OFFSET($CX$3,0,0,'Données projet'!$E$13+1,1))-AVERAGE(OFFSET($H$3,0,0,'Données projet'!$E$13+1,1))</f>
        <v>376.96388721258387</v>
      </c>
      <c r="CZ91" s="60">
        <f t="shared" si="96"/>
        <v>211.14628470344377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3.8461538461538454</v>
      </c>
      <c r="DO91" s="13">
        <f>IF('Données projet'!$A$166&gt;35,DO90+DN91-DW90,IF(A91&lt;'Données projet'!$A$166,$DL$205^A91,IF(A91='Données projet'!$A$166,'Données projet'!$B$166,DO90+DN91-DW90)))</f>
        <v>287.82051282051287</v>
      </c>
      <c r="DP91" s="18">
        <f>DO91*VLOOKUP('Données projet'!$B$14,Paramètres!$A$1:$I$89,3,0)*VLOOKUP('Données projet'!$B$14,Paramètres!$A$1:$I$89,5,0)</f>
        <v>193.07000000000005</v>
      </c>
      <c r="DQ91" s="14">
        <f t="shared" si="97"/>
        <v>48.218051794342536</v>
      </c>
      <c r="DR91" s="22">
        <f t="shared" si="70"/>
        <v>420.24335687514667</v>
      </c>
      <c r="DS91" s="60">
        <f t="shared" si="71"/>
        <v>713.57669020847993</v>
      </c>
      <c r="DT91" s="60">
        <f ca="1">AVERAGE(OFFSET($DS$3,0,0,'Données projet'!$E$14+1,1))-AVERAGE(OFFSET($H$3,0,0,'Données projet'!$E$14+1,1))</f>
        <v>212.33913923444732</v>
      </c>
      <c r="DU91" s="60">
        <f t="shared" si="98"/>
        <v>183.51194426094372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0" t="e">
        <f t="shared" si="74"/>
        <v>#N/A</v>
      </c>
      <c r="EO91" s="60" t="e">
        <f ca="1">AVERAGE(OFFSET($EN$3,0,0,'Données projet'!$E$15+1,1))-AVERAGE(OFFSET($H$3,0,0,'Données projet'!$E$15+1,1))</f>
        <v>#N/A</v>
      </c>
      <c r="EP91" s="60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0" t="e">
        <f t="shared" si="77"/>
        <v>#N/A</v>
      </c>
      <c r="FJ91" s="60" t="e">
        <f ca="1">AVERAGE(OFFSET($FI$3,0,0,'Données projet'!$E$16+1,1))-AVERAGE(OFFSET($H$3,0,0,'Données projet'!$E$16+1,1))</f>
        <v>#N/A</v>
      </c>
      <c r="FK91" s="60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0" t="e">
        <f t="shared" si="80"/>
        <v>#N/A</v>
      </c>
      <c r="GE91" s="60" t="e">
        <f ca="1">AVERAGE(OFFSET($GD$3,0,0,'Données projet'!$E$17+1,1))-AVERAGE(OFFSET($H$3,0,0,'Données projet'!$E$17+1,1))</f>
        <v>#N/A</v>
      </c>
      <c r="GF91" s="60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0" t="e">
        <f t="shared" si="83"/>
        <v>#N/A</v>
      </c>
      <c r="GZ91" s="60" t="e">
        <f ca="1">AVERAGE(OFFSET($GY$3,0,0,'Données projet'!$E$18+1,1))-AVERAGE(OFFSET($H$3,0,0,'Données projet'!$E$18+1,1))</f>
        <v>#N/A</v>
      </c>
      <c r="HA91" s="60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5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2">
        <f t="shared" si="86"/>
        <v>14.250053466673728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8">
        <f t="shared" si="56"/>
        <v>402.78672645445664</v>
      </c>
      <c r="I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8.1384615384615326</v>
      </c>
      <c r="N92" s="14">
        <f>IF('Données projet'!$A$36&gt;35,N91+M92-V91,IF(A92&lt;'Données projet'!$A$36,$K$205^A92,IF(A92='Données projet'!$A$36,'Données projet'!$B$36,N91+M92-V91)))</f>
        <v>316.47692307692319</v>
      </c>
      <c r="O92" s="14">
        <f>N92*VLOOKUP('Données projet'!$B$9,Paramètres!$A$1:$I$89,3,0)*VLOOKUP('Données projet'!$B$9,Paramètres!$A$1:$I$89,5,0)</f>
        <v>148.11120000000005</v>
      </c>
      <c r="P92" s="14">
        <f t="shared" si="87"/>
        <v>38.149032991304225</v>
      </c>
      <c r="Q92" s="22">
        <f t="shared" si="54"/>
        <v>324.40323912652161</v>
      </c>
      <c r="R92" s="60">
        <f t="shared" si="55"/>
        <v>617.73657245985487</v>
      </c>
      <c r="S92" s="60">
        <f ca="1">AVERAGE(OFFSET($R$3,0,0,'Données projet'!$E$9+1,1))-AVERAGE(OFFSET($H$3,0,0,'Données projet'!$E$9+1,1))</f>
        <v>146.40889017442277</v>
      </c>
      <c r="T92" s="60">
        <f t="shared" si="88"/>
        <v>70.859031694091868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6.6</v>
      </c>
      <c r="AI92" s="14">
        <f>IF('Données projet'!$A$62&gt;35,AI91+AH92-AQ91,IF(A92&lt;'Données projet'!$A$62,$AF$205^A92,IF(A92='Données projet'!$A$62,'Données projet'!$B$62,AI91+AH92-AQ91)))</f>
        <v>379.4000000000002</v>
      </c>
      <c r="AJ92" s="14">
        <f>AI92*VLOOKUP('Données projet'!$B$10,Paramètres!$A$1:$I$89,3,0)*VLOOKUP('Données projet'!$B$10,Paramètres!$A$1:$I$89,5,0)</f>
        <v>343.28112000000016</v>
      </c>
      <c r="AK92" s="14">
        <f t="shared" si="89"/>
        <v>80.17746720510398</v>
      </c>
      <c r="AL92" s="22">
        <f t="shared" si="58"/>
        <v>737.52370604888972</v>
      </c>
      <c r="AM92" s="60">
        <f t="shared" si="59"/>
        <v>1030.8570393822231</v>
      </c>
      <c r="AN92" s="60">
        <f ca="1">AVERAGE(OFFSET($AM$3,0,0,'Données projet'!$E$10+1,1))-AVERAGE(OFFSET($H$3,0,0,'Données projet'!$E$10+1,1))</f>
        <v>404.14319681142746</v>
      </c>
      <c r="AO92" s="60">
        <f t="shared" si="90"/>
        <v>203.5274665601915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5.6</v>
      </c>
      <c r="BD92" s="13">
        <f>IF('Données projet'!$A$88&gt;35,BD91+BC92-BL91,IF(A92&lt;'Données projet'!$A$88,$BA$205^A92,IF(A92='Données projet'!$A$88,'Données projet'!$B$88,BD91+BC92-BL91)))</f>
        <v>290.40000000000003</v>
      </c>
      <c r="BE92" s="14">
        <f>BD92*VLOOKUP('Données projet'!$B$11,Paramètres!$A$1:$I$89,3,0)*VLOOKUP('Données projet'!$B$11,Paramètres!$A$1:$I$89,5,0)</f>
        <v>294.46560000000005</v>
      </c>
      <c r="BF92" s="14">
        <f t="shared" si="91"/>
        <v>70.014986320104285</v>
      </c>
      <c r="BG92" s="22">
        <f t="shared" si="61"/>
        <v>634.8036878408484</v>
      </c>
      <c r="BH92" s="60">
        <f t="shared" si="62"/>
        <v>928.13702117418165</v>
      </c>
      <c r="BI92" s="60">
        <f ca="1">AVERAGE(OFFSET($BH$3,0,0,'Données projet'!$E$11+1,1))-AVERAGE(OFFSET($H$3,0,0,'Données projet'!$E$11+1,1))</f>
        <v>350.3652766444938</v>
      </c>
      <c r="BJ92" s="60">
        <f t="shared" si="92"/>
        <v>197.04549436738586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5.6</v>
      </c>
      <c r="BY92" s="13">
        <f>IF('Données projet'!$A$114&gt;35,BY91+BX92-CG91,IF(A92&lt;'Données projet'!$A$114,$BV$205^A92,IF(A92='Données projet'!$A$114,'Données projet'!$B$114,BY91+BX92-CG91)))</f>
        <v>290.40000000000003</v>
      </c>
      <c r="BZ92" s="14">
        <f>BY92*VLOOKUP('Données projet'!$B$12,Paramètres!$A$1:$I$89,3,0)*VLOOKUP('Données projet'!$B$12,Paramètres!$A$1:$I$89,5,0)</f>
        <v>280.87488000000008</v>
      </c>
      <c r="CA92" s="14">
        <f t="shared" si="93"/>
        <v>67.151862592195855</v>
      </c>
      <c r="CB92" s="22">
        <f t="shared" si="64"/>
        <v>606.14657668140785</v>
      </c>
      <c r="CC92" s="60">
        <f t="shared" si="65"/>
        <v>899.47991001474111</v>
      </c>
      <c r="CD92" s="60">
        <f ca="1">AVERAGE(OFFSET($CC$3,0,0,'Données projet'!$E$12+1,1))-AVERAGE(OFFSET($H$3,0,0,'Données projet'!$E$12+1,1))</f>
        <v>330.39429528665841</v>
      </c>
      <c r="CE92" s="60">
        <f t="shared" si="94"/>
        <v>186.45728006007261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5.6</v>
      </c>
      <c r="CT92" s="13">
        <f>IF('Données projet'!$A$140&gt;35,CT91+CS92-DB91,IF(A92&lt;'Données projet'!$A$140,$CQ$205^A92,IF(A92='Données projet'!$A$140,'Données projet'!$B$140,CT91+CS92-DB91)))</f>
        <v>290.40000000000003</v>
      </c>
      <c r="CU92" s="18">
        <f>CT92*VLOOKUP('Données projet'!$B$13,Paramètres!$A$1:$I$89,3,0)*VLOOKUP('Données projet'!$B$13,Paramètres!$A$1:$I$89,5,0)</f>
        <v>312.58656000000002</v>
      </c>
      <c r="CV92" s="14">
        <f t="shared" si="95"/>
        <v>73.808745345687967</v>
      </c>
      <c r="CW92" s="22">
        <f t="shared" si="67"/>
        <v>672.97182347707314</v>
      </c>
      <c r="CX92" s="60">
        <f t="shared" si="68"/>
        <v>966.30515681040652</v>
      </c>
      <c r="CY92" s="60">
        <f ca="1">AVERAGE(OFFSET($CX$3,0,0,'Données projet'!$E$13+1,1))-AVERAGE(OFFSET($H$3,0,0,'Données projet'!$E$13+1,1))</f>
        <v>376.96388721258387</v>
      </c>
      <c r="CZ92" s="60">
        <f t="shared" si="96"/>
        <v>211.14628470344377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3.8461538461538454</v>
      </c>
      <c r="DO92" s="13">
        <f>IF('Données projet'!$A$166&gt;35,DO91+DN92-DW91,IF(A92&lt;'Données projet'!$A$166,$DL$205^A92,IF(A92='Données projet'!$A$166,'Données projet'!$B$166,DO91+DN92-DW91)))</f>
        <v>291.66666666666674</v>
      </c>
      <c r="DP92" s="18">
        <f>DO92*VLOOKUP('Données projet'!$B$14,Paramètres!$A$1:$I$89,3,0)*VLOOKUP('Données projet'!$B$14,Paramètres!$A$1:$I$89,5,0)</f>
        <v>195.65000000000006</v>
      </c>
      <c r="DQ92" s="14">
        <f t="shared" si="97"/>
        <v>48.786949327182981</v>
      </c>
      <c r="DR92" s="22">
        <f t="shared" si="70"/>
        <v>425.72768674484382</v>
      </c>
      <c r="DS92" s="60">
        <f t="shared" si="71"/>
        <v>719.06102007817708</v>
      </c>
      <c r="DT92" s="60">
        <f ca="1">AVERAGE(OFFSET($DS$3,0,0,'Données projet'!$E$14+1,1))-AVERAGE(OFFSET($H$3,0,0,'Données projet'!$E$14+1,1))</f>
        <v>212.33913923444732</v>
      </c>
      <c r="DU92" s="60">
        <f t="shared" si="98"/>
        <v>183.51194426094372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0" t="e">
        <f t="shared" si="74"/>
        <v>#N/A</v>
      </c>
      <c r="EO92" s="60" t="e">
        <f ca="1">AVERAGE(OFFSET($EN$3,0,0,'Données projet'!$E$15+1,1))-AVERAGE(OFFSET($H$3,0,0,'Données projet'!$E$15+1,1))</f>
        <v>#N/A</v>
      </c>
      <c r="EP92" s="60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0" t="e">
        <f t="shared" si="77"/>
        <v>#N/A</v>
      </c>
      <c r="FJ92" s="60" t="e">
        <f ca="1">AVERAGE(OFFSET($FI$3,0,0,'Données projet'!$E$16+1,1))-AVERAGE(OFFSET($H$3,0,0,'Données projet'!$E$16+1,1))</f>
        <v>#N/A</v>
      </c>
      <c r="FK92" s="60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0" t="e">
        <f t="shared" si="80"/>
        <v>#N/A</v>
      </c>
      <c r="GE92" s="60" t="e">
        <f ca="1">AVERAGE(OFFSET($GD$3,0,0,'Données projet'!$E$17+1,1))-AVERAGE(OFFSET($H$3,0,0,'Données projet'!$E$17+1,1))</f>
        <v>#N/A</v>
      </c>
      <c r="GF92" s="60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0" t="e">
        <f t="shared" si="83"/>
        <v>#N/A</v>
      </c>
      <c r="GZ92" s="60" t="e">
        <f ca="1">AVERAGE(OFFSET($GY$3,0,0,'Données projet'!$E$18+1,1))-AVERAGE(OFFSET($H$3,0,0,'Données projet'!$E$18+1,1))</f>
        <v>#N/A</v>
      </c>
      <c r="HA92" s="60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5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2">
        <f t="shared" si="86"/>
        <v>14.391437147300854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8">
        <f t="shared" si="56"/>
        <v>403.98391969821557</v>
      </c>
      <c r="I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324.61538461538458</v>
      </c>
      <c r="L93" s="13">
        <f>VLOOKUP(A93,'Données projet'!$A$35:$I$55,9,0)</f>
        <v>8.1384615384615326</v>
      </c>
      <c r="M93" s="13">
        <f t="array" ref="M93">INDEX(L:L,MIN(IF(ISNUMBER(L93:L289),ROW(L93:L289),"")))</f>
        <v>8.1384615384615326</v>
      </c>
      <c r="N93" s="14">
        <f>IF('Données projet'!$A$36&gt;35,N92+M93-V92,IF(A93&lt;'Données projet'!$A$36,$K$205^A93,IF(A93='Données projet'!$A$36,'Données projet'!$B$36,N92+M93-V92)))</f>
        <v>324.6153846153847</v>
      </c>
      <c r="O93" s="14">
        <f>N93*VLOOKUP('Données projet'!$B$9,Paramètres!$A$1:$I$89,3,0)*VLOOKUP('Données projet'!$B$9,Paramètres!$A$1:$I$89,5,0)</f>
        <v>151.92000000000004</v>
      </c>
      <c r="P93" s="14">
        <f t="shared" si="87"/>
        <v>39.014589002324001</v>
      </c>
      <c r="Q93" s="22">
        <f t="shared" si="54"/>
        <v>332.5444091790477</v>
      </c>
      <c r="R93" s="60">
        <f t="shared" si="55"/>
        <v>625.87774251238102</v>
      </c>
      <c r="S93" s="60">
        <f ca="1">AVERAGE(OFFSET($R$3,0,0,'Données projet'!$E$9+1,1))-AVERAGE(OFFSET($H$3,0,0,'Données projet'!$E$9+1,1))</f>
        <v>146.40889017442277</v>
      </c>
      <c r="T93" s="60">
        <f t="shared" si="88"/>
        <v>70.859031694091868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386</v>
      </c>
      <c r="AG93" s="13">
        <f>VLOOKUP(A93,'Données projet'!$A$61:$I$81,9,0)</f>
        <v>6.6</v>
      </c>
      <c r="AH93" s="13">
        <f t="array" ref="AH93">INDEX(AG:AG,MIN(IF(ISNUMBER(AG93:AG289),ROW(AG93:AG289),"")))</f>
        <v>6.6</v>
      </c>
      <c r="AI93" s="14">
        <f>IF('Données projet'!$A$62&gt;35,AI92+AH93-AQ92,IF(A93&lt;'Données projet'!$A$62,$AF$205^A93,IF(A93='Données projet'!$A$62,'Données projet'!$B$62,AI92+AH93-AQ92)))</f>
        <v>386.00000000000023</v>
      </c>
      <c r="AJ93" s="14">
        <f>AI93*VLOOKUP('Données projet'!$B$10,Paramètres!$A$1:$I$89,3,0)*VLOOKUP('Données projet'!$B$10,Paramètres!$A$1:$I$89,5,0)</f>
        <v>349.25280000000021</v>
      </c>
      <c r="AK93" s="14">
        <f t="shared" si="89"/>
        <v>81.408635866358992</v>
      </c>
      <c r="AL93" s="22">
        <f t="shared" si="58"/>
        <v>750.06866746724211</v>
      </c>
      <c r="AM93" s="60">
        <f t="shared" si="59"/>
        <v>1043.4020008005755</v>
      </c>
      <c r="AN93" s="60">
        <f ca="1">AVERAGE(OFFSET($AM$3,0,0,'Données projet'!$E$10+1,1))-AVERAGE(OFFSET($H$3,0,0,'Données projet'!$E$10+1,1))</f>
        <v>404.14319681142746</v>
      </c>
      <c r="AO93" s="60">
        <f t="shared" si="90"/>
        <v>203.5274665601915</v>
      </c>
      <c r="AP93" s="16">
        <f>IF(ISNA(VLOOKUP(A93,'Données projet'!$A$61:$I$81,3,0)),0,VLOOKUP(A93,'Données projet'!$A$61:$I$81,3,0))</f>
        <v>7</v>
      </c>
      <c r="AQ93" s="16">
        <f>IF(ISNA(VLOOKUP(A93,'Données projet'!$A$61:$I$81,4,0)),0,VLOOKUP(A93,'Données projet'!$A$61:$I$81,4,0))</f>
        <v>84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296</v>
      </c>
      <c r="BB93" s="13">
        <f>VLOOKUP(A93,'Données projet'!$A$87:$I$107,9,0)</f>
        <v>5.6</v>
      </c>
      <c r="BC93" s="13">
        <f t="array" ref="BC93">INDEX(BB:BB,MIN(IF(ISNUMBER(BB93:BB289),ROW(BB93:BB289),"")))</f>
        <v>5.6</v>
      </c>
      <c r="BD93" s="13">
        <f>IF('Données projet'!$A$88&gt;35,BD92+BC93-BL92,IF(A93&lt;'Données projet'!$A$88,$BA$205^A93,IF(A93='Données projet'!$A$88,'Données projet'!$B$88,BD92+BC93-BL92)))</f>
        <v>296.00000000000006</v>
      </c>
      <c r="BE93" s="14">
        <f>BD93*VLOOKUP('Données projet'!$B$11,Paramètres!$A$1:$I$89,3,0)*VLOOKUP('Données projet'!$B$11,Paramètres!$A$1:$I$89,5,0)</f>
        <v>300.14400000000006</v>
      </c>
      <c r="BF93" s="14">
        <f t="shared" si="91"/>
        <v>71.206650563609855</v>
      </c>
      <c r="BG93" s="22">
        <f t="shared" si="61"/>
        <v>646.76904973162061</v>
      </c>
      <c r="BH93" s="60">
        <f t="shared" si="62"/>
        <v>940.10238306495398</v>
      </c>
      <c r="BI93" s="60">
        <f ca="1">AVERAGE(OFFSET($BH$3,0,0,'Données projet'!$E$11+1,1))-AVERAGE(OFFSET($H$3,0,0,'Données projet'!$E$11+1,1))</f>
        <v>350.3652766444938</v>
      </c>
      <c r="BJ93" s="60">
        <f t="shared" si="92"/>
        <v>197.04549436738586</v>
      </c>
      <c r="BK93" s="16">
        <f>IF(ISNA(VLOOKUP(A93,'Données projet'!$A$87:$I$107,3,0)),0,VLOOKUP(A93,'Données projet'!$A$87:$I$107,3,0))</f>
        <v>7</v>
      </c>
      <c r="BL93" s="16">
        <f>IF(ISNA(VLOOKUP(A93,'Données projet'!$A$87:$I$107,4,0)),0,VLOOKUP(A93,'Données projet'!$A$87:$I$107,4,0))</f>
        <v>42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296</v>
      </c>
      <c r="BW93" s="13">
        <f>VLOOKUP(A93,'Données projet'!$A$113:$I$133,9,0)</f>
        <v>5.6</v>
      </c>
      <c r="BX93" s="13">
        <f t="array" ref="BX93">INDEX(BW:BW,MIN(IF(ISNUMBER(BW93:BW289),ROW(BW93:BW289),"")))</f>
        <v>5.6</v>
      </c>
      <c r="BY93" s="13">
        <f>IF('Données projet'!$A$114&gt;35,BY92+BX93-CG92,IF(A93&lt;'Données projet'!$A$114,$BV$205^A93,IF(A93='Données projet'!$A$114,'Données projet'!$B$114,BY92+BX93-CG92)))</f>
        <v>296.00000000000006</v>
      </c>
      <c r="BZ93" s="14">
        <f>BY93*VLOOKUP('Données projet'!$B$12,Paramètres!$A$1:$I$89,3,0)*VLOOKUP('Données projet'!$B$12,Paramètres!$A$1:$I$89,5,0)</f>
        <v>286.29120000000006</v>
      </c>
      <c r="CA93" s="14">
        <f t="shared" si="93"/>
        <v>68.294796094604408</v>
      </c>
      <c r="CB93" s="22">
        <f t="shared" si="64"/>
        <v>617.57060986476938</v>
      </c>
      <c r="CC93" s="60">
        <f t="shared" si="65"/>
        <v>910.90394319810275</v>
      </c>
      <c r="CD93" s="60">
        <f ca="1">AVERAGE(OFFSET($CC$3,0,0,'Données projet'!$E$12+1,1))-AVERAGE(OFFSET($H$3,0,0,'Données projet'!$E$12+1,1))</f>
        <v>330.39429528665841</v>
      </c>
      <c r="CE93" s="60">
        <f t="shared" si="94"/>
        <v>186.45728006007261</v>
      </c>
      <c r="CF93" s="16">
        <f>IF(ISNA(VLOOKUP(A93,'Données projet'!$A$113:$I$133,3,0)),0,VLOOKUP(A93,'Données projet'!$A$113:$I$133,3,0))</f>
        <v>7</v>
      </c>
      <c r="CG93" s="16">
        <f>IF(ISNA(VLOOKUP(A93,'Données projet'!$A$113:$I$133,4,0)),0,VLOOKUP(A93,'Données projet'!$A$113:$I$133,4,0))</f>
        <v>42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296</v>
      </c>
      <c r="CR93" s="13">
        <f>VLOOKUP(A93,'Données projet'!$A$139:$I$159,9,0)</f>
        <v>5.6</v>
      </c>
      <c r="CS93" s="13">
        <f t="array" ref="CS93">INDEX(CR:CR,MIN(IF(ISNUMBER(CR93:CR289),ROW(CR93:CR289),"")))</f>
        <v>5.6</v>
      </c>
      <c r="CT93" s="13">
        <f>IF('Données projet'!$A$140&gt;35,CT92+CS93-DB92,IF(A93&lt;'Données projet'!$A$140,$CQ$205^A93,IF(A93='Données projet'!$A$140,'Données projet'!$B$140,CT92+CS93-DB92)))</f>
        <v>296.00000000000006</v>
      </c>
      <c r="CU93" s="18">
        <f>CT93*VLOOKUP('Données projet'!$B$13,Paramètres!$A$1:$I$89,3,0)*VLOOKUP('Données projet'!$B$13,Paramètres!$A$1:$I$89,5,0)</f>
        <v>318.61440000000005</v>
      </c>
      <c r="CV93" s="14">
        <f t="shared" si="95"/>
        <v>75.06497986502842</v>
      </c>
      <c r="CW93" s="22">
        <f t="shared" si="67"/>
        <v>685.6582532649245</v>
      </c>
      <c r="CX93" s="60">
        <f t="shared" si="68"/>
        <v>978.99158659825775</v>
      </c>
      <c r="CY93" s="60">
        <f ca="1">AVERAGE(OFFSET($CX$3,0,0,'Données projet'!$E$13+1,1))-AVERAGE(OFFSET($H$3,0,0,'Données projet'!$E$13+1,1))</f>
        <v>376.96388721258387</v>
      </c>
      <c r="CZ93" s="60">
        <f t="shared" si="96"/>
        <v>211.14628470344377</v>
      </c>
      <c r="DA93" s="16">
        <f>IF(ISNA(VLOOKUP(A93,'Données projet'!$A$139:$I$159,3,0)),0,VLOOKUP(A93,'Données projet'!$A$139:$I$159,3,0))</f>
        <v>7</v>
      </c>
      <c r="DB93" s="16">
        <f>IF(ISNA(VLOOKUP(A93,'Données projet'!$A$139:$I$159,4,0)),0,VLOOKUP(A93,'Données projet'!$A$139:$I$159,4,0))</f>
        <v>42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>
        <f>VLOOKUP(A93,'Données projet'!$A$165:$I$185,2,0)</f>
        <v>295.5128205128205</v>
      </c>
      <c r="DM93" s="13">
        <f>VLOOKUP(A93,'Données projet'!$A$165:$I$185,9,0)</f>
        <v>3.8461538461538454</v>
      </c>
      <c r="DN93" s="13">
        <f t="array" ref="DN93">INDEX(DM:DM,MIN(IF(ISNUMBER(DM93:DM289),ROW(DM93:DM289),"")))</f>
        <v>3.8461538461538454</v>
      </c>
      <c r="DO93" s="13">
        <f>IF('Données projet'!$A$166&gt;35,DO92+DN93-DW92,IF(A93&lt;'Données projet'!$A$166,$DL$205^A93,IF(A93='Données projet'!$A$166,'Données projet'!$B$166,DO92+DN93-DW92)))</f>
        <v>295.51282051282061</v>
      </c>
      <c r="DP93" s="18">
        <f>DO93*VLOOKUP('Données projet'!$B$14,Paramètres!$A$1:$I$89,3,0)*VLOOKUP('Données projet'!$B$14,Paramètres!$A$1:$I$89,5,0)</f>
        <v>198.23000000000008</v>
      </c>
      <c r="DQ93" s="14">
        <f t="shared" si="97"/>
        <v>49.354974276661508</v>
      </c>
      <c r="DR93" s="22">
        <f t="shared" si="70"/>
        <v>431.21049686518558</v>
      </c>
      <c r="DS93" s="60">
        <f t="shared" si="71"/>
        <v>724.54383019851889</v>
      </c>
      <c r="DT93" s="60">
        <f ca="1">AVERAGE(OFFSET($DS$3,0,0,'Données projet'!$E$14+1,1))-AVERAGE(OFFSET($H$3,0,0,'Données projet'!$E$14+1,1))</f>
        <v>212.33913923444732</v>
      </c>
      <c r="DU93" s="60">
        <f t="shared" si="98"/>
        <v>183.51194426094372</v>
      </c>
      <c r="DV93" s="16">
        <f>IF(ISNA(VLOOKUP(A93,'Données projet'!$A$165:$I$185,3,0)),0,VLOOKUP(A93,'Données projet'!$A$165:$I$185,3,0))</f>
        <v>8</v>
      </c>
      <c r="DW93" s="16">
        <f>IF(ISNA(VLOOKUP(A93,'Données projet'!$A$165:$I$185,4,0)),0,VLOOKUP(A93,'Données projet'!$A$165:$I$185,4,0))</f>
        <v>24.358974358974358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0" t="e">
        <f t="shared" si="74"/>
        <v>#N/A</v>
      </c>
      <c r="EO93" s="60" t="e">
        <f ca="1">AVERAGE(OFFSET($EN$3,0,0,'Données projet'!$E$15+1,1))-AVERAGE(OFFSET($H$3,0,0,'Données projet'!$E$15+1,1))</f>
        <v>#N/A</v>
      </c>
      <c r="EP93" s="60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0" t="e">
        <f t="shared" si="77"/>
        <v>#N/A</v>
      </c>
      <c r="FJ93" s="60" t="e">
        <f ca="1">AVERAGE(OFFSET($FI$3,0,0,'Données projet'!$E$16+1,1))-AVERAGE(OFFSET($H$3,0,0,'Données projet'!$E$16+1,1))</f>
        <v>#N/A</v>
      </c>
      <c r="FK93" s="60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0" t="e">
        <f t="shared" si="80"/>
        <v>#N/A</v>
      </c>
      <c r="GE93" s="60" t="e">
        <f ca="1">AVERAGE(OFFSET($GD$3,0,0,'Données projet'!$E$17+1,1))-AVERAGE(OFFSET($H$3,0,0,'Données projet'!$E$17+1,1))</f>
        <v>#N/A</v>
      </c>
      <c r="GF93" s="60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0" t="e">
        <f t="shared" si="83"/>
        <v>#N/A</v>
      </c>
      <c r="GZ93" s="60" t="e">
        <f ca="1">AVERAGE(OFFSET($GY$3,0,0,'Données projet'!$E$18+1,1))-AVERAGE(OFFSET($H$3,0,0,'Données projet'!$E$18+1,1))</f>
        <v>#N/A</v>
      </c>
      <c r="HA93" s="60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5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2">
        <f t="shared" si="86"/>
        <v>14.532638085920599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8">
        <f t="shared" si="56"/>
        <v>405.18079466631161</v>
      </c>
      <c r="I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8.0338461538461612</v>
      </c>
      <c r="N94" s="14">
        <f>IF('Données projet'!$A$36&gt;35,N93+M94-V93,IF(A94&lt;'Données projet'!$A$36,$K$205^A94,IF(A94='Données projet'!$A$36,'Données projet'!$B$36,N93+M94-V93)))</f>
        <v>332.64923076923088</v>
      </c>
      <c r="O94" s="14">
        <f>N94*VLOOKUP('Données projet'!$B$9,Paramètres!$A$1:$I$89,3,0)*VLOOKUP('Données projet'!$B$9,Paramètres!$A$1:$I$89,5,0)</f>
        <v>155.67984000000004</v>
      </c>
      <c r="P94" s="14">
        <f t="shared" si="87"/>
        <v>39.866544383167358</v>
      </c>
      <c r="Q94" s="22">
        <f t="shared" si="54"/>
        <v>340.57661946734987</v>
      </c>
      <c r="R94" s="60">
        <f t="shared" si="55"/>
        <v>633.90995280068319</v>
      </c>
      <c r="S94" s="60">
        <f ca="1">AVERAGE(OFFSET($R$3,0,0,'Données projet'!$E$9+1,1))-AVERAGE(OFFSET($H$3,0,0,'Données projet'!$E$9+1,1))</f>
        <v>146.40889017442277</v>
      </c>
      <c r="T94" s="60">
        <f t="shared" si="88"/>
        <v>70.859031694091868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5.9</v>
      </c>
      <c r="AI94" s="14">
        <f>IF('Données projet'!$A$62&gt;35,AI93+AH94-AQ93,IF(A94&lt;'Données projet'!$A$62,$AF$205^A94,IF(A94='Données projet'!$A$62,'Données projet'!$B$62,AI93+AH94-AQ93)))</f>
        <v>307.9000000000002</v>
      </c>
      <c r="AJ94" s="14">
        <f>AI94*VLOOKUP('Données projet'!$B$10,Paramètres!$A$1:$I$89,3,0)*VLOOKUP('Données projet'!$B$10,Paramètres!$A$1:$I$89,5,0)</f>
        <v>278.58792000000017</v>
      </c>
      <c r="AK94" s="14">
        <f t="shared" si="89"/>
        <v>66.668508032294284</v>
      </c>
      <c r="AL94" s="22">
        <f t="shared" si="58"/>
        <v>601.32161215624615</v>
      </c>
      <c r="AM94" s="60">
        <f t="shared" si="59"/>
        <v>894.6549454895794</v>
      </c>
      <c r="AN94" s="60">
        <f ca="1">AVERAGE(OFFSET($AM$3,0,0,'Données projet'!$E$10+1,1))-AVERAGE(OFFSET($H$3,0,0,'Données projet'!$E$10+1,1))</f>
        <v>404.14319681142746</v>
      </c>
      <c r="AO94" s="60">
        <f t="shared" si="90"/>
        <v>203.5274665601915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4.9000000000000004</v>
      </c>
      <c r="BD94" s="13">
        <f>IF('Données projet'!$A$88&gt;35,BD93+BC94-BL93,IF(A94&lt;'Données projet'!$A$88,$BA$205^A94,IF(A94='Données projet'!$A$88,'Données projet'!$B$88,BD93+BC94-BL93)))</f>
        <v>258.90000000000003</v>
      </c>
      <c r="BE94" s="14">
        <f>BD94*VLOOKUP('Données projet'!$B$11,Paramètres!$A$1:$I$89,3,0)*VLOOKUP('Données projet'!$B$11,Paramètres!$A$1:$I$89,5,0)</f>
        <v>262.52460000000002</v>
      </c>
      <c r="BF94" s="14">
        <f t="shared" si="91"/>
        <v>63.260217631774687</v>
      </c>
      <c r="BG94" s="22">
        <f t="shared" si="61"/>
        <v>567.40855737534105</v>
      </c>
      <c r="BH94" s="60">
        <f t="shared" si="62"/>
        <v>860.74189070867442</v>
      </c>
      <c r="BI94" s="60">
        <f ca="1">AVERAGE(OFFSET($BH$3,0,0,'Données projet'!$E$11+1,1))-AVERAGE(OFFSET($H$3,0,0,'Données projet'!$E$11+1,1))</f>
        <v>350.3652766444938</v>
      </c>
      <c r="BJ94" s="60">
        <f t="shared" si="92"/>
        <v>197.04549436738586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4.9000000000000004</v>
      </c>
      <c r="BY94" s="13">
        <f>IF('Données projet'!$A$114&gt;35,BY93+BX94-CG93,IF(A94&lt;'Données projet'!$A$114,$BV$205^A94,IF(A94='Données projet'!$A$114,'Données projet'!$B$114,BY93+BX94-CG93)))</f>
        <v>258.90000000000003</v>
      </c>
      <c r="BZ94" s="14">
        <f>BY94*VLOOKUP('Données projet'!$B$12,Paramètres!$A$1:$I$89,3,0)*VLOOKUP('Données projet'!$B$12,Paramètres!$A$1:$I$89,5,0)</f>
        <v>250.40808000000004</v>
      </c>
      <c r="CA94" s="14">
        <f t="shared" si="93"/>
        <v>60.67331674592576</v>
      </c>
      <c r="CB94" s="22">
        <f t="shared" si="64"/>
        <v>541.80009933248743</v>
      </c>
      <c r="CC94" s="60">
        <f t="shared" si="65"/>
        <v>835.13343266582069</v>
      </c>
      <c r="CD94" s="60">
        <f ca="1">AVERAGE(OFFSET($CC$3,0,0,'Données projet'!$E$12+1,1))-AVERAGE(OFFSET($H$3,0,0,'Données projet'!$E$12+1,1))</f>
        <v>330.39429528665841</v>
      </c>
      <c r="CE94" s="60">
        <f t="shared" si="94"/>
        <v>186.45728006007261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4.9000000000000004</v>
      </c>
      <c r="CT94" s="13">
        <f>IF('Données projet'!$A$140&gt;35,CT93+CS94-DB93,IF(A94&lt;'Données projet'!$A$140,$CQ$205^A94,IF(A94='Données projet'!$A$140,'Données projet'!$B$140,CT93+CS94-DB93)))</f>
        <v>258.90000000000003</v>
      </c>
      <c r="CU94" s="18">
        <f>CT94*VLOOKUP('Données projet'!$B$13,Paramètres!$A$1:$I$89,3,0)*VLOOKUP('Données projet'!$B$13,Paramètres!$A$1:$I$89,5,0)</f>
        <v>278.67996000000005</v>
      </c>
      <c r="CV94" s="14">
        <f t="shared" si="95"/>
        <v>66.687969806197728</v>
      </c>
      <c r="CW94" s="22">
        <f t="shared" si="67"/>
        <v>601.51581107912773</v>
      </c>
      <c r="CX94" s="60">
        <f t="shared" si="68"/>
        <v>894.8491444124611</v>
      </c>
      <c r="CY94" s="60">
        <f ca="1">AVERAGE(OFFSET($CX$3,0,0,'Données projet'!$E$13+1,1))-AVERAGE(OFFSET($H$3,0,0,'Données projet'!$E$13+1,1))</f>
        <v>376.96388721258387</v>
      </c>
      <c r="CZ94" s="60">
        <f t="shared" si="96"/>
        <v>211.14628470344377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3.7179487179487181</v>
      </c>
      <c r="DO94" s="13">
        <f>IF('Données projet'!$A$166&gt;35,DO93+DN94-DW93,IF(A94&lt;'Données projet'!$A$166,$DL$205^A94,IF(A94='Données projet'!$A$166,'Données projet'!$B$166,DO93+DN94-DW93)))</f>
        <v>274.87179487179498</v>
      </c>
      <c r="DP94" s="18">
        <f>DO94*VLOOKUP('Données projet'!$B$14,Paramètres!$A$1:$I$89,3,0)*VLOOKUP('Données projet'!$B$14,Paramètres!$A$1:$I$89,5,0)</f>
        <v>184.38400000000007</v>
      </c>
      <c r="DQ94" s="14">
        <f t="shared" si="97"/>
        <v>46.296175202781576</v>
      </c>
      <c r="DR94" s="22">
        <f t="shared" si="70"/>
        <v>401.76797181151136</v>
      </c>
      <c r="DS94" s="60">
        <f t="shared" si="71"/>
        <v>695.10130514484467</v>
      </c>
      <c r="DT94" s="60">
        <f ca="1">AVERAGE(OFFSET($DS$3,0,0,'Données projet'!$E$14+1,1))-AVERAGE(OFFSET($H$3,0,0,'Données projet'!$E$14+1,1))</f>
        <v>212.33913923444732</v>
      </c>
      <c r="DU94" s="60">
        <f t="shared" si="98"/>
        <v>183.51194426094372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0" t="e">
        <f t="shared" si="74"/>
        <v>#N/A</v>
      </c>
      <c r="EO94" s="60" t="e">
        <f ca="1">AVERAGE(OFFSET($EN$3,0,0,'Données projet'!$E$15+1,1))-AVERAGE(OFFSET($H$3,0,0,'Données projet'!$E$15+1,1))</f>
        <v>#N/A</v>
      </c>
      <c r="EP94" s="60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0" t="e">
        <f t="shared" si="77"/>
        <v>#N/A</v>
      </c>
      <c r="FJ94" s="60" t="e">
        <f ca="1">AVERAGE(OFFSET($FI$3,0,0,'Données projet'!$E$16+1,1))-AVERAGE(OFFSET($H$3,0,0,'Données projet'!$E$16+1,1))</f>
        <v>#N/A</v>
      </c>
      <c r="FK94" s="60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0" t="e">
        <f t="shared" si="80"/>
        <v>#N/A</v>
      </c>
      <c r="GE94" s="60" t="e">
        <f ca="1">AVERAGE(OFFSET($GD$3,0,0,'Données projet'!$E$17+1,1))-AVERAGE(OFFSET($H$3,0,0,'Données projet'!$E$17+1,1))</f>
        <v>#N/A</v>
      </c>
      <c r="GF94" s="60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0" t="e">
        <f t="shared" si="83"/>
        <v>#N/A</v>
      </c>
      <c r="GZ94" s="60" t="e">
        <f ca="1">AVERAGE(OFFSET($GY$3,0,0,'Données projet'!$E$18+1,1))-AVERAGE(OFFSET($H$3,0,0,'Données projet'!$E$18+1,1))</f>
        <v>#N/A</v>
      </c>
      <c r="HA94" s="60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5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2">
        <f t="shared" si="86"/>
        <v>14.673658523093403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8">
        <f t="shared" si="56"/>
        <v>406.37735526105428</v>
      </c>
      <c r="I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8.0338461538461612</v>
      </c>
      <c r="N95" s="14">
        <f>IF('Données projet'!$A$36&gt;35,N94+M95-V94,IF(A95&lt;'Données projet'!$A$36,$K$205^A95,IF(A95='Données projet'!$A$36,'Données projet'!$B$36,N94+M95-V94)))</f>
        <v>340.68307692307707</v>
      </c>
      <c r="O95" s="14">
        <f>N95*VLOOKUP('Données projet'!$B$9,Paramètres!$A$1:$I$89,3,0)*VLOOKUP('Données projet'!$B$9,Paramètres!$A$1:$I$89,5,0)</f>
        <v>159.43968000000007</v>
      </c>
      <c r="P95" s="14">
        <f t="shared" si="87"/>
        <v>40.716107874353241</v>
      </c>
      <c r="Q95" s="22">
        <f t="shared" si="54"/>
        <v>348.60466388116532</v>
      </c>
      <c r="R95" s="60">
        <f t="shared" si="55"/>
        <v>641.93799721449864</v>
      </c>
      <c r="S95" s="60">
        <f ca="1">AVERAGE(OFFSET($R$3,0,0,'Données projet'!$E$9+1,1))-AVERAGE(OFFSET($H$3,0,0,'Données projet'!$E$9+1,1))</f>
        <v>146.40889017442277</v>
      </c>
      <c r="T95" s="60">
        <f t="shared" si="88"/>
        <v>70.859031694091868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5.9</v>
      </c>
      <c r="AI95" s="14">
        <f>IF('Données projet'!$A$62&gt;35,AI94+AH95-AQ94,IF(A95&lt;'Données projet'!$A$62,$AF$205^A95,IF(A95='Données projet'!$A$62,'Données projet'!$B$62,AI94+AH95-AQ94)))</f>
        <v>313.80000000000018</v>
      </c>
      <c r="AJ95" s="14">
        <f>AI95*VLOOKUP('Données projet'!$B$10,Paramètres!$A$1:$I$89,3,0)*VLOOKUP('Données projet'!$B$10,Paramètres!$A$1:$I$89,5,0)</f>
        <v>283.92624000000018</v>
      </c>
      <c r="AK95" s="14">
        <f t="shared" si="89"/>
        <v>67.796062628528361</v>
      </c>
      <c r="AL95" s="22">
        <f t="shared" si="58"/>
        <v>612.58301041135394</v>
      </c>
      <c r="AM95" s="60">
        <f t="shared" si="59"/>
        <v>905.91634374468731</v>
      </c>
      <c r="AN95" s="60">
        <f ca="1">AVERAGE(OFFSET($AM$3,0,0,'Données projet'!$E$10+1,1))-AVERAGE(OFFSET($H$3,0,0,'Données projet'!$E$10+1,1))</f>
        <v>404.14319681142746</v>
      </c>
      <c r="AO95" s="60">
        <f t="shared" si="90"/>
        <v>203.5274665601915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4.9000000000000004</v>
      </c>
      <c r="BD95" s="13">
        <f>IF('Données projet'!$A$88&gt;35,BD94+BC95-BL94,IF(A95&lt;'Données projet'!$A$88,$BA$205^A95,IF(A95='Données projet'!$A$88,'Données projet'!$B$88,BD94+BC95-BL94)))</f>
        <v>263.8</v>
      </c>
      <c r="BE95" s="14">
        <f>BD95*VLOOKUP('Données projet'!$B$11,Paramètres!$A$1:$I$89,3,0)*VLOOKUP('Données projet'!$B$11,Paramètres!$A$1:$I$89,5,0)</f>
        <v>267.49320000000006</v>
      </c>
      <c r="BF95" s="14">
        <f t="shared" si="91"/>
        <v>64.316974590266341</v>
      </c>
      <c r="BG95" s="22">
        <f t="shared" si="61"/>
        <v>577.90272074471397</v>
      </c>
      <c r="BH95" s="60">
        <f t="shared" si="62"/>
        <v>871.23605407804735</v>
      </c>
      <c r="BI95" s="60">
        <f ca="1">AVERAGE(OFFSET($BH$3,0,0,'Données projet'!$E$11+1,1))-AVERAGE(OFFSET($H$3,0,0,'Données projet'!$E$11+1,1))</f>
        <v>350.3652766444938</v>
      </c>
      <c r="BJ95" s="60">
        <f t="shared" si="92"/>
        <v>197.04549436738586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4.9000000000000004</v>
      </c>
      <c r="BY95" s="13">
        <f>IF('Données projet'!$A$114&gt;35,BY94+BX95-CG94,IF(A95&lt;'Données projet'!$A$114,$BV$205^A95,IF(A95='Données projet'!$A$114,'Données projet'!$B$114,BY94+BX95-CG94)))</f>
        <v>263.8</v>
      </c>
      <c r="BZ95" s="14">
        <f>BY95*VLOOKUP('Données projet'!$B$12,Paramètres!$A$1:$I$89,3,0)*VLOOKUP('Données projet'!$B$12,Paramètres!$A$1:$I$89,5,0)</f>
        <v>255.14736000000002</v>
      </c>
      <c r="CA95" s="14">
        <f t="shared" si="93"/>
        <v>61.686859728645651</v>
      </c>
      <c r="CB95" s="22">
        <f t="shared" si="64"/>
        <v>551.81959936072451</v>
      </c>
      <c r="CC95" s="60">
        <f t="shared" si="65"/>
        <v>845.15293269405788</v>
      </c>
      <c r="CD95" s="60">
        <f ca="1">AVERAGE(OFFSET($CC$3,0,0,'Données projet'!$E$12+1,1))-AVERAGE(OFFSET($H$3,0,0,'Données projet'!$E$12+1,1))</f>
        <v>330.39429528665841</v>
      </c>
      <c r="CE95" s="60">
        <f t="shared" si="94"/>
        <v>186.45728006007261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4.9000000000000004</v>
      </c>
      <c r="CT95" s="13">
        <f>IF('Données projet'!$A$140&gt;35,CT94+CS95-DB94,IF(A95&lt;'Données projet'!$A$140,$CQ$205^A95,IF(A95='Données projet'!$A$140,'Données projet'!$B$140,CT94+CS95-DB94)))</f>
        <v>263.8</v>
      </c>
      <c r="CU95" s="18">
        <f>CT95*VLOOKUP('Données projet'!$B$13,Paramètres!$A$1:$I$89,3,0)*VLOOKUP('Données projet'!$B$13,Paramètres!$A$1:$I$89,5,0)</f>
        <v>283.95432</v>
      </c>
      <c r="CV95" s="14">
        <f t="shared" si="95"/>
        <v>67.801987095081913</v>
      </c>
      <c r="CW95" s="22">
        <f t="shared" si="67"/>
        <v>612.64223485726768</v>
      </c>
      <c r="CX95" s="60">
        <f t="shared" si="68"/>
        <v>905.97556819060105</v>
      </c>
      <c r="CY95" s="60">
        <f ca="1">AVERAGE(OFFSET($CX$3,0,0,'Données projet'!$E$13+1,1))-AVERAGE(OFFSET($H$3,0,0,'Données projet'!$E$13+1,1))</f>
        <v>376.96388721258387</v>
      </c>
      <c r="CZ95" s="60">
        <f t="shared" si="96"/>
        <v>211.14628470344377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3.7179487179487181</v>
      </c>
      <c r="DO95" s="13">
        <f>IF('Données projet'!$A$166&gt;35,DO94+DN95-DW94,IF(A95&lt;'Données projet'!$A$166,$DL$205^A95,IF(A95='Données projet'!$A$166,'Données projet'!$B$166,DO94+DN95-DW94)))</f>
        <v>278.5897435897437</v>
      </c>
      <c r="DP95" s="18">
        <f>DO95*VLOOKUP('Données projet'!$B$14,Paramètres!$A$1:$I$89,3,0)*VLOOKUP('Données projet'!$B$14,Paramètres!$A$1:$I$89,5,0)</f>
        <v>186.87800000000007</v>
      </c>
      <c r="DQ95" s="14">
        <f t="shared" si="97"/>
        <v>46.849058827207365</v>
      </c>
      <c r="DR95" s="22">
        <f t="shared" si="70"/>
        <v>407.07462745738621</v>
      </c>
      <c r="DS95" s="60">
        <f t="shared" si="71"/>
        <v>700.40796079071947</v>
      </c>
      <c r="DT95" s="60">
        <f ca="1">AVERAGE(OFFSET($DS$3,0,0,'Données projet'!$E$14+1,1))-AVERAGE(OFFSET($H$3,0,0,'Données projet'!$E$14+1,1))</f>
        <v>212.33913923444732</v>
      </c>
      <c r="DU95" s="60">
        <f t="shared" si="98"/>
        <v>183.51194426094372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0" t="e">
        <f t="shared" si="74"/>
        <v>#N/A</v>
      </c>
      <c r="EO95" s="60" t="e">
        <f ca="1">AVERAGE(OFFSET($EN$3,0,0,'Données projet'!$E$15+1,1))-AVERAGE(OFFSET($H$3,0,0,'Données projet'!$E$15+1,1))</f>
        <v>#N/A</v>
      </c>
      <c r="EP95" s="60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0" t="e">
        <f t="shared" si="77"/>
        <v>#N/A</v>
      </c>
      <c r="FJ95" s="60" t="e">
        <f ca="1">AVERAGE(OFFSET($FI$3,0,0,'Données projet'!$E$16+1,1))-AVERAGE(OFFSET($H$3,0,0,'Données projet'!$E$16+1,1))</f>
        <v>#N/A</v>
      </c>
      <c r="FK95" s="60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0" t="e">
        <f t="shared" si="80"/>
        <v>#N/A</v>
      </c>
      <c r="GE95" s="60" t="e">
        <f ca="1">AVERAGE(OFFSET($GD$3,0,0,'Données projet'!$E$17+1,1))-AVERAGE(OFFSET($H$3,0,0,'Données projet'!$E$17+1,1))</f>
        <v>#N/A</v>
      </c>
      <c r="GF95" s="60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0" t="e">
        <f t="shared" si="83"/>
        <v>#N/A</v>
      </c>
      <c r="GZ95" s="60" t="e">
        <f ca="1">AVERAGE(OFFSET($GY$3,0,0,'Données projet'!$E$18+1,1))-AVERAGE(OFFSET($H$3,0,0,'Données projet'!$E$18+1,1))</f>
        <v>#N/A</v>
      </c>
      <c r="HA95" s="60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5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2">
        <f t="shared" si="86"/>
        <v>14.814500647866689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8">
        <f t="shared" si="56"/>
        <v>407.57360529503438</v>
      </c>
      <c r="I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8.0338461538461612</v>
      </c>
      <c r="N96" s="14">
        <f>IF('Données projet'!$A$36&gt;35,N95+M96-V95,IF(A96&lt;'Données projet'!$A$36,$K$205^A96,IF(A96='Données projet'!$A$36,'Données projet'!$B$36,N95+M96-V95)))</f>
        <v>348.71692307692325</v>
      </c>
      <c r="O96" s="14">
        <f>N96*VLOOKUP('Données projet'!$B$9,Paramètres!$A$1:$I$89,3,0)*VLOOKUP('Données projet'!$B$9,Paramètres!$A$1:$I$89,5,0)</f>
        <v>163.19952000000009</v>
      </c>
      <c r="P96" s="14">
        <f t="shared" si="87"/>
        <v>41.563342371355041</v>
      </c>
      <c r="Q96" s="22">
        <f t="shared" si="54"/>
        <v>356.62865196344347</v>
      </c>
      <c r="R96" s="60">
        <f t="shared" si="55"/>
        <v>649.96198529677679</v>
      </c>
      <c r="S96" s="60">
        <f ca="1">AVERAGE(OFFSET($R$3,0,0,'Données projet'!$E$9+1,1))-AVERAGE(OFFSET($H$3,0,0,'Données projet'!$E$9+1,1))</f>
        <v>146.40889017442277</v>
      </c>
      <c r="T96" s="60">
        <f t="shared" si="88"/>
        <v>70.859031694091868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5.9</v>
      </c>
      <c r="AI96" s="14">
        <f>IF('Données projet'!$A$62&gt;35,AI95+AH96-AQ95,IF(A96&lt;'Données projet'!$A$62,$AF$205^A96,IF(A96='Données projet'!$A$62,'Données projet'!$B$62,AI95+AH96-AQ95)))</f>
        <v>319.70000000000016</v>
      </c>
      <c r="AJ96" s="14">
        <f>AI96*VLOOKUP('Données projet'!$B$10,Paramètres!$A$1:$I$89,3,0)*VLOOKUP('Données projet'!$B$10,Paramètres!$A$1:$I$89,5,0)</f>
        <v>289.26456000000013</v>
      </c>
      <c r="AK96" s="14">
        <f t="shared" si="89"/>
        <v>68.921152085057912</v>
      </c>
      <c r="AL96" s="22">
        <f t="shared" si="58"/>
        <v>623.84011521480943</v>
      </c>
      <c r="AM96" s="60">
        <f t="shared" si="59"/>
        <v>917.17344854814269</v>
      </c>
      <c r="AN96" s="60">
        <f ca="1">AVERAGE(OFFSET($AM$3,0,0,'Données projet'!$E$10+1,1))-AVERAGE(OFFSET($H$3,0,0,'Données projet'!$E$10+1,1))</f>
        <v>404.14319681142746</v>
      </c>
      <c r="AO96" s="60">
        <f t="shared" si="90"/>
        <v>203.5274665601915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4.9000000000000004</v>
      </c>
      <c r="BD96" s="13">
        <f>IF('Données projet'!$A$88&gt;35,BD95+BC96-BL95,IF(A96&lt;'Données projet'!$A$88,$BA$205^A96,IF(A96='Données projet'!$A$88,'Données projet'!$B$88,BD95+BC96-BL95)))</f>
        <v>268.7</v>
      </c>
      <c r="BE96" s="14">
        <f>BD96*VLOOKUP('Données projet'!$B$11,Paramètres!$A$1:$I$89,3,0)*VLOOKUP('Données projet'!$B$11,Paramètres!$A$1:$I$89,5,0)</f>
        <v>272.46180000000004</v>
      </c>
      <c r="BF96" s="14">
        <f t="shared" si="91"/>
        <v>65.371449071921944</v>
      </c>
      <c r="BG96" s="22">
        <f t="shared" si="61"/>
        <v>588.39290880026408</v>
      </c>
      <c r="BH96" s="60">
        <f t="shared" si="62"/>
        <v>881.72624213359745</v>
      </c>
      <c r="BI96" s="60">
        <f ca="1">AVERAGE(OFFSET($BH$3,0,0,'Données projet'!$E$11+1,1))-AVERAGE(OFFSET($H$3,0,0,'Données projet'!$E$11+1,1))</f>
        <v>350.3652766444938</v>
      </c>
      <c r="BJ96" s="60">
        <f t="shared" si="92"/>
        <v>197.04549436738586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4.9000000000000004</v>
      </c>
      <c r="BY96" s="13">
        <f>IF('Données projet'!$A$114&gt;35,BY95+BX96-CG95,IF(A96&lt;'Données projet'!$A$114,$BV$205^A96,IF(A96='Données projet'!$A$114,'Données projet'!$B$114,BY95+BX96-CG95)))</f>
        <v>268.7</v>
      </c>
      <c r="BZ96" s="14">
        <f>BY96*VLOOKUP('Données projet'!$B$12,Paramètres!$A$1:$I$89,3,0)*VLOOKUP('Données projet'!$B$12,Paramètres!$A$1:$I$89,5,0)</f>
        <v>259.88664</v>
      </c>
      <c r="CA96" s="14">
        <f t="shared" si="93"/>
        <v>62.698213571884004</v>
      </c>
      <c r="CB96" s="22">
        <f t="shared" si="64"/>
        <v>561.835286637698</v>
      </c>
      <c r="CC96" s="60">
        <f t="shared" si="65"/>
        <v>855.16861997103138</v>
      </c>
      <c r="CD96" s="60">
        <f ca="1">AVERAGE(OFFSET($CC$3,0,0,'Données projet'!$E$12+1,1))-AVERAGE(OFFSET($H$3,0,0,'Données projet'!$E$12+1,1))</f>
        <v>330.39429528665841</v>
      </c>
      <c r="CE96" s="60">
        <f t="shared" si="94"/>
        <v>186.45728006007261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4.9000000000000004</v>
      </c>
      <c r="CT96" s="13">
        <f>IF('Données projet'!$A$140&gt;35,CT95+CS96-DB95,IF(A96&lt;'Données projet'!$A$140,$CQ$205^A96,IF(A96='Données projet'!$A$140,'Données projet'!$B$140,CT95+CS96-DB95)))</f>
        <v>268.7</v>
      </c>
      <c r="CU96" s="18">
        <f>CT96*VLOOKUP('Données projet'!$B$13,Paramètres!$A$1:$I$89,3,0)*VLOOKUP('Données projet'!$B$13,Paramètres!$A$1:$I$89,5,0)</f>
        <v>289.22868</v>
      </c>
      <c r="CV96" s="14">
        <f t="shared" si="95"/>
        <v>68.913598231220931</v>
      </c>
      <c r="CW96" s="22">
        <f t="shared" si="67"/>
        <v>623.76446791937644</v>
      </c>
      <c r="CX96" s="60">
        <f t="shared" si="68"/>
        <v>917.09780125270981</v>
      </c>
      <c r="CY96" s="60">
        <f ca="1">AVERAGE(OFFSET($CX$3,0,0,'Données projet'!$E$13+1,1))-AVERAGE(OFFSET($H$3,0,0,'Données projet'!$E$13+1,1))</f>
        <v>376.96388721258387</v>
      </c>
      <c r="CZ96" s="60">
        <f t="shared" si="96"/>
        <v>211.14628470344377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3.7179487179487181</v>
      </c>
      <c r="DO96" s="13">
        <f>IF('Données projet'!$A$166&gt;35,DO95+DN96-DW95,IF(A96&lt;'Données projet'!$A$166,$DL$205^A96,IF(A96='Données projet'!$A$166,'Données projet'!$B$166,DO95+DN96-DW95)))</f>
        <v>282.30769230769243</v>
      </c>
      <c r="DP96" s="18">
        <f>DO96*VLOOKUP('Données projet'!$B$14,Paramètres!$A$1:$I$89,3,0)*VLOOKUP('Données projet'!$B$14,Paramètres!$A$1:$I$89,5,0)</f>
        <v>189.37200000000007</v>
      </c>
      <c r="DQ96" s="14">
        <f t="shared" si="97"/>
        <v>47.401084226295815</v>
      </c>
      <c r="DR96" s="22">
        <f t="shared" si="70"/>
        <v>412.37978836079861</v>
      </c>
      <c r="DS96" s="60">
        <f t="shared" si="71"/>
        <v>705.71312169413193</v>
      </c>
      <c r="DT96" s="60">
        <f ca="1">AVERAGE(OFFSET($DS$3,0,0,'Données projet'!$E$14+1,1))-AVERAGE(OFFSET($H$3,0,0,'Données projet'!$E$14+1,1))</f>
        <v>212.33913923444732</v>
      </c>
      <c r="DU96" s="60">
        <f t="shared" si="98"/>
        <v>183.51194426094372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0" t="e">
        <f t="shared" si="74"/>
        <v>#N/A</v>
      </c>
      <c r="EO96" s="60" t="e">
        <f ca="1">AVERAGE(OFFSET($EN$3,0,0,'Données projet'!$E$15+1,1))-AVERAGE(OFFSET($H$3,0,0,'Données projet'!$E$15+1,1))</f>
        <v>#N/A</v>
      </c>
      <c r="EP96" s="60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0" t="e">
        <f t="shared" si="77"/>
        <v>#N/A</v>
      </c>
      <c r="FJ96" s="60" t="e">
        <f ca="1">AVERAGE(OFFSET($FI$3,0,0,'Données projet'!$E$16+1,1))-AVERAGE(OFFSET($H$3,0,0,'Données projet'!$E$16+1,1))</f>
        <v>#N/A</v>
      </c>
      <c r="FK96" s="60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0" t="e">
        <f t="shared" si="80"/>
        <v>#N/A</v>
      </c>
      <c r="GE96" s="60" t="e">
        <f ca="1">AVERAGE(OFFSET($GD$3,0,0,'Données projet'!$E$17+1,1))-AVERAGE(OFFSET($H$3,0,0,'Données projet'!$E$17+1,1))</f>
        <v>#N/A</v>
      </c>
      <c r="GF96" s="60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0" t="e">
        <f t="shared" si="83"/>
        <v>#N/A</v>
      </c>
      <c r="GZ96" s="60" t="e">
        <f ca="1">AVERAGE(OFFSET($GY$3,0,0,'Données projet'!$E$18+1,1))-AVERAGE(OFFSET($H$3,0,0,'Données projet'!$E$18+1,1))</f>
        <v>#N/A</v>
      </c>
      <c r="HA96" s="60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5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2">
        <f t="shared" si="86"/>
        <v>14.955166599500016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8">
        <f t="shared" si="56"/>
        <v>408.76954849412908</v>
      </c>
      <c r="I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8.0338461538461612</v>
      </c>
      <c r="N97" s="14">
        <f>IF('Données projet'!$A$36&gt;35,N96+M97-V96,IF(A97&lt;'Données projet'!$A$36,$K$205^A97,IF(A97='Données projet'!$A$36,'Données projet'!$B$36,N96+M97-V96)))</f>
        <v>356.75076923076944</v>
      </c>
      <c r="O97" s="14">
        <f>N97*VLOOKUP('Données projet'!$B$9,Paramètres!$A$1:$I$89,3,0)*VLOOKUP('Données projet'!$B$9,Paramètres!$A$1:$I$89,5,0)</f>
        <v>166.95936000000012</v>
      </c>
      <c r="P97" s="14">
        <f t="shared" si="87"/>
        <v>42.408307706264836</v>
      </c>
      <c r="Q97" s="22">
        <f t="shared" si="54"/>
        <v>364.64868792174479</v>
      </c>
      <c r="R97" s="60">
        <f t="shared" si="55"/>
        <v>657.98202125507805</v>
      </c>
      <c r="S97" s="60">
        <f ca="1">AVERAGE(OFFSET($R$3,0,0,'Données projet'!$E$9+1,1))-AVERAGE(OFFSET($H$3,0,0,'Données projet'!$E$9+1,1))</f>
        <v>146.40889017442277</v>
      </c>
      <c r="T97" s="60">
        <f t="shared" si="88"/>
        <v>70.859031694091868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5.9</v>
      </c>
      <c r="AI97" s="14">
        <f>IF('Données projet'!$A$62&gt;35,AI96+AH97-AQ96,IF(A97&lt;'Données projet'!$A$62,$AF$205^A97,IF(A97='Données projet'!$A$62,'Données projet'!$B$62,AI96+AH97-AQ96)))</f>
        <v>325.60000000000014</v>
      </c>
      <c r="AJ97" s="14">
        <f>AI97*VLOOKUP('Données projet'!$B$10,Paramètres!$A$1:$I$89,3,0)*VLOOKUP('Données projet'!$B$10,Paramètres!$A$1:$I$89,5,0)</f>
        <v>294.60288000000014</v>
      </c>
      <c r="AK97" s="14">
        <f t="shared" si="89"/>
        <v>70.043827142305744</v>
      </c>
      <c r="AL97" s="22">
        <f t="shared" si="58"/>
        <v>635.09301493951614</v>
      </c>
      <c r="AM97" s="60">
        <f t="shared" si="59"/>
        <v>928.42634827284951</v>
      </c>
      <c r="AN97" s="60">
        <f ca="1">AVERAGE(OFFSET($AM$3,0,0,'Données projet'!$E$10+1,1))-AVERAGE(OFFSET($H$3,0,0,'Données projet'!$E$10+1,1))</f>
        <v>404.14319681142746</v>
      </c>
      <c r="AO97" s="60">
        <f t="shared" si="90"/>
        <v>203.5274665601915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4.9000000000000004</v>
      </c>
      <c r="BD97" s="13">
        <f>IF('Données projet'!$A$88&gt;35,BD96+BC97-BL96,IF(A97&lt;'Données projet'!$A$88,$BA$205^A97,IF(A97='Données projet'!$A$88,'Données projet'!$B$88,BD96+BC97-BL96)))</f>
        <v>273.59999999999997</v>
      </c>
      <c r="BE97" s="14">
        <f>BD97*VLOOKUP('Données projet'!$B$11,Paramètres!$A$1:$I$89,3,0)*VLOOKUP('Données projet'!$B$11,Paramètres!$A$1:$I$89,5,0)</f>
        <v>277.43039999999996</v>
      </c>
      <c r="BF97" s="14">
        <f t="shared" si="91"/>
        <v>66.423687500715673</v>
      </c>
      <c r="BG97" s="22">
        <f t="shared" si="61"/>
        <v>598.87920239707967</v>
      </c>
      <c r="BH97" s="60">
        <f t="shared" si="62"/>
        <v>892.21253573041304</v>
      </c>
      <c r="BI97" s="60">
        <f ca="1">AVERAGE(OFFSET($BH$3,0,0,'Données projet'!$E$11+1,1))-AVERAGE(OFFSET($H$3,0,0,'Données projet'!$E$11+1,1))</f>
        <v>350.3652766444938</v>
      </c>
      <c r="BJ97" s="60">
        <f t="shared" si="92"/>
        <v>197.04549436738586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4.9000000000000004</v>
      </c>
      <c r="BY97" s="13">
        <f>IF('Données projet'!$A$114&gt;35,BY96+BX97-CG96,IF(A97&lt;'Données projet'!$A$114,$BV$205^A97,IF(A97='Données projet'!$A$114,'Données projet'!$B$114,BY96+BX97-CG96)))</f>
        <v>273.59999999999997</v>
      </c>
      <c r="BZ97" s="14">
        <f>BY97*VLOOKUP('Données projet'!$B$12,Paramètres!$A$1:$I$89,3,0)*VLOOKUP('Données projet'!$B$12,Paramètres!$A$1:$I$89,5,0)</f>
        <v>264.62591999999995</v>
      </c>
      <c r="CA97" s="14">
        <f t="shared" si="93"/>
        <v>63.707422801198604</v>
      </c>
      <c r="CB97" s="22">
        <f t="shared" si="64"/>
        <v>571.84723871208746</v>
      </c>
      <c r="CC97" s="60">
        <f t="shared" si="65"/>
        <v>865.18057204542083</v>
      </c>
      <c r="CD97" s="60">
        <f ca="1">AVERAGE(OFFSET($CC$3,0,0,'Données projet'!$E$12+1,1))-AVERAGE(OFFSET($H$3,0,0,'Données projet'!$E$12+1,1))</f>
        <v>330.39429528665841</v>
      </c>
      <c r="CE97" s="60">
        <f t="shared" si="94"/>
        <v>186.45728006007261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4.9000000000000004</v>
      </c>
      <c r="CT97" s="13">
        <f>IF('Données projet'!$A$140&gt;35,CT96+CS97-DB96,IF(A97&lt;'Données projet'!$A$140,$CQ$205^A97,IF(A97='Données projet'!$A$140,'Données projet'!$B$140,CT96+CS97-DB96)))</f>
        <v>273.59999999999997</v>
      </c>
      <c r="CU97" s="18">
        <f>CT97*VLOOKUP('Données projet'!$B$13,Paramètres!$A$1:$I$89,3,0)*VLOOKUP('Données projet'!$B$13,Paramètres!$A$1:$I$89,5,0)</f>
        <v>294.50303999999994</v>
      </c>
      <c r="CV97" s="14">
        <f t="shared" si="95"/>
        <v>70.022852154069838</v>
      </c>
      <c r="CW97" s="22">
        <f t="shared" si="67"/>
        <v>634.88259550167152</v>
      </c>
      <c r="CX97" s="60">
        <f t="shared" si="68"/>
        <v>928.21592883500489</v>
      </c>
      <c r="CY97" s="60">
        <f ca="1">AVERAGE(OFFSET($CX$3,0,0,'Données projet'!$E$13+1,1))-AVERAGE(OFFSET($H$3,0,0,'Données projet'!$E$13+1,1))</f>
        <v>376.96388721258387</v>
      </c>
      <c r="CZ97" s="60">
        <f t="shared" si="96"/>
        <v>211.14628470344377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3.7179487179487181</v>
      </c>
      <c r="DO97" s="13">
        <f>IF('Données projet'!$A$166&gt;35,DO96+DN97-DW96,IF(A97&lt;'Données projet'!$A$166,$DL$205^A97,IF(A97='Données projet'!$A$166,'Données projet'!$B$166,DO96+DN97-DW96)))</f>
        <v>286.02564102564116</v>
      </c>
      <c r="DP97" s="18">
        <f>DO97*VLOOKUP('Données projet'!$B$14,Paramètres!$A$1:$I$89,3,0)*VLOOKUP('Données projet'!$B$14,Paramètres!$A$1:$I$89,5,0)</f>
        <v>191.8660000000001</v>
      </c>
      <c r="DQ97" s="14">
        <f t="shared" si="97"/>
        <v>47.952264009442366</v>
      </c>
      <c r="DR97" s="22">
        <f t="shared" si="70"/>
        <v>417.6834764831122</v>
      </c>
      <c r="DS97" s="60">
        <f t="shared" si="71"/>
        <v>711.01680981644552</v>
      </c>
      <c r="DT97" s="60">
        <f ca="1">AVERAGE(OFFSET($DS$3,0,0,'Données projet'!$E$14+1,1))-AVERAGE(OFFSET($H$3,0,0,'Données projet'!$E$14+1,1))</f>
        <v>212.33913923444732</v>
      </c>
      <c r="DU97" s="60">
        <f t="shared" si="98"/>
        <v>183.51194426094372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0" t="e">
        <f t="shared" si="74"/>
        <v>#N/A</v>
      </c>
      <c r="EO97" s="60" t="e">
        <f ca="1">AVERAGE(OFFSET($EN$3,0,0,'Données projet'!$E$15+1,1))-AVERAGE(OFFSET($H$3,0,0,'Données projet'!$E$15+1,1))</f>
        <v>#N/A</v>
      </c>
      <c r="EP97" s="60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0" t="e">
        <f t="shared" si="77"/>
        <v>#N/A</v>
      </c>
      <c r="FJ97" s="60" t="e">
        <f ca="1">AVERAGE(OFFSET($FI$3,0,0,'Données projet'!$E$16+1,1))-AVERAGE(OFFSET($H$3,0,0,'Données projet'!$E$16+1,1))</f>
        <v>#N/A</v>
      </c>
      <c r="FK97" s="60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0" t="e">
        <f t="shared" si="80"/>
        <v>#N/A</v>
      </c>
      <c r="GE97" s="60" t="e">
        <f ca="1">AVERAGE(OFFSET($GD$3,0,0,'Données projet'!$E$17+1,1))-AVERAGE(OFFSET($H$3,0,0,'Données projet'!$E$17+1,1))</f>
        <v>#N/A</v>
      </c>
      <c r="GF97" s="60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0" t="e">
        <f t="shared" si="83"/>
        <v>#N/A</v>
      </c>
      <c r="GZ97" s="60" t="e">
        <f ca="1">AVERAGE(OFFSET($GY$3,0,0,'Données projet'!$E$18+1,1))-AVERAGE(OFFSET($H$3,0,0,'Données projet'!$E$18+1,1))</f>
        <v>#N/A</v>
      </c>
      <c r="HA97" s="60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5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2">
        <f t="shared" si="86"/>
        <v>15.0956584691149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8">
        <f t="shared" si="56"/>
        <v>409.96518850037501</v>
      </c>
      <c r="I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>
        <f>VLOOKUP(A98,'Données projet'!$A$35:$I$55,2,0)</f>
        <v>364.78461538461539</v>
      </c>
      <c r="L98" s="13">
        <f>VLOOKUP(A98,'Données projet'!$A$35:$I$55,9,0)</f>
        <v>8.0338461538461612</v>
      </c>
      <c r="M98" s="13">
        <f t="array" ref="M98">INDEX(L:L,MIN(IF(ISNUMBER(L98:L294),ROW(L98:L294),"")))</f>
        <v>8.0338461538461612</v>
      </c>
      <c r="N98" s="14">
        <f>IF('Données projet'!$A$36&gt;35,N97+M98-V97,IF(A98&lt;'Données projet'!$A$36,$K$205^A98,IF(A98='Données projet'!$A$36,'Données projet'!$B$36,N97+M98-V97)))</f>
        <v>364.78461538461562</v>
      </c>
      <c r="O98" s="14">
        <f>N98*VLOOKUP('Données projet'!$B$9,Paramètres!$A$1:$I$89,3,0)*VLOOKUP('Données projet'!$B$9,Paramètres!$A$1:$I$89,5,0)</f>
        <v>170.71920000000011</v>
      </c>
      <c r="P98" s="14">
        <f t="shared" si="87"/>
        <v>43.251060862572231</v>
      </c>
      <c r="Q98" s="22">
        <f t="shared" si="54"/>
        <v>372.66487100231348</v>
      </c>
      <c r="R98" s="60">
        <f t="shared" si="55"/>
        <v>665.99820433564673</v>
      </c>
      <c r="S98" s="60">
        <f ca="1">AVERAGE(OFFSET($R$3,0,0,'Données projet'!$E$9+1,1))-AVERAGE(OFFSET($H$3,0,0,'Données projet'!$E$9+1,1))</f>
        <v>146.40889017442277</v>
      </c>
      <c r="T98" s="60">
        <f t="shared" si="88"/>
        <v>70.859031694091868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5.9</v>
      </c>
      <c r="AI98" s="14">
        <f>IF('Données projet'!$A$62&gt;35,AI97+AH98-AQ97,IF(A98&lt;'Données projet'!$A$62,$AF$205^A98,IF(A98='Données projet'!$A$62,'Données projet'!$B$62,AI97+AH98-AQ97)))</f>
        <v>331.50000000000011</v>
      </c>
      <c r="AJ98" s="14">
        <f>AI98*VLOOKUP('Données projet'!$B$10,Paramètres!$A$1:$I$89,3,0)*VLOOKUP('Données projet'!$B$10,Paramètres!$A$1:$I$89,5,0)</f>
        <v>299.94120000000009</v>
      </c>
      <c r="AK98" s="14">
        <f t="shared" si="89"/>
        <v>71.164136596531577</v>
      </c>
      <c r="AL98" s="22">
        <f t="shared" si="58"/>
        <v>646.34179457229266</v>
      </c>
      <c r="AM98" s="60">
        <f t="shared" si="59"/>
        <v>939.67512790562591</v>
      </c>
      <c r="AN98" s="60">
        <f ca="1">AVERAGE(OFFSET($AM$3,0,0,'Données projet'!$E$10+1,1))-AVERAGE(OFFSET($H$3,0,0,'Données projet'!$E$10+1,1))</f>
        <v>404.14319681142746</v>
      </c>
      <c r="AO98" s="60">
        <f t="shared" si="90"/>
        <v>203.5274665601915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4.9000000000000004</v>
      </c>
      <c r="BD98" s="13">
        <f>IF('Données projet'!$A$88&gt;35,BD97+BC98-BL97,IF(A98&lt;'Données projet'!$A$88,$BA$205^A98,IF(A98='Données projet'!$A$88,'Données projet'!$B$88,BD97+BC98-BL97)))</f>
        <v>278.49999999999994</v>
      </c>
      <c r="BE98" s="14">
        <f>BD98*VLOOKUP('Données projet'!$B$11,Paramètres!$A$1:$I$89,3,0)*VLOOKUP('Données projet'!$B$11,Paramètres!$A$1:$I$89,5,0)</f>
        <v>282.399</v>
      </c>
      <c r="BF98" s="14">
        <f t="shared" si="91"/>
        <v>67.473734542548371</v>
      </c>
      <c r="BG98" s="22">
        <f t="shared" si="61"/>
        <v>609.36167932827175</v>
      </c>
      <c r="BH98" s="60">
        <f t="shared" si="62"/>
        <v>902.69501266160501</v>
      </c>
      <c r="BI98" s="60">
        <f ca="1">AVERAGE(OFFSET($BH$3,0,0,'Données projet'!$E$11+1,1))-AVERAGE(OFFSET($H$3,0,0,'Données projet'!$E$11+1,1))</f>
        <v>350.3652766444938</v>
      </c>
      <c r="BJ98" s="60">
        <f t="shared" si="92"/>
        <v>197.04549436738586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4.9000000000000004</v>
      </c>
      <c r="BY98" s="13">
        <f>IF('Données projet'!$A$114&gt;35,BY97+BX98-CG97,IF(A98&lt;'Données projet'!$A$114,$BV$205^A98,IF(A98='Données projet'!$A$114,'Données projet'!$B$114,BY97+BX98-CG97)))</f>
        <v>278.49999999999994</v>
      </c>
      <c r="BZ98" s="14">
        <f>BY98*VLOOKUP('Données projet'!$B$12,Paramètres!$A$1:$I$89,3,0)*VLOOKUP('Données projet'!$B$12,Paramètres!$A$1:$I$89,5,0)</f>
        <v>269.36519999999996</v>
      </c>
      <c r="CA98" s="14">
        <f t="shared" si="93"/>
        <v>64.714530255967034</v>
      </c>
      <c r="CB98" s="22">
        <f t="shared" si="64"/>
        <v>581.85553019580914</v>
      </c>
      <c r="CC98" s="60">
        <f t="shared" si="65"/>
        <v>875.18886352914251</v>
      </c>
      <c r="CD98" s="60">
        <f ca="1">AVERAGE(OFFSET($CC$3,0,0,'Données projet'!$E$12+1,1))-AVERAGE(OFFSET($H$3,0,0,'Données projet'!$E$12+1,1))</f>
        <v>330.39429528665841</v>
      </c>
      <c r="CE98" s="60">
        <f t="shared" si="94"/>
        <v>186.45728006007261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4.9000000000000004</v>
      </c>
      <c r="CT98" s="13">
        <f>IF('Données projet'!$A$140&gt;35,CT97+CS98-DB97,IF(A98&lt;'Données projet'!$A$140,$CQ$205^A98,IF(A98='Données projet'!$A$140,'Données projet'!$B$140,CT97+CS98-DB97)))</f>
        <v>278.49999999999994</v>
      </c>
      <c r="CU98" s="18">
        <f>CT98*VLOOKUP('Données projet'!$B$13,Paramètres!$A$1:$I$89,3,0)*VLOOKUP('Données projet'!$B$13,Paramètres!$A$1:$I$89,5,0)</f>
        <v>299.77739999999989</v>
      </c>
      <c r="CV98" s="14">
        <f t="shared" si="95"/>
        <v>71.129795949749251</v>
      </c>
      <c r="CW98" s="22">
        <f t="shared" si="67"/>
        <v>645.9966996124798</v>
      </c>
      <c r="CX98" s="60">
        <f t="shared" si="68"/>
        <v>939.33003294581317</v>
      </c>
      <c r="CY98" s="60">
        <f ca="1">AVERAGE(OFFSET($CX$3,0,0,'Données projet'!$E$13+1,1))-AVERAGE(OFFSET($H$3,0,0,'Données projet'!$E$13+1,1))</f>
        <v>376.96388721258387</v>
      </c>
      <c r="CZ98" s="60">
        <f t="shared" si="96"/>
        <v>211.14628470344377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>
        <f>VLOOKUP(A98,'Données projet'!$A$165:$I$185,2,0)</f>
        <v>289.74358974358972</v>
      </c>
      <c r="DM98" s="13">
        <f>VLOOKUP(A98,'Données projet'!$A$165:$I$185,9,0)</f>
        <v>3.7179487179487181</v>
      </c>
      <c r="DN98" s="13">
        <f t="array" ref="DN98">INDEX(DM:DM,MIN(IF(ISNUMBER(DM98:DM294),ROW(DM98:DM294),"")))</f>
        <v>3.7179487179487181</v>
      </c>
      <c r="DO98" s="13">
        <f>IF('Données projet'!$A$166&gt;35,DO97+DN98-DW97,IF(A98&lt;'Données projet'!$A$166,$DL$205^A98,IF(A98='Données projet'!$A$166,'Données projet'!$B$166,DO97+DN98-DW97)))</f>
        <v>289.74358974358989</v>
      </c>
      <c r="DP98" s="18">
        <f>DO98*VLOOKUP('Données projet'!$B$14,Paramètres!$A$1:$I$89,3,0)*VLOOKUP('Données projet'!$B$14,Paramètres!$A$1:$I$89,5,0)</f>
        <v>194.3600000000001</v>
      </c>
      <c r="DQ98" s="14">
        <f t="shared" si="97"/>
        <v>48.502610439386679</v>
      </c>
      <c r="DR98" s="22">
        <f t="shared" si="70"/>
        <v>422.98571318193194</v>
      </c>
      <c r="DS98" s="60">
        <f t="shared" si="71"/>
        <v>716.3190465152652</v>
      </c>
      <c r="DT98" s="60">
        <f ca="1">AVERAGE(OFFSET($DS$3,0,0,'Données projet'!$E$14+1,1))-AVERAGE(OFFSET($H$3,0,0,'Données projet'!$E$14+1,1))</f>
        <v>212.33913923444732</v>
      </c>
      <c r="DU98" s="60">
        <f t="shared" si="98"/>
        <v>183.51194426094372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0" t="e">
        <f t="shared" si="74"/>
        <v>#N/A</v>
      </c>
      <c r="EO98" s="60" t="e">
        <f ca="1">AVERAGE(OFFSET($EN$3,0,0,'Données projet'!$E$15+1,1))-AVERAGE(OFFSET($H$3,0,0,'Données projet'!$E$15+1,1))</f>
        <v>#N/A</v>
      </c>
      <c r="EP98" s="60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0" t="e">
        <f t="shared" si="77"/>
        <v>#N/A</v>
      </c>
      <c r="FJ98" s="60" t="e">
        <f ca="1">AVERAGE(OFFSET($FI$3,0,0,'Données projet'!$E$16+1,1))-AVERAGE(OFFSET($H$3,0,0,'Données projet'!$E$16+1,1))</f>
        <v>#N/A</v>
      </c>
      <c r="FK98" s="60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0" t="e">
        <f t="shared" si="80"/>
        <v>#N/A</v>
      </c>
      <c r="GE98" s="60" t="e">
        <f ca="1">AVERAGE(OFFSET($GD$3,0,0,'Données projet'!$E$17+1,1))-AVERAGE(OFFSET($H$3,0,0,'Données projet'!$E$17+1,1))</f>
        <v>#N/A</v>
      </c>
      <c r="GF98" s="60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0" t="e">
        <f t="shared" si="83"/>
        <v>#N/A</v>
      </c>
      <c r="GZ98" s="60" t="e">
        <f ca="1">AVERAGE(OFFSET($GY$3,0,0,'Données projet'!$E$18+1,1))-AVERAGE(OFFSET($H$3,0,0,'Données projet'!$E$18+1,1))</f>
        <v>#N/A</v>
      </c>
      <c r="HA98" s="60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5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2">
        <f t="shared" si="86"/>
        <v>15.235978301273022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8">
        <f t="shared" si="56"/>
        <v>411.1605288747171</v>
      </c>
      <c r="I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8.271153846153851</v>
      </c>
      <c r="N99" s="14">
        <f>IF('Données projet'!$A$36&gt;35,N98+M99-V98,IF(A99&lt;'Données projet'!$A$36,$K$205^A99,IF(A99='Données projet'!$A$36,'Données projet'!$B$36,N98+M99-V98)))</f>
        <v>373.05576923076944</v>
      </c>
      <c r="O99" s="14">
        <f>N99*VLOOKUP('Données projet'!$B$9,Paramètres!$A$1:$I$89,3,0)*VLOOKUP('Données projet'!$B$9,Paramètres!$A$1:$I$89,5,0)</f>
        <v>174.59010000000012</v>
      </c>
      <c r="P99" s="14">
        <f t="shared" si="87"/>
        <v>44.116453815589544</v>
      </c>
      <c r="Q99" s="22">
        <f t="shared" ref="Q99:Q130" si="107">(O99+P99)*0.475*44/12</f>
        <v>380.913914562152</v>
      </c>
      <c r="R99" s="60">
        <f t="shared" si="55"/>
        <v>674.24724789548532</v>
      </c>
      <c r="S99" s="60">
        <f ca="1">AVERAGE(OFFSET($R$3,0,0,'Données projet'!$E$9+1,1))-AVERAGE(OFFSET($H$3,0,0,'Données projet'!$E$9+1,1))</f>
        <v>146.40889017442277</v>
      </c>
      <c r="T99" s="60">
        <f t="shared" si="88"/>
        <v>70.859031694091868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5.9</v>
      </c>
      <c r="AI99" s="14">
        <f>IF('Données projet'!$A$62&gt;35,AI98+AH99-AQ98,IF(A99&lt;'Données projet'!$A$62,$AF$205^A99,IF(A99='Données projet'!$A$62,'Données projet'!$B$62,AI98+AH99-AQ98)))</f>
        <v>337.40000000000009</v>
      </c>
      <c r="AJ99" s="14">
        <f>AI99*VLOOKUP('Données projet'!$B$10,Paramètres!$A$1:$I$89,3,0)*VLOOKUP('Données projet'!$B$10,Paramètres!$A$1:$I$89,5,0)</f>
        <v>305.27952000000005</v>
      </c>
      <c r="AK99" s="14">
        <f t="shared" si="89"/>
        <v>72.282127407576866</v>
      </c>
      <c r="AL99" s="22">
        <f t="shared" si="58"/>
        <v>657.58653590152971</v>
      </c>
      <c r="AM99" s="60">
        <f t="shared" si="59"/>
        <v>950.91986923486297</v>
      </c>
      <c r="AN99" s="60">
        <f ca="1">AVERAGE(OFFSET($AM$3,0,0,'Données projet'!$E$10+1,1))-AVERAGE(OFFSET($H$3,0,0,'Données projet'!$E$10+1,1))</f>
        <v>404.14319681142746</v>
      </c>
      <c r="AO99" s="60">
        <f t="shared" si="90"/>
        <v>203.5274665601915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4.9000000000000004</v>
      </c>
      <c r="BD99" s="13">
        <f>IF('Données projet'!$A$88&gt;35,BD98+BC99-BL98,IF(A99&lt;'Données projet'!$A$88,$BA$205^A99,IF(A99='Données projet'!$A$88,'Données projet'!$B$88,BD98+BC99-BL98)))</f>
        <v>283.39999999999992</v>
      </c>
      <c r="BE99" s="14">
        <f>BD99*VLOOKUP('Données projet'!$B$11,Paramètres!$A$1:$I$89,3,0)*VLOOKUP('Données projet'!$B$11,Paramètres!$A$1:$I$89,5,0)</f>
        <v>287.36759999999992</v>
      </c>
      <c r="BF99" s="14">
        <f t="shared" si="91"/>
        <v>68.521633201565123</v>
      </c>
      <c r="BG99" s="22">
        <f t="shared" si="61"/>
        <v>619.84041449272581</v>
      </c>
      <c r="BH99" s="60">
        <f t="shared" si="62"/>
        <v>913.17374782605907</v>
      </c>
      <c r="BI99" s="60">
        <f ca="1">AVERAGE(OFFSET($BH$3,0,0,'Données projet'!$E$11+1,1))-AVERAGE(OFFSET($H$3,0,0,'Données projet'!$E$11+1,1))</f>
        <v>350.3652766444938</v>
      </c>
      <c r="BJ99" s="60">
        <f t="shared" si="92"/>
        <v>197.04549436738586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4.9000000000000004</v>
      </c>
      <c r="BY99" s="13">
        <f>IF('Données projet'!$A$114&gt;35,BY98+BX99-CG98,IF(A99&lt;'Données projet'!$A$114,$BV$205^A99,IF(A99='Données projet'!$A$114,'Données projet'!$B$114,BY98+BX99-CG98)))</f>
        <v>283.39999999999992</v>
      </c>
      <c r="BZ99" s="14">
        <f>BY99*VLOOKUP('Données projet'!$B$12,Paramètres!$A$1:$I$89,3,0)*VLOOKUP('Données projet'!$B$12,Paramètres!$A$1:$I$89,5,0)</f>
        <v>274.10447999999991</v>
      </c>
      <c r="CA99" s="14">
        <f t="shared" si="93"/>
        <v>65.719577181765516</v>
      </c>
      <c r="CB99" s="22">
        <f t="shared" si="64"/>
        <v>591.86023292490802</v>
      </c>
      <c r="CC99" s="60">
        <f t="shared" si="65"/>
        <v>885.19356625824139</v>
      </c>
      <c r="CD99" s="60">
        <f ca="1">AVERAGE(OFFSET($CC$3,0,0,'Données projet'!$E$12+1,1))-AVERAGE(OFFSET($H$3,0,0,'Données projet'!$E$12+1,1))</f>
        <v>330.39429528665841</v>
      </c>
      <c r="CE99" s="60">
        <f t="shared" si="94"/>
        <v>186.45728006007261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4.9000000000000004</v>
      </c>
      <c r="CT99" s="13">
        <f>IF('Données projet'!$A$140&gt;35,CT98+CS99-DB98,IF(A99&lt;'Données projet'!$A$140,$CQ$205^A99,IF(A99='Données projet'!$A$140,'Données projet'!$B$140,CT98+CS99-DB98)))</f>
        <v>283.39999999999992</v>
      </c>
      <c r="CU99" s="18">
        <f>CT99*VLOOKUP('Données projet'!$B$13,Paramètres!$A$1:$I$89,3,0)*VLOOKUP('Données projet'!$B$13,Paramètres!$A$1:$I$89,5,0)</f>
        <v>305.05175999999989</v>
      </c>
      <c r="CV99" s="14">
        <f t="shared" si="95"/>
        <v>72.23447495258219</v>
      </c>
      <c r="CW99" s="22">
        <f t="shared" si="67"/>
        <v>657.10685920908043</v>
      </c>
      <c r="CX99" s="60">
        <f t="shared" si="68"/>
        <v>950.4401925424138</v>
      </c>
      <c r="CY99" s="60">
        <f ca="1">AVERAGE(OFFSET($CX$3,0,0,'Données projet'!$E$13+1,1))-AVERAGE(OFFSET($H$3,0,0,'Données projet'!$E$13+1,1))</f>
        <v>376.96388721258387</v>
      </c>
      <c r="CZ99" s="60">
        <f t="shared" si="96"/>
        <v>211.14628470344377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3.5897435897435912</v>
      </c>
      <c r="DO99" s="13">
        <f>IF('Données projet'!$A$166&gt;35,DO98+DN99-DW98,IF(A99&lt;'Données projet'!$A$166,$DL$205^A99,IF(A99='Données projet'!$A$166,'Données projet'!$B$166,DO98+DN99-DW98)))</f>
        <v>293.33333333333348</v>
      </c>
      <c r="DP99" s="18">
        <f>DO99*VLOOKUP('Données projet'!$B$14,Paramètres!$A$1:$I$89,3,0)*VLOOKUP('Données projet'!$B$14,Paramètres!$A$1:$I$89,5,0)</f>
        <v>196.76800000000011</v>
      </c>
      <c r="DQ99" s="14">
        <f t="shared" si="97"/>
        <v>49.033199854505597</v>
      </c>
      <c r="DR99" s="22">
        <f t="shared" si="70"/>
        <v>428.10375641326408</v>
      </c>
      <c r="DS99" s="60">
        <f t="shared" si="71"/>
        <v>721.43708974659739</v>
      </c>
      <c r="DT99" s="60">
        <f ca="1">AVERAGE(OFFSET($DS$3,0,0,'Données projet'!$E$14+1,1))-AVERAGE(OFFSET($H$3,0,0,'Données projet'!$E$14+1,1))</f>
        <v>212.33913923444732</v>
      </c>
      <c r="DU99" s="60">
        <f t="shared" si="98"/>
        <v>183.51194426094372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0" t="e">
        <f t="shared" si="74"/>
        <v>#N/A</v>
      </c>
      <c r="EO99" s="60" t="e">
        <f ca="1">AVERAGE(OFFSET($EN$3,0,0,'Données projet'!$E$15+1,1))-AVERAGE(OFFSET($H$3,0,0,'Données projet'!$E$15+1,1))</f>
        <v>#N/A</v>
      </c>
      <c r="EP99" s="60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0" t="e">
        <f t="shared" si="77"/>
        <v>#N/A</v>
      </c>
      <c r="FJ99" s="60" t="e">
        <f ca="1">AVERAGE(OFFSET($FI$3,0,0,'Données projet'!$E$16+1,1))-AVERAGE(OFFSET($H$3,0,0,'Données projet'!$E$16+1,1))</f>
        <v>#N/A</v>
      </c>
      <c r="FK99" s="60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0" t="e">
        <f t="shared" si="80"/>
        <v>#N/A</v>
      </c>
      <c r="GE99" s="60" t="e">
        <f ca="1">AVERAGE(OFFSET($GD$3,0,0,'Données projet'!$E$17+1,1))-AVERAGE(OFFSET($H$3,0,0,'Données projet'!$E$17+1,1))</f>
        <v>#N/A</v>
      </c>
      <c r="GF99" s="60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0" t="e">
        <f t="shared" si="83"/>
        <v>#N/A</v>
      </c>
      <c r="GZ99" s="60" t="e">
        <f ca="1">AVERAGE(OFFSET($GY$3,0,0,'Données projet'!$E$18+1,1))-AVERAGE(OFFSET($H$3,0,0,'Données projet'!$E$18+1,1))</f>
        <v>#N/A</v>
      </c>
      <c r="HA99" s="60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5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2">
        <f t="shared" si="86"/>
        <v>15.376128095486868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8">
        <f t="shared" si="56"/>
        <v>412.35557309963951</v>
      </c>
      <c r="I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8.271153846153851</v>
      </c>
      <c r="N100" s="14">
        <f>IF('Données projet'!$A$36&gt;35,N99+M100-V99,IF(A100&lt;'Données projet'!$A$36,$K$205^A100,IF(A100='Données projet'!$A$36,'Données projet'!$B$36,N99+M100-V99)))</f>
        <v>381.32692307692332</v>
      </c>
      <c r="O100" s="14">
        <f>N100*VLOOKUP('Données projet'!$B$9,Paramètres!$A$1:$I$89,3,0)*VLOOKUP('Données projet'!$B$9,Paramètres!$A$1:$I$89,5,0)</f>
        <v>178.46100000000013</v>
      </c>
      <c r="P100" s="14">
        <f t="shared" si="87"/>
        <v>44.979616095143392</v>
      </c>
      <c r="Q100" s="22">
        <f t="shared" si="107"/>
        <v>389.15907303237492</v>
      </c>
      <c r="R100" s="60">
        <f t="shared" si="55"/>
        <v>682.49240636570823</v>
      </c>
      <c r="S100" s="60">
        <f ca="1">AVERAGE(OFFSET($R$3,0,0,'Données projet'!$E$9+1,1))-AVERAGE(OFFSET($H$3,0,0,'Données projet'!$E$9+1,1))</f>
        <v>146.40889017442277</v>
      </c>
      <c r="T100" s="60">
        <f t="shared" si="88"/>
        <v>70.859031694091868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5.9</v>
      </c>
      <c r="AI100" s="14">
        <f>IF('Données projet'!$A$62&gt;35,AI99+AH100-AQ99,IF(A100&lt;'Données projet'!$A$62,$AF$205^A100,IF(A100='Données projet'!$A$62,'Données projet'!$B$62,AI99+AH100-AQ99)))</f>
        <v>343.30000000000007</v>
      </c>
      <c r="AJ100" s="14">
        <f>AI100*VLOOKUP('Données projet'!$B$10,Paramètres!$A$1:$I$89,3,0)*VLOOKUP('Données projet'!$B$10,Paramètres!$A$1:$I$89,5,0)</f>
        <v>310.61784000000006</v>
      </c>
      <c r="AK100" s="14">
        <f t="shared" si="89"/>
        <v>73.397844798859666</v>
      </c>
      <c r="AL100" s="22">
        <f t="shared" si="58"/>
        <v>668.82731769134739</v>
      </c>
      <c r="AM100" s="60">
        <f t="shared" si="59"/>
        <v>962.16065102468065</v>
      </c>
      <c r="AN100" s="60">
        <f ca="1">AVERAGE(OFFSET($AM$3,0,0,'Données projet'!$E$10+1,1))-AVERAGE(OFFSET($H$3,0,0,'Données projet'!$E$10+1,1))</f>
        <v>404.14319681142746</v>
      </c>
      <c r="AO100" s="60">
        <f t="shared" si="90"/>
        <v>203.5274665601915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4.9000000000000004</v>
      </c>
      <c r="BD100" s="13">
        <f>IF('Données projet'!$A$88&gt;35,BD99+BC100-BL99,IF(A100&lt;'Données projet'!$A$88,$BA$205^A100,IF(A100='Données projet'!$A$88,'Données projet'!$B$88,BD99+BC100-BL99)))</f>
        <v>288.2999999999999</v>
      </c>
      <c r="BE100" s="14">
        <f>BD100*VLOOKUP('Données projet'!$B$11,Paramètres!$A$1:$I$89,3,0)*VLOOKUP('Données projet'!$B$11,Paramètres!$A$1:$I$89,5,0)</f>
        <v>292.33619999999996</v>
      </c>
      <c r="BF100" s="14">
        <f t="shared" si="91"/>
        <v>69.56742490962327</v>
      </c>
      <c r="BG100" s="22">
        <f t="shared" si="61"/>
        <v>630.31548005092702</v>
      </c>
      <c r="BH100" s="60">
        <f t="shared" si="62"/>
        <v>923.64881338426039</v>
      </c>
      <c r="BI100" s="60">
        <f ca="1">AVERAGE(OFFSET($BH$3,0,0,'Données projet'!$E$11+1,1))-AVERAGE(OFFSET($H$3,0,0,'Données projet'!$E$11+1,1))</f>
        <v>350.3652766444938</v>
      </c>
      <c r="BJ100" s="60">
        <f t="shared" si="92"/>
        <v>197.04549436738586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4.9000000000000004</v>
      </c>
      <c r="BY100" s="13">
        <f>IF('Données projet'!$A$114&gt;35,BY99+BX100-CG99,IF(A100&lt;'Données projet'!$A$114,$BV$205^A100,IF(A100='Données projet'!$A$114,'Données projet'!$B$114,BY99+BX100-CG99)))</f>
        <v>288.2999999999999</v>
      </c>
      <c r="BZ100" s="14">
        <f>BY100*VLOOKUP('Données projet'!$B$12,Paramètres!$A$1:$I$89,3,0)*VLOOKUP('Données projet'!$B$12,Paramètres!$A$1:$I$89,5,0)</f>
        <v>278.84375999999992</v>
      </c>
      <c r="CA100" s="14">
        <f t="shared" si="93"/>
        <v>66.722603316177725</v>
      </c>
      <c r="CB100" s="22">
        <f t="shared" si="64"/>
        <v>601.86141610900938</v>
      </c>
      <c r="CC100" s="60">
        <f t="shared" si="65"/>
        <v>895.19474944234275</v>
      </c>
      <c r="CD100" s="60">
        <f ca="1">AVERAGE(OFFSET($CC$3,0,0,'Données projet'!$E$12+1,1))-AVERAGE(OFFSET($H$3,0,0,'Données projet'!$E$12+1,1))</f>
        <v>330.39429528665841</v>
      </c>
      <c r="CE100" s="60">
        <f t="shared" si="94"/>
        <v>186.45728006007261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4.9000000000000004</v>
      </c>
      <c r="CT100" s="13">
        <f>IF('Données projet'!$A$140&gt;35,CT99+CS100-DB99,IF(A100&lt;'Données projet'!$A$140,$CQ$205^A100,IF(A100='Données projet'!$A$140,'Données projet'!$B$140,CT99+CS100-DB99)))</f>
        <v>288.2999999999999</v>
      </c>
      <c r="CU100" s="18">
        <f>CT100*VLOOKUP('Données projet'!$B$13,Paramètres!$A$1:$I$89,3,0)*VLOOKUP('Données projet'!$B$13,Paramètres!$A$1:$I$89,5,0)</f>
        <v>310.32611999999989</v>
      </c>
      <c r="CV100" s="14">
        <f t="shared" si="95"/>
        <v>73.336932839409357</v>
      </c>
      <c r="CW100" s="22">
        <f t="shared" si="67"/>
        <v>668.21315036197109</v>
      </c>
      <c r="CX100" s="60">
        <f t="shared" si="68"/>
        <v>961.54648369530446</v>
      </c>
      <c r="CY100" s="60">
        <f ca="1">AVERAGE(OFFSET($CX$3,0,0,'Données projet'!$E$13+1,1))-AVERAGE(OFFSET($H$3,0,0,'Données projet'!$E$13+1,1))</f>
        <v>376.96388721258387</v>
      </c>
      <c r="CZ100" s="60">
        <f t="shared" si="96"/>
        <v>211.14628470344377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3.5897435897435912</v>
      </c>
      <c r="DO100" s="13">
        <f>IF('Données projet'!$A$166&gt;35,DO99+DN100-DW99,IF(A100&lt;'Données projet'!$A$166,$DL$205^A100,IF(A100='Données projet'!$A$166,'Données projet'!$B$166,DO99+DN100-DW99)))</f>
        <v>296.92307692307708</v>
      </c>
      <c r="DP100" s="18">
        <f>DO100*VLOOKUP('Données projet'!$B$14,Paramètres!$A$1:$I$89,3,0)*VLOOKUP('Données projet'!$B$14,Paramètres!$A$1:$I$89,5,0)</f>
        <v>199.1760000000001</v>
      </c>
      <c r="DQ100" s="14">
        <f t="shared" si="97"/>
        <v>49.563033976114944</v>
      </c>
      <c r="DR100" s="22">
        <f t="shared" si="70"/>
        <v>433.22048417506704</v>
      </c>
      <c r="DS100" s="60">
        <f t="shared" si="71"/>
        <v>726.55381750840036</v>
      </c>
      <c r="DT100" s="60">
        <f ca="1">AVERAGE(OFFSET($DS$3,0,0,'Données projet'!$E$14+1,1))-AVERAGE(OFFSET($H$3,0,0,'Données projet'!$E$14+1,1))</f>
        <v>212.33913923444732</v>
      </c>
      <c r="DU100" s="60">
        <f t="shared" si="98"/>
        <v>183.51194426094372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0" t="e">
        <f t="shared" si="74"/>
        <v>#N/A</v>
      </c>
      <c r="EO100" s="60" t="e">
        <f ca="1">AVERAGE(OFFSET($EN$3,0,0,'Données projet'!$E$15+1,1))-AVERAGE(OFFSET($H$3,0,0,'Données projet'!$E$15+1,1))</f>
        <v>#N/A</v>
      </c>
      <c r="EP100" s="60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0" t="e">
        <f t="shared" si="77"/>
        <v>#N/A</v>
      </c>
      <c r="FJ100" s="60" t="e">
        <f ca="1">AVERAGE(OFFSET($FI$3,0,0,'Données projet'!$E$16+1,1))-AVERAGE(OFFSET($H$3,0,0,'Données projet'!$E$16+1,1))</f>
        <v>#N/A</v>
      </c>
      <c r="FK100" s="60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0" t="e">
        <f t="shared" si="80"/>
        <v>#N/A</v>
      </c>
      <c r="GE100" s="60" t="e">
        <f ca="1">AVERAGE(OFFSET($GD$3,0,0,'Données projet'!$E$17+1,1))-AVERAGE(OFFSET($H$3,0,0,'Données projet'!$E$17+1,1))</f>
        <v>#N/A</v>
      </c>
      <c r="GF100" s="60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0" t="e">
        <f t="shared" si="83"/>
        <v>#N/A</v>
      </c>
      <c r="GZ100" s="60" t="e">
        <f ca="1">AVERAGE(OFFSET($GY$3,0,0,'Données projet'!$E$18+1,1))-AVERAGE(OFFSET($H$3,0,0,'Données projet'!$E$18+1,1))</f>
        <v>#N/A</v>
      </c>
      <c r="HA100" s="60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5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2">
        <f t="shared" si="86"/>
        <v>15.516109807666373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8">
        <f t="shared" si="56"/>
        <v>413.55032458168552</v>
      </c>
      <c r="I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8.271153846153851</v>
      </c>
      <c r="N101" s="14">
        <f>IF('Données projet'!$A$36&gt;35,N100+M101-V100,IF(A101&lt;'Données projet'!$A$36,$K$205^A101,IF(A101='Données projet'!$A$36,'Données projet'!$B$36,N100+M101-V100)))</f>
        <v>389.5980769230772</v>
      </c>
      <c r="O101" s="14">
        <f>N101*VLOOKUP('Données projet'!$B$9,Paramètres!$A$1:$I$89,3,0)*VLOOKUP('Données projet'!$B$9,Paramètres!$A$1:$I$89,5,0)</f>
        <v>182.33190000000013</v>
      </c>
      <c r="P101" s="14">
        <f t="shared" si="87"/>
        <v>45.840601657901161</v>
      </c>
      <c r="Q101" s="22">
        <f t="shared" si="107"/>
        <v>397.40044038751142</v>
      </c>
      <c r="R101" s="60">
        <f t="shared" si="55"/>
        <v>690.73377372084474</v>
      </c>
      <c r="S101" s="60">
        <f ca="1">AVERAGE(OFFSET($R$3,0,0,'Données projet'!$E$9+1,1))-AVERAGE(OFFSET($H$3,0,0,'Données projet'!$E$9+1,1))</f>
        <v>146.40889017442277</v>
      </c>
      <c r="T101" s="60">
        <f t="shared" si="88"/>
        <v>70.859031694091868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5.9</v>
      </c>
      <c r="AI101" s="14">
        <f>IF('Données projet'!$A$62&gt;35,AI100+AH101-AQ100,IF(A101&lt;'Données projet'!$A$62,$AF$205^A101,IF(A101='Données projet'!$A$62,'Données projet'!$B$62,AI100+AH101-AQ100)))</f>
        <v>349.20000000000005</v>
      </c>
      <c r="AJ101" s="14">
        <f>AI101*VLOOKUP('Données projet'!$B$10,Paramètres!$A$1:$I$89,3,0)*VLOOKUP('Données projet'!$B$10,Paramètres!$A$1:$I$89,5,0)</f>
        <v>315.95616000000001</v>
      </c>
      <c r="AK101" s="14">
        <f t="shared" si="89"/>
        <v>74.511332350301046</v>
      </c>
      <c r="AL101" s="22">
        <f t="shared" si="58"/>
        <v>680.06421584344105</v>
      </c>
      <c r="AM101" s="60">
        <f t="shared" si="59"/>
        <v>973.39754917677442</v>
      </c>
      <c r="AN101" s="60">
        <f ca="1">AVERAGE(OFFSET($AM$3,0,0,'Données projet'!$E$10+1,1))-AVERAGE(OFFSET($H$3,0,0,'Données projet'!$E$10+1,1))</f>
        <v>404.14319681142746</v>
      </c>
      <c r="AO101" s="60">
        <f t="shared" si="90"/>
        <v>203.5274665601915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4.9000000000000004</v>
      </c>
      <c r="BD101" s="13">
        <f>IF('Données projet'!$A$88&gt;35,BD100+BC101-BL100,IF(A101&lt;'Données projet'!$A$88,$BA$205^A101,IF(A101='Données projet'!$A$88,'Données projet'!$B$88,BD100+BC101-BL100)))</f>
        <v>293.19999999999987</v>
      </c>
      <c r="BE101" s="14">
        <f>BD101*VLOOKUP('Données projet'!$B$11,Paramètres!$A$1:$I$89,3,0)*VLOOKUP('Données projet'!$B$11,Paramètres!$A$1:$I$89,5,0)</f>
        <v>297.30479999999989</v>
      </c>
      <c r="BF101" s="14">
        <f t="shared" si="91"/>
        <v>70.611149609504906</v>
      </c>
      <c r="BG101" s="22">
        <f t="shared" si="61"/>
        <v>640.78694556988739</v>
      </c>
      <c r="BH101" s="60">
        <f t="shared" si="62"/>
        <v>934.12027890322065</v>
      </c>
      <c r="BI101" s="60">
        <f ca="1">AVERAGE(OFFSET($BH$3,0,0,'Données projet'!$E$11+1,1))-AVERAGE(OFFSET($H$3,0,0,'Données projet'!$E$11+1,1))</f>
        <v>350.3652766444938</v>
      </c>
      <c r="BJ101" s="60">
        <f t="shared" si="92"/>
        <v>197.04549436738586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4.9000000000000004</v>
      </c>
      <c r="BY101" s="13">
        <f>IF('Données projet'!$A$114&gt;35,BY100+BX101-CG100,IF(A101&lt;'Données projet'!$A$114,$BV$205^A101,IF(A101='Données projet'!$A$114,'Données projet'!$B$114,BY100+BX101-CG100)))</f>
        <v>293.19999999999987</v>
      </c>
      <c r="BZ101" s="14">
        <f>BY101*VLOOKUP('Données projet'!$B$12,Paramètres!$A$1:$I$89,3,0)*VLOOKUP('Données projet'!$B$12,Paramètres!$A$1:$I$89,5,0)</f>
        <v>283.58303999999993</v>
      </c>
      <c r="CA101" s="14">
        <f t="shared" si="93"/>
        <v>67.723646968605209</v>
      </c>
      <c r="CB101" s="22">
        <f t="shared" si="64"/>
        <v>611.85914647032064</v>
      </c>
      <c r="CC101" s="60">
        <f t="shared" si="65"/>
        <v>905.1924798036539</v>
      </c>
      <c r="CD101" s="60">
        <f ca="1">AVERAGE(OFFSET($CC$3,0,0,'Données projet'!$E$12+1,1))-AVERAGE(OFFSET($H$3,0,0,'Données projet'!$E$12+1,1))</f>
        <v>330.39429528665841</v>
      </c>
      <c r="CE101" s="60">
        <f t="shared" si="94"/>
        <v>186.45728006007261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4.9000000000000004</v>
      </c>
      <c r="CT101" s="13">
        <f>IF('Données projet'!$A$140&gt;35,CT100+CS101-DB100,IF(A101&lt;'Données projet'!$A$140,$CQ$205^A101,IF(A101='Données projet'!$A$140,'Données projet'!$B$140,CT100+CS101-DB100)))</f>
        <v>293.19999999999987</v>
      </c>
      <c r="CU101" s="18">
        <f>CT101*VLOOKUP('Données projet'!$B$13,Paramètres!$A$1:$I$89,3,0)*VLOOKUP('Données projet'!$B$13,Paramètres!$A$1:$I$89,5,0)</f>
        <v>315.60047999999989</v>
      </c>
      <c r="CV101" s="14">
        <f t="shared" si="95"/>
        <v>74.437211717310802</v>
      </c>
      <c r="CW101" s="22">
        <f t="shared" si="67"/>
        <v>679.31564640764952</v>
      </c>
      <c r="CX101" s="60">
        <f t="shared" si="68"/>
        <v>972.6489797409829</v>
      </c>
      <c r="CY101" s="60">
        <f ca="1">AVERAGE(OFFSET($CX$3,0,0,'Données projet'!$E$13+1,1))-AVERAGE(OFFSET($H$3,0,0,'Données projet'!$E$13+1,1))</f>
        <v>376.96388721258387</v>
      </c>
      <c r="CZ101" s="60">
        <f t="shared" si="96"/>
        <v>211.14628470344377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3.5897435897435912</v>
      </c>
      <c r="DO101" s="13">
        <f>IF('Données projet'!$A$166&gt;35,DO100+DN101-DW100,IF(A101&lt;'Données projet'!$A$166,$DL$205^A101,IF(A101='Données projet'!$A$166,'Données projet'!$B$166,DO100+DN101-DW100)))</f>
        <v>300.51282051282067</v>
      </c>
      <c r="DP101" s="18">
        <f>DO101*VLOOKUP('Données projet'!$B$14,Paramètres!$A$1:$I$89,3,0)*VLOOKUP('Données projet'!$B$14,Paramètres!$A$1:$I$89,5,0)</f>
        <v>201.58400000000009</v>
      </c>
      <c r="DQ101" s="14">
        <f t="shared" si="97"/>
        <v>50.092122991789054</v>
      </c>
      <c r="DR101" s="22">
        <f t="shared" si="70"/>
        <v>438.33591421069946</v>
      </c>
      <c r="DS101" s="60">
        <f t="shared" si="71"/>
        <v>731.66924754403271</v>
      </c>
      <c r="DT101" s="60">
        <f ca="1">AVERAGE(OFFSET($DS$3,0,0,'Données projet'!$E$14+1,1))-AVERAGE(OFFSET($H$3,0,0,'Données projet'!$E$14+1,1))</f>
        <v>212.33913923444732</v>
      </c>
      <c r="DU101" s="60">
        <f t="shared" si="98"/>
        <v>183.51194426094372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0" t="e">
        <f t="shared" si="74"/>
        <v>#N/A</v>
      </c>
      <c r="EO101" s="60" t="e">
        <f ca="1">AVERAGE(OFFSET($EN$3,0,0,'Données projet'!$E$15+1,1))-AVERAGE(OFFSET($H$3,0,0,'Données projet'!$E$15+1,1))</f>
        <v>#N/A</v>
      </c>
      <c r="EP101" s="60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0" t="e">
        <f t="shared" si="77"/>
        <v>#N/A</v>
      </c>
      <c r="FJ101" s="60" t="e">
        <f ca="1">AVERAGE(OFFSET($FI$3,0,0,'Données projet'!$E$16+1,1))-AVERAGE(OFFSET($H$3,0,0,'Données projet'!$E$16+1,1))</f>
        <v>#N/A</v>
      </c>
      <c r="FK101" s="60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0" t="e">
        <f t="shared" si="80"/>
        <v>#N/A</v>
      </c>
      <c r="GE101" s="60" t="e">
        <f ca="1">AVERAGE(OFFSET($GD$3,0,0,'Données projet'!$E$17+1,1))-AVERAGE(OFFSET($H$3,0,0,'Données projet'!$E$17+1,1))</f>
        <v>#N/A</v>
      </c>
      <c r="GF101" s="60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0" t="e">
        <f t="shared" si="83"/>
        <v>#N/A</v>
      </c>
      <c r="GZ101" s="60" t="e">
        <f ca="1">AVERAGE(OFFSET($GY$3,0,0,'Données projet'!$E$18+1,1))-AVERAGE(OFFSET($H$3,0,0,'Données projet'!$E$18+1,1))</f>
        <v>#N/A</v>
      </c>
      <c r="HA101" s="60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5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2">
        <f t="shared" si="86"/>
        <v>15.655925351504653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8">
        <f t="shared" si="56"/>
        <v>414.74478665387051</v>
      </c>
      <c r="I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>
        <f>VLOOKUP(A102,'Données projet'!$A$35:$I$55,2,0)</f>
        <v>397.8692307692308</v>
      </c>
      <c r="L102" s="13">
        <f>VLOOKUP(A102,'Données projet'!$A$35:$I$55,9,0)</f>
        <v>8.271153846153851</v>
      </c>
      <c r="M102" s="13">
        <f t="array" ref="M102">INDEX(L:L,MIN(IF(ISNUMBER(L102:L298),ROW(L102:L298),"")))</f>
        <v>8.271153846153851</v>
      </c>
      <c r="N102" s="14">
        <f>IF('Données projet'!$A$36&gt;35,N101+M102-V101,IF(A102&lt;'Données projet'!$A$36,$K$205^A102,IF(A102='Données projet'!$A$36,'Données projet'!$B$36,N101+M102-V101)))</f>
        <v>397.86923076923108</v>
      </c>
      <c r="O102" s="14">
        <f>N102*VLOOKUP('Données projet'!$B$9,Paramètres!$A$1:$I$89,3,0)*VLOOKUP('Données projet'!$B$9,Paramètres!$A$1:$I$89,5,0)</f>
        <v>186.20280000000014</v>
      </c>
      <c r="P102" s="14">
        <f t="shared" si="87"/>
        <v>46.699462038644228</v>
      </c>
      <c r="Q102" s="22">
        <f t="shared" si="107"/>
        <v>405.63810638397234</v>
      </c>
      <c r="R102" s="60">
        <f t="shared" si="55"/>
        <v>698.97143971730566</v>
      </c>
      <c r="S102" s="60">
        <f ca="1">AVERAGE(OFFSET($R$3,0,0,'Données projet'!$E$9+1,1))-AVERAGE(OFFSET($H$3,0,0,'Données projet'!$E$9+1,1))</f>
        <v>146.40889017442277</v>
      </c>
      <c r="T102" s="60">
        <f t="shared" si="88"/>
        <v>70.859031694091868</v>
      </c>
      <c r="U102" s="16">
        <f>IF(ISNA(VLOOKUP(A102,'Données projet'!$A$35:$I$55,3,0)),0,VLOOKUP(A102,'Données projet'!$A$35:$I$55,3,0))</f>
        <v>5</v>
      </c>
      <c r="V102" s="16">
        <f>IF(ISNA(VLOOKUP(A102,'Données projet'!$A$35:$I$55,4,0)),0,VLOOKUP(A102,'Données projet'!$A$35:$I$55,4,0))</f>
        <v>198.32307692307691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5.9</v>
      </c>
      <c r="AI102" s="14">
        <f>IF('Données projet'!$A$62&gt;35,AI101+AH102-AQ101,IF(A102&lt;'Données projet'!$A$62,$AF$205^A102,IF(A102='Données projet'!$A$62,'Données projet'!$B$62,AI101+AH102-AQ101)))</f>
        <v>355.1</v>
      </c>
      <c r="AJ102" s="14">
        <f>AI102*VLOOKUP('Données projet'!$B$10,Paramètres!$A$1:$I$89,3,0)*VLOOKUP('Données projet'!$B$10,Paramètres!$A$1:$I$89,5,0)</f>
        <v>321.29448000000002</v>
      </c>
      <c r="AK102" s="14">
        <f t="shared" si="89"/>
        <v>75.622632084792471</v>
      </c>
      <c r="AL102" s="22">
        <f t="shared" si="58"/>
        <v>691.29730354768026</v>
      </c>
      <c r="AM102" s="60">
        <f t="shared" si="59"/>
        <v>984.63063688101352</v>
      </c>
      <c r="AN102" s="60">
        <f ca="1">AVERAGE(OFFSET($AM$3,0,0,'Données projet'!$E$10+1,1))-AVERAGE(OFFSET($H$3,0,0,'Données projet'!$E$10+1,1))</f>
        <v>404.14319681142746</v>
      </c>
      <c r="AO102" s="60">
        <f t="shared" si="90"/>
        <v>203.5274665601915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4.9000000000000004</v>
      </c>
      <c r="BD102" s="13">
        <f>IF('Données projet'!$A$88&gt;35,BD101+BC102-BL101,IF(A102&lt;'Données projet'!$A$88,$BA$205^A102,IF(A102='Données projet'!$A$88,'Données projet'!$B$88,BD101+BC102-BL101)))</f>
        <v>298.09999999999985</v>
      </c>
      <c r="BE102" s="14">
        <f>BD102*VLOOKUP('Données projet'!$B$11,Paramètres!$A$1:$I$89,3,0)*VLOOKUP('Données projet'!$B$11,Paramètres!$A$1:$I$89,5,0)</f>
        <v>302.27339999999987</v>
      </c>
      <c r="BF102" s="14">
        <f t="shared" si="91"/>
        <v>71.652845832409739</v>
      </c>
      <c r="BG102" s="22">
        <f t="shared" si="61"/>
        <v>651.25487815811346</v>
      </c>
      <c r="BH102" s="60">
        <f t="shared" si="62"/>
        <v>944.58821149144683</v>
      </c>
      <c r="BI102" s="60">
        <f ca="1">AVERAGE(OFFSET($BH$3,0,0,'Données projet'!$E$11+1,1))-AVERAGE(OFFSET($H$3,0,0,'Données projet'!$E$11+1,1))</f>
        <v>350.3652766444938</v>
      </c>
      <c r="BJ102" s="60">
        <f t="shared" si="92"/>
        <v>197.04549436738586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4.9000000000000004</v>
      </c>
      <c r="BY102" s="13">
        <f>IF('Données projet'!$A$114&gt;35,BY101+BX102-CG101,IF(A102&lt;'Données projet'!$A$114,$BV$205^A102,IF(A102='Données projet'!$A$114,'Données projet'!$B$114,BY101+BX102-CG101)))</f>
        <v>298.09999999999985</v>
      </c>
      <c r="BZ102" s="14">
        <f>BY102*VLOOKUP('Données projet'!$B$12,Paramètres!$A$1:$I$89,3,0)*VLOOKUP('Données projet'!$B$12,Paramètres!$A$1:$I$89,5,0)</f>
        <v>288.32231999999988</v>
      </c>
      <c r="CA102" s="14">
        <f t="shared" si="93"/>
        <v>68.722745094590621</v>
      </c>
      <c r="CB102" s="22">
        <f t="shared" si="64"/>
        <v>621.85348837307845</v>
      </c>
      <c r="CC102" s="60">
        <f t="shared" si="65"/>
        <v>915.18682170641182</v>
      </c>
      <c r="CD102" s="60">
        <f ca="1">AVERAGE(OFFSET($CC$3,0,0,'Données projet'!$E$12+1,1))-AVERAGE(OFFSET($H$3,0,0,'Données projet'!$E$12+1,1))</f>
        <v>330.39429528665841</v>
      </c>
      <c r="CE102" s="60">
        <f t="shared" si="94"/>
        <v>186.45728006007261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4.9000000000000004</v>
      </c>
      <c r="CT102" s="13">
        <f>IF('Données projet'!$A$140&gt;35,CT101+CS102-DB101,IF(A102&lt;'Données projet'!$A$140,$CQ$205^A102,IF(A102='Données projet'!$A$140,'Données projet'!$B$140,CT101+CS102-DB101)))</f>
        <v>298.09999999999985</v>
      </c>
      <c r="CU102" s="18">
        <f>CT102*VLOOKUP('Données projet'!$B$13,Paramètres!$A$1:$I$89,3,0)*VLOOKUP('Données projet'!$B$13,Paramètres!$A$1:$I$89,5,0)</f>
        <v>320.87483999999984</v>
      </c>
      <c r="CV102" s="14">
        <f t="shared" si="95"/>
        <v>75.535352205297585</v>
      </c>
      <c r="CW102" s="22">
        <f t="shared" si="67"/>
        <v>690.41441809089304</v>
      </c>
      <c r="CX102" s="60">
        <f t="shared" si="68"/>
        <v>983.74775142422641</v>
      </c>
      <c r="CY102" s="60">
        <f ca="1">AVERAGE(OFFSET($CX$3,0,0,'Données projet'!$E$13+1,1))-AVERAGE(OFFSET($H$3,0,0,'Données projet'!$E$13+1,1))</f>
        <v>376.96388721258387</v>
      </c>
      <c r="CZ102" s="60">
        <f t="shared" si="96"/>
        <v>211.14628470344377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3.5897435897435912</v>
      </c>
      <c r="DO102" s="13">
        <f>IF('Données projet'!$A$166&gt;35,DO101+DN102-DW101,IF(A102&lt;'Données projet'!$A$166,$DL$205^A102,IF(A102='Données projet'!$A$166,'Données projet'!$B$166,DO101+DN102-DW101)))</f>
        <v>304.10256410256426</v>
      </c>
      <c r="DP102" s="18">
        <f>DO102*VLOOKUP('Données projet'!$B$14,Paramètres!$A$1:$I$89,3,0)*VLOOKUP('Données projet'!$B$14,Paramètres!$A$1:$I$89,5,0)</f>
        <v>203.99200000000013</v>
      </c>
      <c r="DQ102" s="14">
        <f t="shared" si="97"/>
        <v>50.620476831708423</v>
      </c>
      <c r="DR102" s="22">
        <f t="shared" si="70"/>
        <v>443.45006381522575</v>
      </c>
      <c r="DS102" s="60">
        <f t="shared" si="71"/>
        <v>736.78339714855906</v>
      </c>
      <c r="DT102" s="60">
        <f ca="1">AVERAGE(OFFSET($DS$3,0,0,'Données projet'!$E$14+1,1))-AVERAGE(OFFSET($H$3,0,0,'Données projet'!$E$14+1,1))</f>
        <v>212.33913923444732</v>
      </c>
      <c r="DU102" s="60">
        <f t="shared" si="98"/>
        <v>183.51194426094372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0" t="e">
        <f t="shared" si="74"/>
        <v>#N/A</v>
      </c>
      <c r="EO102" s="60" t="e">
        <f ca="1">AVERAGE(OFFSET($EN$3,0,0,'Données projet'!$E$15+1,1))-AVERAGE(OFFSET($H$3,0,0,'Données projet'!$E$15+1,1))</f>
        <v>#N/A</v>
      </c>
      <c r="EP102" s="60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0" t="e">
        <f t="shared" si="77"/>
        <v>#N/A</v>
      </c>
      <c r="FJ102" s="60" t="e">
        <f ca="1">AVERAGE(OFFSET($FI$3,0,0,'Données projet'!$E$16+1,1))-AVERAGE(OFFSET($H$3,0,0,'Données projet'!$E$16+1,1))</f>
        <v>#N/A</v>
      </c>
      <c r="FK102" s="60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0" t="e">
        <f t="shared" si="80"/>
        <v>#N/A</v>
      </c>
      <c r="GE102" s="60" t="e">
        <f ca="1">AVERAGE(OFFSET($GD$3,0,0,'Données projet'!$E$17+1,1))-AVERAGE(OFFSET($H$3,0,0,'Données projet'!$E$17+1,1))</f>
        <v>#N/A</v>
      </c>
      <c r="GF102" s="60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0" t="e">
        <f t="shared" si="83"/>
        <v>#N/A</v>
      </c>
      <c r="GZ102" s="60" t="e">
        <f ca="1">AVERAGE(OFFSET($GY$3,0,0,'Données projet'!$E$18+1,1))-AVERAGE(OFFSET($H$3,0,0,'Données projet'!$E$18+1,1))</f>
        <v>#N/A</v>
      </c>
      <c r="HA102" s="60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5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2">
        <f t="shared" si="86"/>
        <v>15.795576599806306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8">
        <f t="shared" si="56"/>
        <v>415.93896257799588</v>
      </c>
      <c r="I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207.28461538461539</v>
      </c>
      <c r="L103" s="13">
        <f>VLOOKUP(A103,'Données projet'!$A$35:$I$55,9,0)</f>
        <v>7.7384615384615074</v>
      </c>
      <c r="M103" s="13">
        <f t="array" ref="M103">INDEX(L:L,MIN(IF(ISNUMBER(L103:L299),ROW(L103:L299),"")))</f>
        <v>7.7384615384615074</v>
      </c>
      <c r="N103" s="14">
        <f>IF('Données projet'!$A$36&gt;35,N102+M103-V102,IF(A103&lt;'Données projet'!$A$36,$K$205^A103,IF(A103='Données projet'!$A$36,'Données projet'!$B$36,N102+M103-V102)))</f>
        <v>207.28461538461565</v>
      </c>
      <c r="O103" s="14">
        <f>N103*VLOOKUP('Données projet'!$B$9,Paramètres!$A$1:$I$89,3,0)*VLOOKUP('Données projet'!$B$9,Paramètres!$A$1:$I$89,5,0)</f>
        <v>97.009200000000135</v>
      </c>
      <c r="P103" s="14">
        <f t="shared" si="87"/>
        <v>26.248226424980707</v>
      </c>
      <c r="Q103" s="22">
        <f t="shared" si="107"/>
        <v>214.6733510235083</v>
      </c>
      <c r="R103" s="60">
        <f t="shared" si="55"/>
        <v>508.00668435684162</v>
      </c>
      <c r="S103" s="60">
        <f ca="1">AVERAGE(OFFSET($R$3,0,0,'Données projet'!$E$9+1,1))-AVERAGE(OFFSET($H$3,0,0,'Données projet'!$E$9+1,1))</f>
        <v>146.40889017442277</v>
      </c>
      <c r="T103" s="60">
        <f t="shared" si="88"/>
        <v>70.859031694091868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361</v>
      </c>
      <c r="AG103" s="13">
        <f>VLOOKUP(A103,'Données projet'!$A$61:$I$81,9,0)</f>
        <v>5.9</v>
      </c>
      <c r="AH103" s="13">
        <f t="array" ref="AH103">INDEX(AG:AG,MIN(IF(ISNUMBER(AG103:AG299),ROW(AG103:AG299),"")))</f>
        <v>5.9</v>
      </c>
      <c r="AI103" s="14">
        <f>IF('Données projet'!$A$62&gt;35,AI102+AH103-AQ102,IF(A103&lt;'Données projet'!$A$62,$AF$205^A103,IF(A103='Données projet'!$A$62,'Données projet'!$B$62,AI102+AH103-AQ102)))</f>
        <v>361</v>
      </c>
      <c r="AJ103" s="14">
        <f>AI103*VLOOKUP('Données projet'!$B$10,Paramètres!$A$1:$I$89,3,0)*VLOOKUP('Données projet'!$B$10,Paramètres!$A$1:$I$89,5,0)</f>
        <v>326.63280000000003</v>
      </c>
      <c r="AK103" s="14">
        <f t="shared" si="89"/>
        <v>76.731784548754845</v>
      </c>
      <c r="AL103" s="22">
        <f t="shared" si="58"/>
        <v>702.52665142241483</v>
      </c>
      <c r="AM103" s="60">
        <f t="shared" si="59"/>
        <v>995.8599847557482</v>
      </c>
      <c r="AN103" s="60">
        <f ca="1">AVERAGE(OFFSET($AM$3,0,0,'Données projet'!$E$10+1,1))-AVERAGE(OFFSET($H$3,0,0,'Données projet'!$E$10+1,1))</f>
        <v>404.14319681142746</v>
      </c>
      <c r="AO103" s="60">
        <f t="shared" si="90"/>
        <v>203.5274665601915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303</v>
      </c>
      <c r="BB103" s="13">
        <f>VLOOKUP(A103,'Données projet'!$A$87:$I$107,9,0)</f>
        <v>4.9000000000000004</v>
      </c>
      <c r="BC103" s="13">
        <f t="array" ref="BC103">INDEX(BB:BB,MIN(IF(ISNUMBER(BB103:BB299),ROW(BB103:BB299),"")))</f>
        <v>4.9000000000000004</v>
      </c>
      <c r="BD103" s="13">
        <f>IF('Données projet'!$A$88&gt;35,BD102+BC103-BL102,IF(A103&lt;'Données projet'!$A$88,$BA$205^A103,IF(A103='Données projet'!$A$88,'Données projet'!$B$88,BD102+BC103-BL102)))</f>
        <v>302.99999999999983</v>
      </c>
      <c r="BE103" s="14">
        <f>BD103*VLOOKUP('Données projet'!$B$11,Paramètres!$A$1:$I$89,3,0)*VLOOKUP('Données projet'!$B$11,Paramètres!$A$1:$I$89,5,0)</f>
        <v>307.24199999999985</v>
      </c>
      <c r="BF103" s="14">
        <f t="shared" si="91"/>
        <v>72.692550770207774</v>
      </c>
      <c r="BG103" s="22">
        <f t="shared" si="61"/>
        <v>661.71934259144484</v>
      </c>
      <c r="BH103" s="60">
        <f t="shared" si="62"/>
        <v>955.05267592477821</v>
      </c>
      <c r="BI103" s="60">
        <f ca="1">AVERAGE(OFFSET($BH$3,0,0,'Données projet'!$E$11+1,1))-AVERAGE(OFFSET($H$3,0,0,'Données projet'!$E$11+1,1))</f>
        <v>350.3652766444938</v>
      </c>
      <c r="BJ103" s="60">
        <f t="shared" si="92"/>
        <v>197.04549436738586</v>
      </c>
      <c r="BK103" s="16">
        <f>IF(ISNA(VLOOKUP(A103,'Données projet'!$A$87:$I$107,3,0)),0,VLOOKUP(A103,'Données projet'!$A$87:$I$107,3,0))</f>
        <v>8</v>
      </c>
      <c r="BL103" s="16">
        <f>IF(ISNA(VLOOKUP(A103,'Données projet'!$A$87:$I$107,4,0)),0,VLOOKUP(A103,'Données projet'!$A$87:$I$107,4,0))</f>
        <v>42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303</v>
      </c>
      <c r="BW103" s="13">
        <f>VLOOKUP(A103,'Données projet'!$A$113:$I$133,9,0)</f>
        <v>4.9000000000000004</v>
      </c>
      <c r="BX103" s="13">
        <f t="array" ref="BX103">INDEX(BW:BW,MIN(IF(ISNUMBER(BW103:BW299),ROW(BW103:BW299),"")))</f>
        <v>4.9000000000000004</v>
      </c>
      <c r="BY103" s="13">
        <f>IF('Données projet'!$A$114&gt;35,BY102+BX103-CG102,IF(A103&lt;'Données projet'!$A$114,$BV$205^A103,IF(A103='Données projet'!$A$114,'Données projet'!$B$114,BY102+BX103-CG102)))</f>
        <v>302.99999999999983</v>
      </c>
      <c r="BZ103" s="14">
        <f>BY103*VLOOKUP('Données projet'!$B$12,Paramètres!$A$1:$I$89,3,0)*VLOOKUP('Données projet'!$B$12,Paramètres!$A$1:$I$89,5,0)</f>
        <v>293.06159999999983</v>
      </c>
      <c r="CA103" s="14">
        <f t="shared" si="93"/>
        <v>69.719933365116546</v>
      </c>
      <c r="CB103" s="22">
        <f t="shared" si="64"/>
        <v>631.84450394424437</v>
      </c>
      <c r="CC103" s="60">
        <f t="shared" si="65"/>
        <v>925.17783727757774</v>
      </c>
      <c r="CD103" s="60">
        <f ca="1">AVERAGE(OFFSET($CC$3,0,0,'Données projet'!$E$12+1,1))-AVERAGE(OFFSET($H$3,0,0,'Données projet'!$E$12+1,1))</f>
        <v>330.39429528665841</v>
      </c>
      <c r="CE103" s="60">
        <f t="shared" si="94"/>
        <v>186.45728006007261</v>
      </c>
      <c r="CF103" s="16">
        <f>IF(ISNA(VLOOKUP(A103,'Données projet'!$A$113:$I$133,3,0)),0,VLOOKUP(A103,'Données projet'!$A$113:$I$133,3,0))</f>
        <v>8</v>
      </c>
      <c r="CG103" s="16">
        <f>IF(ISNA(VLOOKUP(A103,'Données projet'!$A$113:$I$133,4,0)),0,VLOOKUP(A103,'Données projet'!$A$113:$I$133,4,0))</f>
        <v>42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303</v>
      </c>
      <c r="CR103" s="13">
        <f>VLOOKUP(A103,'Données projet'!$A$139:$I$159,9,0)</f>
        <v>4.9000000000000004</v>
      </c>
      <c r="CS103" s="13">
        <f t="array" ref="CS103">INDEX(CR:CR,MIN(IF(ISNUMBER(CR103:CR299),ROW(CR103:CR299),"")))</f>
        <v>4.9000000000000004</v>
      </c>
      <c r="CT103" s="13">
        <f>IF('Données projet'!$A$140&gt;35,CT102+CS103-DB102,IF(A103&lt;'Données projet'!$A$140,$CQ$205^A103,IF(A103='Données projet'!$A$140,'Données projet'!$B$140,CT102+CS103-DB102)))</f>
        <v>302.99999999999983</v>
      </c>
      <c r="CU103" s="18">
        <f>CT103*VLOOKUP('Données projet'!$B$13,Paramètres!$A$1:$I$89,3,0)*VLOOKUP('Données projet'!$B$13,Paramètres!$A$1:$I$89,5,0)</f>
        <v>326.14919999999984</v>
      </c>
      <c r="CV103" s="14">
        <f t="shared" si="95"/>
        <v>76.631393510479555</v>
      </c>
      <c r="CW103" s="22">
        <f t="shared" si="67"/>
        <v>701.50953369741819</v>
      </c>
      <c r="CX103" s="60">
        <f t="shared" si="68"/>
        <v>994.84286703075145</v>
      </c>
      <c r="CY103" s="60">
        <f ca="1">AVERAGE(OFFSET($CX$3,0,0,'Données projet'!$E$13+1,1))-AVERAGE(OFFSET($H$3,0,0,'Données projet'!$E$13+1,1))</f>
        <v>376.96388721258387</v>
      </c>
      <c r="CZ103" s="60">
        <f t="shared" si="96"/>
        <v>211.14628470344377</v>
      </c>
      <c r="DA103" s="16">
        <f>IF(ISNA(VLOOKUP(A103,'Données projet'!$A$139:$I$159,3,0)),0,VLOOKUP(A103,'Données projet'!$A$139:$I$159,3,0))</f>
        <v>8</v>
      </c>
      <c r="DB103" s="16">
        <f>IF(ISNA(VLOOKUP(A103,'Données projet'!$A$139:$I$159,4,0)),0,VLOOKUP(A103,'Données projet'!$A$139:$I$159,4,0))</f>
        <v>42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>
        <f>VLOOKUP(A103,'Données projet'!$A$165:$I$185,2,0)</f>
        <v>307.69230769230768</v>
      </c>
      <c r="DM103" s="13">
        <f>VLOOKUP(A103,'Données projet'!$A$165:$I$185,9,0)</f>
        <v>3.5897435897435912</v>
      </c>
      <c r="DN103" s="13">
        <f t="array" ref="DN103">INDEX(DM:DM,MIN(IF(ISNUMBER(DM103:DM299),ROW(DM103:DM299),"")))</f>
        <v>3.5897435897435912</v>
      </c>
      <c r="DO103" s="13">
        <f>IF('Données projet'!$A$166&gt;35,DO102+DN103-DW102,IF(A103&lt;'Données projet'!$A$166,$DL$205^A103,IF(A103='Données projet'!$A$166,'Données projet'!$B$166,DO102+DN103-DW102)))</f>
        <v>307.69230769230785</v>
      </c>
      <c r="DP103" s="18">
        <f>DO103*VLOOKUP('Données projet'!$B$14,Paramètres!$A$1:$I$89,3,0)*VLOOKUP('Données projet'!$B$14,Paramètres!$A$1:$I$89,5,0)</f>
        <v>206.40000000000012</v>
      </c>
      <c r="DQ103" s="14">
        <f t="shared" si="97"/>
        <v>51.148105178123259</v>
      </c>
      <c r="DR103" s="22">
        <f t="shared" si="70"/>
        <v>448.56294985189817</v>
      </c>
      <c r="DS103" s="60">
        <f t="shared" si="71"/>
        <v>741.89628318523148</v>
      </c>
      <c r="DT103" s="60">
        <f ca="1">AVERAGE(OFFSET($DS$3,0,0,'Données projet'!$E$14+1,1))-AVERAGE(OFFSET($H$3,0,0,'Données projet'!$E$14+1,1))</f>
        <v>212.33913923444732</v>
      </c>
      <c r="DU103" s="60">
        <f t="shared" si="98"/>
        <v>183.51194426094372</v>
      </c>
      <c r="DV103" s="16">
        <f>IF(ISNA(VLOOKUP(A103,'Données projet'!$A$165:$I$185,3,0)),0,VLOOKUP(A103,'Données projet'!$A$165:$I$185,3,0))</f>
        <v>9</v>
      </c>
      <c r="DW103" s="16">
        <f>IF(ISNA(VLOOKUP(A103,'Données projet'!$A$165:$I$185,4,0)),0,VLOOKUP(A103,'Données projet'!$A$165:$I$185,4,0))</f>
        <v>22.435897435897434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0" t="e">
        <f t="shared" si="74"/>
        <v>#N/A</v>
      </c>
      <c r="EO103" s="60" t="e">
        <f ca="1">AVERAGE(OFFSET($EN$3,0,0,'Données projet'!$E$15+1,1))-AVERAGE(OFFSET($H$3,0,0,'Données projet'!$E$15+1,1))</f>
        <v>#N/A</v>
      </c>
      <c r="EP103" s="60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0" t="e">
        <f t="shared" si="77"/>
        <v>#N/A</v>
      </c>
      <c r="FJ103" s="60" t="e">
        <f ca="1">AVERAGE(OFFSET($FI$3,0,0,'Données projet'!$E$16+1,1))-AVERAGE(OFFSET($H$3,0,0,'Données projet'!$E$16+1,1))</f>
        <v>#N/A</v>
      </c>
      <c r="FK103" s="60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0" t="e">
        <f t="shared" si="80"/>
        <v>#N/A</v>
      </c>
      <c r="GE103" s="60" t="e">
        <f ca="1">AVERAGE(OFFSET($GD$3,0,0,'Données projet'!$E$17+1,1))-AVERAGE(OFFSET($H$3,0,0,'Données projet'!$E$17+1,1))</f>
        <v>#N/A</v>
      </c>
      <c r="GF103" s="60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0" t="e">
        <f t="shared" si="83"/>
        <v>#N/A</v>
      </c>
      <c r="GZ103" s="60" t="e">
        <f ca="1">AVERAGE(OFFSET($GY$3,0,0,'Données projet'!$E$18+1,1))-AVERAGE(OFFSET($H$3,0,0,'Données projet'!$E$18+1,1))</f>
        <v>#N/A</v>
      </c>
      <c r="HA103" s="60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5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2">
        <f t="shared" si="86"/>
        <v>15.935065385761003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8">
        <f t="shared" si="56"/>
        <v>417.13285554686695</v>
      </c>
      <c r="I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5.4230769230769242</v>
      </c>
      <c r="N104" s="14">
        <f>IF('Données projet'!$A$36&gt;35,N103+M104-V103,IF(A104&lt;'Données projet'!$A$36,$K$205^A104,IF(A104='Données projet'!$A$36,'Données projet'!$B$36,N103+M104-V103)))</f>
        <v>212.70769230769258</v>
      </c>
      <c r="O104" s="14">
        <f>N104*VLOOKUP('Données projet'!$B$9,Paramètres!$A$1:$I$89,3,0)*VLOOKUP('Données projet'!$B$9,Paramètres!$A$1:$I$89,5,0)</f>
        <v>99.547200000000117</v>
      </c>
      <c r="P104" s="14">
        <f t="shared" si="87"/>
        <v>26.854095716471431</v>
      </c>
      <c r="Q104" s="22">
        <f t="shared" si="107"/>
        <v>220.1489233728546</v>
      </c>
      <c r="R104" s="60">
        <f t="shared" si="55"/>
        <v>513.48225670618785</v>
      </c>
      <c r="S104" s="60">
        <f ca="1">AVERAGE(OFFSET($R$3,0,0,'Données projet'!$E$9+1,1))-AVERAGE(OFFSET($H$3,0,0,'Données projet'!$E$9+1,1))</f>
        <v>146.40889017442277</v>
      </c>
      <c r="T104" s="60">
        <f t="shared" si="88"/>
        <v>70.859031694091868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5.2</v>
      </c>
      <c r="AI104" s="14">
        <f>IF('Données projet'!$A$62&gt;35,AI103+AH104-AQ103,IF(A104&lt;'Données projet'!$A$62,$AF$205^A104,IF(A104='Données projet'!$A$62,'Données projet'!$B$62,AI103+AH104-AQ103)))</f>
        <v>366.2</v>
      </c>
      <c r="AJ104" s="14">
        <f>AI104*VLOOKUP('Données projet'!$B$10,Paramètres!$A$1:$I$89,3,0)*VLOOKUP('Données projet'!$B$10,Paramètres!$A$1:$I$89,5,0)</f>
        <v>331.33776</v>
      </c>
      <c r="AK104" s="14">
        <f t="shared" si="89"/>
        <v>77.707593612890619</v>
      </c>
      <c r="AL104" s="22">
        <f t="shared" si="58"/>
        <v>712.42065754245107</v>
      </c>
      <c r="AM104" s="60">
        <f t="shared" si="59"/>
        <v>1005.7539908757844</v>
      </c>
      <c r="AN104" s="60">
        <f ca="1">AVERAGE(OFFSET($AM$3,0,0,'Données projet'!$E$10+1,1))-AVERAGE(OFFSET($H$3,0,0,'Données projet'!$E$10+1,1))</f>
        <v>404.14319681142746</v>
      </c>
      <c r="AO104" s="60">
        <f t="shared" si="90"/>
        <v>203.5274665601915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4.4000000000000004</v>
      </c>
      <c r="BD104" s="13">
        <f>IF('Données projet'!$A$88&gt;35,BD103+BC104-BL103,IF(A104&lt;'Données projet'!$A$88,$BA$205^A104,IF(A104='Données projet'!$A$88,'Données projet'!$B$88,BD103+BC104-BL103)))</f>
        <v>265.39999999999981</v>
      </c>
      <c r="BE104" s="14">
        <f>BD104*VLOOKUP('Données projet'!$B$11,Paramètres!$A$1:$I$89,3,0)*VLOOKUP('Données projet'!$B$11,Paramètres!$A$1:$I$89,5,0)</f>
        <v>269.1155999999998</v>
      </c>
      <c r="BF104" s="14">
        <f t="shared" si="91"/>
        <v>64.661541462287076</v>
      </c>
      <c r="BG104" s="22">
        <f t="shared" si="61"/>
        <v>581.3285213801496</v>
      </c>
      <c r="BH104" s="60">
        <f t="shared" si="62"/>
        <v>874.66185471348285</v>
      </c>
      <c r="BI104" s="60">
        <f ca="1">AVERAGE(OFFSET($BH$3,0,0,'Données projet'!$E$11+1,1))-AVERAGE(OFFSET($H$3,0,0,'Données projet'!$E$11+1,1))</f>
        <v>350.3652766444938</v>
      </c>
      <c r="BJ104" s="60">
        <f t="shared" si="92"/>
        <v>197.04549436738586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4.4000000000000004</v>
      </c>
      <c r="BY104" s="13">
        <f>IF('Données projet'!$A$114&gt;35,BY103+BX104-CG103,IF(A104&lt;'Données projet'!$A$114,$BV$205^A104,IF(A104='Données projet'!$A$114,'Données projet'!$B$114,BY103+BX104-CG103)))</f>
        <v>265.39999999999981</v>
      </c>
      <c r="BZ104" s="14">
        <f>BY104*VLOOKUP('Données projet'!$B$12,Paramètres!$A$1:$I$89,3,0)*VLOOKUP('Données projet'!$B$12,Paramètres!$A$1:$I$89,5,0)</f>
        <v>256.69487999999984</v>
      </c>
      <c r="CA104" s="14">
        <f t="shared" si="93"/>
        <v>62.017336223177502</v>
      </c>
      <c r="CB104" s="22">
        <f t="shared" si="64"/>
        <v>555.09044325536718</v>
      </c>
      <c r="CC104" s="60">
        <f t="shared" si="65"/>
        <v>848.42377658870055</v>
      </c>
      <c r="CD104" s="60">
        <f ca="1">AVERAGE(OFFSET($CC$3,0,0,'Données projet'!$E$12+1,1))-AVERAGE(OFFSET($H$3,0,0,'Données projet'!$E$12+1,1))</f>
        <v>330.39429528665841</v>
      </c>
      <c r="CE104" s="60">
        <f t="shared" si="94"/>
        <v>186.45728006007261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4.4000000000000004</v>
      </c>
      <c r="CT104" s="13">
        <f>IF('Données projet'!$A$140&gt;35,CT103+CS104-DB103,IF(A104&lt;'Données projet'!$A$140,$CQ$205^A104,IF(A104='Données projet'!$A$140,'Données projet'!$B$140,CT103+CS104-DB103)))</f>
        <v>265.39999999999981</v>
      </c>
      <c r="CU104" s="18">
        <f>CT104*VLOOKUP('Données projet'!$B$13,Paramètres!$A$1:$I$89,3,0)*VLOOKUP('Données projet'!$B$13,Paramètres!$A$1:$I$89,5,0)</f>
        <v>285.67655999999977</v>
      </c>
      <c r="CV104" s="14">
        <f t="shared" si="95"/>
        <v>68.165224308258956</v>
      </c>
      <c r="CW104" s="22">
        <f t="shared" si="67"/>
        <v>616.27444100355058</v>
      </c>
      <c r="CX104" s="60">
        <f t="shared" si="68"/>
        <v>909.60777433688395</v>
      </c>
      <c r="CY104" s="60">
        <f ca="1">AVERAGE(OFFSET($CX$3,0,0,'Données projet'!$E$13+1,1))-AVERAGE(OFFSET($H$3,0,0,'Données projet'!$E$13+1,1))</f>
        <v>376.96388721258387</v>
      </c>
      <c r="CZ104" s="60">
        <f t="shared" si="96"/>
        <v>211.14628470344377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3.2051282051282102</v>
      </c>
      <c r="DO104" s="13">
        <f>IF('Données projet'!$A$166&gt;35,DO103+DN104-DW103,IF(A104&lt;'Données projet'!$A$166,$DL$205^A104,IF(A104='Données projet'!$A$166,'Données projet'!$B$166,DO103+DN104-DW103)))</f>
        <v>288.46153846153862</v>
      </c>
      <c r="DP104" s="18">
        <f>DO104*VLOOKUP('Données projet'!$B$14,Paramètres!$A$1:$I$89,3,0)*VLOOKUP('Données projet'!$B$14,Paramètres!$A$1:$I$89,5,0)</f>
        <v>193.50000000000011</v>
      </c>
      <c r="DQ104" s="14">
        <f t="shared" si="97"/>
        <v>48.312929194247467</v>
      </c>
      <c r="DR104" s="22">
        <f t="shared" si="70"/>
        <v>421.15751834664781</v>
      </c>
      <c r="DS104" s="60">
        <f t="shared" si="71"/>
        <v>714.49085167998112</v>
      </c>
      <c r="DT104" s="60">
        <f ca="1">AVERAGE(OFFSET($DS$3,0,0,'Données projet'!$E$14+1,1))-AVERAGE(OFFSET($H$3,0,0,'Données projet'!$E$14+1,1))</f>
        <v>212.33913923444732</v>
      </c>
      <c r="DU104" s="60">
        <f t="shared" si="98"/>
        <v>183.51194426094372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0" t="e">
        <f t="shared" si="74"/>
        <v>#N/A</v>
      </c>
      <c r="EO104" s="60" t="e">
        <f ca="1">AVERAGE(OFFSET($EN$3,0,0,'Données projet'!$E$15+1,1))-AVERAGE(OFFSET($H$3,0,0,'Données projet'!$E$15+1,1))</f>
        <v>#N/A</v>
      </c>
      <c r="EP104" s="60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0" t="e">
        <f t="shared" si="77"/>
        <v>#N/A</v>
      </c>
      <c r="FJ104" s="60" t="e">
        <f ca="1">AVERAGE(OFFSET($FI$3,0,0,'Données projet'!$E$16+1,1))-AVERAGE(OFFSET($H$3,0,0,'Données projet'!$E$16+1,1))</f>
        <v>#N/A</v>
      </c>
      <c r="FK104" s="60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0" t="e">
        <f t="shared" si="80"/>
        <v>#N/A</v>
      </c>
      <c r="GE104" s="60" t="e">
        <f ca="1">AVERAGE(OFFSET($GD$3,0,0,'Données projet'!$E$17+1,1))-AVERAGE(OFFSET($H$3,0,0,'Données projet'!$E$17+1,1))</f>
        <v>#N/A</v>
      </c>
      <c r="GF104" s="60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0" t="e">
        <f t="shared" si="83"/>
        <v>#N/A</v>
      </c>
      <c r="GZ104" s="60" t="e">
        <f ca="1">AVERAGE(OFFSET($GY$3,0,0,'Données projet'!$E$18+1,1))-AVERAGE(OFFSET($H$3,0,0,'Données projet'!$E$18+1,1))</f>
        <v>#N/A</v>
      </c>
      <c r="HA104" s="60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5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2">
        <f t="shared" si="86"/>
        <v>16.07439350416519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8">
        <f t="shared" si="56"/>
        <v>418.32646868642092</v>
      </c>
      <c r="I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5.4230769230769242</v>
      </c>
      <c r="N105" s="14">
        <f>IF('Données projet'!$A$36&gt;35,N104+M105-V104,IF(A105&lt;'Données projet'!$A$36,$K$205^A105,IF(A105='Données projet'!$A$36,'Données projet'!$B$36,N104+M105-V104)))</f>
        <v>218.13076923076952</v>
      </c>
      <c r="O105" s="14">
        <f>N105*VLOOKUP('Données projet'!$B$9,Paramètres!$A$1:$I$89,3,0)*VLOOKUP('Données projet'!$B$9,Paramètres!$A$1:$I$89,5,0)</f>
        <v>102.08520000000013</v>
      </c>
      <c r="P105" s="14">
        <f t="shared" si="87"/>
        <v>27.458169447833885</v>
      </c>
      <c r="Q105" s="22">
        <f t="shared" si="107"/>
        <v>225.62136845497756</v>
      </c>
      <c r="R105" s="60">
        <f t="shared" si="55"/>
        <v>518.9547017883109</v>
      </c>
      <c r="S105" s="60">
        <f ca="1">AVERAGE(OFFSET($R$3,0,0,'Données projet'!$E$9+1,1))-AVERAGE(OFFSET($H$3,0,0,'Données projet'!$E$9+1,1))</f>
        <v>146.40889017442277</v>
      </c>
      <c r="T105" s="60">
        <f t="shared" si="88"/>
        <v>70.859031694091868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5.2</v>
      </c>
      <c r="AI105" s="14">
        <f>IF('Données projet'!$A$62&gt;35,AI104+AH105-AQ104,IF(A105&lt;'Données projet'!$A$62,$AF$205^A105,IF(A105='Données projet'!$A$62,'Données projet'!$B$62,AI104+AH105-AQ104)))</f>
        <v>371.4</v>
      </c>
      <c r="AJ105" s="14">
        <f>AI105*VLOOKUP('Données projet'!$B$10,Paramètres!$A$1:$I$89,3,0)*VLOOKUP('Données projet'!$B$10,Paramètres!$A$1:$I$89,5,0)</f>
        <v>336.04271999999997</v>
      </c>
      <c r="AK105" s="14">
        <f t="shared" si="89"/>
        <v>78.681791069086316</v>
      </c>
      <c r="AL105" s="22">
        <f t="shared" si="58"/>
        <v>722.31185677865858</v>
      </c>
      <c r="AM105" s="60">
        <f t="shared" si="59"/>
        <v>1015.645190111992</v>
      </c>
      <c r="AN105" s="60">
        <f ca="1">AVERAGE(OFFSET($AM$3,0,0,'Données projet'!$E$10+1,1))-AVERAGE(OFFSET($H$3,0,0,'Données projet'!$E$10+1,1))</f>
        <v>404.14319681142746</v>
      </c>
      <c r="AO105" s="60">
        <f t="shared" si="90"/>
        <v>203.5274665601915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4.4000000000000004</v>
      </c>
      <c r="BD105" s="13">
        <f>IF('Données projet'!$A$88&gt;35,BD104+BC105-BL104,IF(A105&lt;'Données projet'!$A$88,$BA$205^A105,IF(A105='Données projet'!$A$88,'Données projet'!$B$88,BD104+BC105-BL104)))</f>
        <v>269.79999999999978</v>
      </c>
      <c r="BE105" s="14">
        <f>BD105*VLOOKUP('Données projet'!$B$11,Paramètres!$A$1:$I$89,3,0)*VLOOKUP('Données projet'!$B$11,Paramètres!$A$1:$I$89,5,0)</f>
        <v>273.57719999999978</v>
      </c>
      <c r="BF105" s="14">
        <f t="shared" si="91"/>
        <v>65.60785888991505</v>
      </c>
      <c r="BG105" s="22">
        <f t="shared" si="61"/>
        <v>590.74731089993509</v>
      </c>
      <c r="BH105" s="60">
        <f t="shared" si="62"/>
        <v>884.08064423326846</v>
      </c>
      <c r="BI105" s="60">
        <f ca="1">AVERAGE(OFFSET($BH$3,0,0,'Données projet'!$E$11+1,1))-AVERAGE(OFFSET($H$3,0,0,'Données projet'!$E$11+1,1))</f>
        <v>350.3652766444938</v>
      </c>
      <c r="BJ105" s="60">
        <f t="shared" si="92"/>
        <v>197.04549436738586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4.4000000000000004</v>
      </c>
      <c r="BY105" s="13">
        <f>IF('Données projet'!$A$114&gt;35,BY104+BX105-CG104,IF(A105&lt;'Données projet'!$A$114,$BV$205^A105,IF(A105='Données projet'!$A$114,'Données projet'!$B$114,BY104+BX105-CG104)))</f>
        <v>269.79999999999978</v>
      </c>
      <c r="BZ105" s="14">
        <f>BY105*VLOOKUP('Données projet'!$B$12,Paramètres!$A$1:$I$89,3,0)*VLOOKUP('Données projet'!$B$12,Paramètres!$A$1:$I$89,5,0)</f>
        <v>260.95055999999983</v>
      </c>
      <c r="CA105" s="14">
        <f t="shared" si="93"/>
        <v>62.924955880176938</v>
      </c>
      <c r="CB105" s="22">
        <f t="shared" si="64"/>
        <v>564.08319015797451</v>
      </c>
      <c r="CC105" s="60">
        <f t="shared" si="65"/>
        <v>857.41652349130777</v>
      </c>
      <c r="CD105" s="60">
        <f ca="1">AVERAGE(OFFSET($CC$3,0,0,'Données projet'!$E$12+1,1))-AVERAGE(OFFSET($H$3,0,0,'Données projet'!$E$12+1,1))</f>
        <v>330.39429528665841</v>
      </c>
      <c r="CE105" s="60">
        <f t="shared" si="94"/>
        <v>186.45728006007261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4.4000000000000004</v>
      </c>
      <c r="CT105" s="13">
        <f>IF('Données projet'!$A$140&gt;35,CT104+CS105-DB104,IF(A105&lt;'Données projet'!$A$140,$CQ$205^A105,IF(A105='Données projet'!$A$140,'Données projet'!$B$140,CT104+CS105-DB104)))</f>
        <v>269.79999999999978</v>
      </c>
      <c r="CU105" s="18">
        <f>CT105*VLOOKUP('Données projet'!$B$13,Paramètres!$A$1:$I$89,3,0)*VLOOKUP('Données projet'!$B$13,Paramètres!$A$1:$I$89,5,0)</f>
        <v>290.41271999999975</v>
      </c>
      <c r="CV105" s="14">
        <f t="shared" si="95"/>
        <v>69.162817905044719</v>
      </c>
      <c r="CW105" s="22">
        <f t="shared" si="67"/>
        <v>626.26072851795254</v>
      </c>
      <c r="CX105" s="60">
        <f t="shared" si="68"/>
        <v>919.59406185128591</v>
      </c>
      <c r="CY105" s="60">
        <f ca="1">AVERAGE(OFFSET($CX$3,0,0,'Données projet'!$E$13+1,1))-AVERAGE(OFFSET($H$3,0,0,'Données projet'!$E$13+1,1))</f>
        <v>376.96388721258387</v>
      </c>
      <c r="CZ105" s="60">
        <f t="shared" si="96"/>
        <v>211.14628470344377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3.2051282051282102</v>
      </c>
      <c r="DO105" s="13">
        <f>IF('Données projet'!$A$166&gt;35,DO104+DN105-DW104,IF(A105&lt;'Données projet'!$A$166,$DL$205^A105,IF(A105='Données projet'!$A$166,'Données projet'!$B$166,DO104+DN105-DW104)))</f>
        <v>291.66666666666686</v>
      </c>
      <c r="DP105" s="18">
        <f>DO105*VLOOKUP('Données projet'!$B$14,Paramètres!$A$1:$I$89,3,0)*VLOOKUP('Données projet'!$B$14,Paramètres!$A$1:$I$89,5,0)</f>
        <v>195.65000000000012</v>
      </c>
      <c r="DQ105" s="14">
        <f t="shared" si="97"/>
        <v>48.786949327182981</v>
      </c>
      <c r="DR105" s="22">
        <f t="shared" si="70"/>
        <v>425.72768674484382</v>
      </c>
      <c r="DS105" s="60">
        <f t="shared" si="71"/>
        <v>719.06102007817708</v>
      </c>
      <c r="DT105" s="60">
        <f ca="1">AVERAGE(OFFSET($DS$3,0,0,'Données projet'!$E$14+1,1))-AVERAGE(OFFSET($H$3,0,0,'Données projet'!$E$14+1,1))</f>
        <v>212.33913923444732</v>
      </c>
      <c r="DU105" s="60">
        <f t="shared" si="98"/>
        <v>183.51194426094372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0" t="e">
        <f t="shared" si="74"/>
        <v>#N/A</v>
      </c>
      <c r="EO105" s="60" t="e">
        <f ca="1">AVERAGE(OFFSET($EN$3,0,0,'Données projet'!$E$15+1,1))-AVERAGE(OFFSET($H$3,0,0,'Données projet'!$E$15+1,1))</f>
        <v>#N/A</v>
      </c>
      <c r="EP105" s="60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0" t="e">
        <f t="shared" si="77"/>
        <v>#N/A</v>
      </c>
      <c r="FJ105" s="60" t="e">
        <f ca="1">AVERAGE(OFFSET($FI$3,0,0,'Données projet'!$E$16+1,1))-AVERAGE(OFFSET($H$3,0,0,'Données projet'!$E$16+1,1))</f>
        <v>#N/A</v>
      </c>
      <c r="FK105" s="60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0" t="e">
        <f t="shared" si="80"/>
        <v>#N/A</v>
      </c>
      <c r="GE105" s="60" t="e">
        <f ca="1">AVERAGE(OFFSET($GD$3,0,0,'Données projet'!$E$17+1,1))-AVERAGE(OFFSET($H$3,0,0,'Données projet'!$E$17+1,1))</f>
        <v>#N/A</v>
      </c>
      <c r="GF105" s="60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0" t="e">
        <f t="shared" si="83"/>
        <v>#N/A</v>
      </c>
      <c r="GZ105" s="60" t="e">
        <f ca="1">AVERAGE(OFFSET($GY$3,0,0,'Données projet'!$E$18+1,1))-AVERAGE(OFFSET($H$3,0,0,'Données projet'!$E$18+1,1))</f>
        <v>#N/A</v>
      </c>
      <c r="HA105" s="60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5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2">
        <f t="shared" si="86"/>
        <v>16.213562712594495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8">
        <f t="shared" si="56"/>
        <v>419.51980505776862</v>
      </c>
      <c r="I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5.4230769230769242</v>
      </c>
      <c r="N106" s="14">
        <f>IF('Données projet'!$A$36&gt;35,N105+M106-V105,IF(A106&lt;'Données projet'!$A$36,$K$205^A106,IF(A106='Données projet'!$A$36,'Données projet'!$B$36,N105+M106-V105)))</f>
        <v>223.55384615384645</v>
      </c>
      <c r="O106" s="14">
        <f>N106*VLOOKUP('Données projet'!$B$9,Paramètres!$A$1:$I$89,3,0)*VLOOKUP('Données projet'!$B$9,Paramètres!$A$1:$I$89,5,0)</f>
        <v>104.62320000000014</v>
      </c>
      <c r="P106" s="14">
        <f t="shared" si="87"/>
        <v>28.060497394023365</v>
      </c>
      <c r="Q106" s="22">
        <f t="shared" si="107"/>
        <v>231.09077296125758</v>
      </c>
      <c r="R106" s="60">
        <f t="shared" si="55"/>
        <v>524.42410629459096</v>
      </c>
      <c r="S106" s="60">
        <f ca="1">AVERAGE(OFFSET($R$3,0,0,'Données projet'!$E$9+1,1))-AVERAGE(OFFSET($H$3,0,0,'Données projet'!$E$9+1,1))</f>
        <v>146.40889017442277</v>
      </c>
      <c r="T106" s="60">
        <f t="shared" si="88"/>
        <v>70.859031694091868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5.2</v>
      </c>
      <c r="AI106" s="14">
        <f>IF('Données projet'!$A$62&gt;35,AI105+AH106-AQ105,IF(A106&lt;'Données projet'!$A$62,$AF$205^A106,IF(A106='Données projet'!$A$62,'Données projet'!$B$62,AI105+AH106-AQ105)))</f>
        <v>376.59999999999997</v>
      </c>
      <c r="AJ106" s="14">
        <f>AI106*VLOOKUP('Données projet'!$B$10,Paramètres!$A$1:$I$89,3,0)*VLOOKUP('Données projet'!$B$10,Paramètres!$A$1:$I$89,5,0)</f>
        <v>340.74767999999995</v>
      </c>
      <c r="AK106" s="14">
        <f t="shared" si="89"/>
        <v>79.654402089206556</v>
      </c>
      <c r="AL106" s="22">
        <f t="shared" si="58"/>
        <v>732.20029297203462</v>
      </c>
      <c r="AM106" s="60">
        <f t="shared" si="59"/>
        <v>1025.533626305368</v>
      </c>
      <c r="AN106" s="60">
        <f ca="1">AVERAGE(OFFSET($AM$3,0,0,'Données projet'!$E$10+1,1))-AVERAGE(OFFSET($H$3,0,0,'Données projet'!$E$10+1,1))</f>
        <v>404.14319681142746</v>
      </c>
      <c r="AO106" s="60">
        <f t="shared" si="90"/>
        <v>203.5274665601915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4.4000000000000004</v>
      </c>
      <c r="BD106" s="13">
        <f>IF('Données projet'!$A$88&gt;35,BD105+BC106-BL105,IF(A106&lt;'Données projet'!$A$88,$BA$205^A106,IF(A106='Données projet'!$A$88,'Données projet'!$B$88,BD105+BC106-BL105)))</f>
        <v>274.19999999999976</v>
      </c>
      <c r="BE106" s="14">
        <f>BD106*VLOOKUP('Données projet'!$B$11,Paramètres!$A$1:$I$89,3,0)*VLOOKUP('Données projet'!$B$11,Paramètres!$A$1:$I$89,5,0)</f>
        <v>278.03879999999975</v>
      </c>
      <c r="BF106" s="14">
        <f t="shared" si="91"/>
        <v>66.552381547717744</v>
      </c>
      <c r="BG106" s="22">
        <f t="shared" si="61"/>
        <v>600.16297452894128</v>
      </c>
      <c r="BH106" s="60">
        <f t="shared" si="62"/>
        <v>893.49630786227453</v>
      </c>
      <c r="BI106" s="60">
        <f ca="1">AVERAGE(OFFSET($BH$3,0,0,'Données projet'!$E$11+1,1))-AVERAGE(OFFSET($H$3,0,0,'Données projet'!$E$11+1,1))</f>
        <v>350.3652766444938</v>
      </c>
      <c r="BJ106" s="60">
        <f t="shared" si="92"/>
        <v>197.04549436738586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4.4000000000000004</v>
      </c>
      <c r="BY106" s="13">
        <f>IF('Données projet'!$A$114&gt;35,BY105+BX106-CG105,IF(A106&lt;'Données projet'!$A$114,$BV$205^A106,IF(A106='Données projet'!$A$114,'Données projet'!$B$114,BY105+BX106-CG105)))</f>
        <v>274.19999999999976</v>
      </c>
      <c r="BZ106" s="14">
        <f>BY106*VLOOKUP('Données projet'!$B$12,Paramètres!$A$1:$I$89,3,0)*VLOOKUP('Données projet'!$B$12,Paramètres!$A$1:$I$89,5,0)</f>
        <v>265.20623999999975</v>
      </c>
      <c r="CA106" s="14">
        <f t="shared" si="93"/>
        <v>63.830854160896386</v>
      </c>
      <c r="CB106" s="22">
        <f t="shared" si="64"/>
        <v>573.07293899689409</v>
      </c>
      <c r="CC106" s="60">
        <f t="shared" si="65"/>
        <v>866.40627233022747</v>
      </c>
      <c r="CD106" s="60">
        <f ca="1">AVERAGE(OFFSET($CC$3,0,0,'Données projet'!$E$12+1,1))-AVERAGE(OFFSET($H$3,0,0,'Données projet'!$E$12+1,1))</f>
        <v>330.39429528665841</v>
      </c>
      <c r="CE106" s="60">
        <f t="shared" si="94"/>
        <v>186.45728006007261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4.4000000000000004</v>
      </c>
      <c r="CT106" s="13">
        <f>IF('Données projet'!$A$140&gt;35,CT105+CS106-DB105,IF(A106&lt;'Données projet'!$A$140,$CQ$205^A106,IF(A106='Données projet'!$A$140,'Données projet'!$B$140,CT105+CS106-DB105)))</f>
        <v>274.19999999999976</v>
      </c>
      <c r="CU106" s="18">
        <f>CT106*VLOOKUP('Données projet'!$B$13,Paramètres!$A$1:$I$89,3,0)*VLOOKUP('Données projet'!$B$13,Paramètres!$A$1:$I$89,5,0)</f>
        <v>295.14887999999974</v>
      </c>
      <c r="CV106" s="14">
        <f t="shared" si="95"/>
        <v>70.158519482479349</v>
      </c>
      <c r="CW106" s="22">
        <f t="shared" si="67"/>
        <v>636.24372076531768</v>
      </c>
      <c r="CX106" s="60">
        <f t="shared" si="68"/>
        <v>929.57705409865093</v>
      </c>
      <c r="CY106" s="60">
        <f ca="1">AVERAGE(OFFSET($CX$3,0,0,'Données projet'!$E$13+1,1))-AVERAGE(OFFSET($H$3,0,0,'Données projet'!$E$13+1,1))</f>
        <v>376.96388721258387</v>
      </c>
      <c r="CZ106" s="60">
        <f t="shared" si="96"/>
        <v>211.14628470344377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3.2051282051282102</v>
      </c>
      <c r="DO106" s="13">
        <f>IF('Données projet'!$A$166&gt;35,DO105+DN106-DW105,IF(A106&lt;'Données projet'!$A$166,$DL$205^A106,IF(A106='Données projet'!$A$166,'Données projet'!$B$166,DO105+DN106-DW105)))</f>
        <v>294.87179487179509</v>
      </c>
      <c r="DP106" s="18">
        <f>DO106*VLOOKUP('Données projet'!$B$14,Paramètres!$A$1:$I$89,3,0)*VLOOKUP('Données projet'!$B$14,Paramètres!$A$1:$I$89,5,0)</f>
        <v>197.80000000000015</v>
      </c>
      <c r="DQ106" s="14">
        <f t="shared" si="97"/>
        <v>49.260363505790551</v>
      </c>
      <c r="DR106" s="22">
        <f t="shared" si="70"/>
        <v>430.29679977258542</v>
      </c>
      <c r="DS106" s="60">
        <f t="shared" si="71"/>
        <v>723.63013310591873</v>
      </c>
      <c r="DT106" s="60">
        <f ca="1">AVERAGE(OFFSET($DS$3,0,0,'Données projet'!$E$14+1,1))-AVERAGE(OFFSET($H$3,0,0,'Données projet'!$E$14+1,1))</f>
        <v>212.33913923444732</v>
      </c>
      <c r="DU106" s="60">
        <f t="shared" si="98"/>
        <v>183.51194426094372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0" t="e">
        <f t="shared" si="74"/>
        <v>#N/A</v>
      </c>
      <c r="EO106" s="60" t="e">
        <f ca="1">AVERAGE(OFFSET($EN$3,0,0,'Données projet'!$E$15+1,1))-AVERAGE(OFFSET($H$3,0,0,'Données projet'!$E$15+1,1))</f>
        <v>#N/A</v>
      </c>
      <c r="EP106" s="60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0" t="e">
        <f t="shared" si="77"/>
        <v>#N/A</v>
      </c>
      <c r="FJ106" s="60" t="e">
        <f ca="1">AVERAGE(OFFSET($FI$3,0,0,'Données projet'!$E$16+1,1))-AVERAGE(OFFSET($H$3,0,0,'Données projet'!$E$16+1,1))</f>
        <v>#N/A</v>
      </c>
      <c r="FK106" s="60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0" t="e">
        <f t="shared" si="80"/>
        <v>#N/A</v>
      </c>
      <c r="GE106" s="60" t="e">
        <f ca="1">AVERAGE(OFFSET($GD$3,0,0,'Données projet'!$E$17+1,1))-AVERAGE(OFFSET($H$3,0,0,'Données projet'!$E$17+1,1))</f>
        <v>#N/A</v>
      </c>
      <c r="GF106" s="60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0" t="e">
        <f t="shared" si="83"/>
        <v>#N/A</v>
      </c>
      <c r="GZ106" s="60" t="e">
        <f ca="1">AVERAGE(OFFSET($GY$3,0,0,'Données projet'!$E$18+1,1))-AVERAGE(OFFSET($H$3,0,0,'Données projet'!$E$18+1,1))</f>
        <v>#N/A</v>
      </c>
      <c r="HA106" s="60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5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2">
        <f t="shared" si="86"/>
        <v>16.352574732529348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8">
        <f t="shared" si="56"/>
        <v>420.71286765915517</v>
      </c>
      <c r="I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5.4230769230769242</v>
      </c>
      <c r="N107" s="14">
        <f>IF('Données projet'!$A$36&gt;35,N106+M107-V106,IF(A107&lt;'Données projet'!$A$36,$K$205^A107,IF(A107='Données projet'!$A$36,'Données projet'!$B$36,N106+M107-V106)))</f>
        <v>228.97692307692338</v>
      </c>
      <c r="O107" s="14">
        <f>N107*VLOOKUP('Données projet'!$B$9,Paramètres!$A$1:$I$89,3,0)*VLOOKUP('Données projet'!$B$9,Paramètres!$A$1:$I$89,5,0)</f>
        <v>107.16120000000015</v>
      </c>
      <c r="P107" s="14">
        <f t="shared" si="87"/>
        <v>28.661126777366903</v>
      </c>
      <c r="Q107" s="22">
        <f t="shared" si="107"/>
        <v>236.55721913724756</v>
      </c>
      <c r="R107" s="60">
        <f t="shared" si="55"/>
        <v>529.89055247058081</v>
      </c>
      <c r="S107" s="60">
        <f ca="1">AVERAGE(OFFSET($R$3,0,0,'Données projet'!$E$9+1,1))-AVERAGE(OFFSET($H$3,0,0,'Données projet'!$E$9+1,1))</f>
        <v>146.40889017442277</v>
      </c>
      <c r="T107" s="60">
        <f t="shared" si="88"/>
        <v>70.859031694091868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5.2</v>
      </c>
      <c r="AI107" s="14">
        <f>IF('Données projet'!$A$62&gt;35,AI106+AH107-AQ106,IF(A107&lt;'Données projet'!$A$62,$AF$205^A107,IF(A107='Données projet'!$A$62,'Données projet'!$B$62,AI106+AH107-AQ106)))</f>
        <v>381.79999999999995</v>
      </c>
      <c r="AJ107" s="14">
        <f>AI107*VLOOKUP('Données projet'!$B$10,Paramètres!$A$1:$I$89,3,0)*VLOOKUP('Données projet'!$B$10,Paramètres!$A$1:$I$89,5,0)</f>
        <v>345.45263999999997</v>
      </c>
      <c r="AK107" s="14">
        <f t="shared" si="89"/>
        <v>80.625451110046569</v>
      </c>
      <c r="AL107" s="22">
        <f t="shared" si="58"/>
        <v>742.08600868333099</v>
      </c>
      <c r="AM107" s="60">
        <f t="shared" si="59"/>
        <v>1035.4193420166644</v>
      </c>
      <c r="AN107" s="60">
        <f ca="1">AVERAGE(OFFSET($AM$3,0,0,'Données projet'!$E$10+1,1))-AVERAGE(OFFSET($H$3,0,0,'Données projet'!$E$10+1,1))</f>
        <v>404.14319681142746</v>
      </c>
      <c r="AO107" s="60">
        <f t="shared" si="90"/>
        <v>203.5274665601915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4.4000000000000004</v>
      </c>
      <c r="BD107" s="13">
        <f>IF('Données projet'!$A$88&gt;35,BD106+BC107-BL106,IF(A107&lt;'Données projet'!$A$88,$BA$205^A107,IF(A107='Données projet'!$A$88,'Données projet'!$B$88,BD106+BC107-BL106)))</f>
        <v>278.59999999999974</v>
      </c>
      <c r="BE107" s="14">
        <f>BD107*VLOOKUP('Données projet'!$B$11,Paramètres!$A$1:$I$89,3,0)*VLOOKUP('Données projet'!$B$11,Paramètres!$A$1:$I$89,5,0)</f>
        <v>282.50039999999973</v>
      </c>
      <c r="BF107" s="14">
        <f t="shared" si="91"/>
        <v>67.495141560894311</v>
      </c>
      <c r="BG107" s="22">
        <f t="shared" si="61"/>
        <v>609.57556821855712</v>
      </c>
      <c r="BH107" s="60">
        <f t="shared" si="62"/>
        <v>902.90890155189049</v>
      </c>
      <c r="BI107" s="60">
        <f ca="1">AVERAGE(OFFSET($BH$3,0,0,'Données projet'!$E$11+1,1))-AVERAGE(OFFSET($H$3,0,0,'Données projet'!$E$11+1,1))</f>
        <v>350.3652766444938</v>
      </c>
      <c r="BJ107" s="60">
        <f t="shared" si="92"/>
        <v>197.04549436738586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4.4000000000000004</v>
      </c>
      <c r="BY107" s="13">
        <f>IF('Données projet'!$A$114&gt;35,BY106+BX107-CG106,IF(A107&lt;'Données projet'!$A$114,$BV$205^A107,IF(A107='Données projet'!$A$114,'Données projet'!$B$114,BY106+BX107-CG106)))</f>
        <v>278.59999999999974</v>
      </c>
      <c r="BZ107" s="14">
        <f>BY107*VLOOKUP('Données projet'!$B$12,Paramètres!$A$1:$I$89,3,0)*VLOOKUP('Données projet'!$B$12,Paramètres!$A$1:$I$89,5,0)</f>
        <v>269.46191999999974</v>
      </c>
      <c r="CA107" s="14">
        <f t="shared" si="93"/>
        <v>64.735061876839055</v>
      </c>
      <c r="CB107" s="22">
        <f t="shared" si="64"/>
        <v>582.05974343549417</v>
      </c>
      <c r="CC107" s="60">
        <f t="shared" si="65"/>
        <v>875.39307676882754</v>
      </c>
      <c r="CD107" s="60">
        <f ca="1">AVERAGE(OFFSET($CC$3,0,0,'Données projet'!$E$12+1,1))-AVERAGE(OFFSET($H$3,0,0,'Données projet'!$E$12+1,1))</f>
        <v>330.39429528665841</v>
      </c>
      <c r="CE107" s="60">
        <f t="shared" si="94"/>
        <v>186.45728006007261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4.4000000000000004</v>
      </c>
      <c r="CT107" s="13">
        <f>IF('Données projet'!$A$140&gt;35,CT106+CS107-DB106,IF(A107&lt;'Données projet'!$A$140,$CQ$205^A107,IF(A107='Données projet'!$A$140,'Données projet'!$B$140,CT106+CS107-DB106)))</f>
        <v>278.59999999999974</v>
      </c>
      <c r="CU107" s="18">
        <f>CT107*VLOOKUP('Données projet'!$B$13,Paramètres!$A$1:$I$89,3,0)*VLOOKUP('Données projet'!$B$13,Paramètres!$A$1:$I$89,5,0)</f>
        <v>299.88503999999972</v>
      </c>
      <c r="CV107" s="14">
        <f t="shared" si="95"/>
        <v>71.152362906464575</v>
      </c>
      <c r="CW107" s="22">
        <f t="shared" si="67"/>
        <v>646.22347672875867</v>
      </c>
      <c r="CX107" s="60">
        <f t="shared" si="68"/>
        <v>939.55681006209193</v>
      </c>
      <c r="CY107" s="60">
        <f ca="1">AVERAGE(OFFSET($CX$3,0,0,'Données projet'!$E$13+1,1))-AVERAGE(OFFSET($H$3,0,0,'Données projet'!$E$13+1,1))</f>
        <v>376.96388721258387</v>
      </c>
      <c r="CZ107" s="60">
        <f t="shared" si="96"/>
        <v>211.14628470344377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3.2051282051282102</v>
      </c>
      <c r="DO107" s="13">
        <f>IF('Données projet'!$A$166&gt;35,DO106+DN107-DW106,IF(A107&lt;'Données projet'!$A$166,$DL$205^A107,IF(A107='Données projet'!$A$166,'Données projet'!$B$166,DO106+DN107-DW106)))</f>
        <v>298.07692307692332</v>
      </c>
      <c r="DP107" s="18">
        <f>DO107*VLOOKUP('Données projet'!$B$14,Paramètres!$A$1:$I$89,3,0)*VLOOKUP('Données projet'!$B$14,Paramètres!$A$1:$I$89,5,0)</f>
        <v>199.95000000000016</v>
      </c>
      <c r="DQ107" s="14">
        <f t="shared" si="97"/>
        <v>49.733179078835313</v>
      </c>
      <c r="DR107" s="22">
        <f t="shared" si="70"/>
        <v>434.86487022897177</v>
      </c>
      <c r="DS107" s="60">
        <f t="shared" si="71"/>
        <v>728.19820356230503</v>
      </c>
      <c r="DT107" s="60">
        <f ca="1">AVERAGE(OFFSET($DS$3,0,0,'Données projet'!$E$14+1,1))-AVERAGE(OFFSET($H$3,0,0,'Données projet'!$E$14+1,1))</f>
        <v>212.33913923444732</v>
      </c>
      <c r="DU107" s="60">
        <f t="shared" si="98"/>
        <v>183.51194426094372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0" t="e">
        <f t="shared" si="74"/>
        <v>#N/A</v>
      </c>
      <c r="EO107" s="60" t="e">
        <f ca="1">AVERAGE(OFFSET($EN$3,0,0,'Données projet'!$E$15+1,1))-AVERAGE(OFFSET($H$3,0,0,'Données projet'!$E$15+1,1))</f>
        <v>#N/A</v>
      </c>
      <c r="EP107" s="60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0" t="e">
        <f t="shared" si="77"/>
        <v>#N/A</v>
      </c>
      <c r="FJ107" s="60" t="e">
        <f ca="1">AVERAGE(OFFSET($FI$3,0,0,'Données projet'!$E$16+1,1))-AVERAGE(OFFSET($H$3,0,0,'Données projet'!$E$16+1,1))</f>
        <v>#N/A</v>
      </c>
      <c r="FK107" s="60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0" t="e">
        <f t="shared" si="80"/>
        <v>#N/A</v>
      </c>
      <c r="GE107" s="60" t="e">
        <f ca="1">AVERAGE(OFFSET($GD$3,0,0,'Données projet'!$E$17+1,1))-AVERAGE(OFFSET($H$3,0,0,'Données projet'!$E$17+1,1))</f>
        <v>#N/A</v>
      </c>
      <c r="GF107" s="60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0" t="e">
        <f t="shared" si="83"/>
        <v>#N/A</v>
      </c>
      <c r="GZ107" s="60" t="e">
        <f ca="1">AVERAGE(OFFSET($GY$3,0,0,'Données projet'!$E$18+1,1))-AVERAGE(OFFSET($H$3,0,0,'Données projet'!$E$18+1,1))</f>
        <v>#N/A</v>
      </c>
      <c r="HA107" s="60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5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2">
        <f t="shared" si="86"/>
        <v>16.491431250436072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8">
        <f t="shared" si="56"/>
        <v>421.90565942784269</v>
      </c>
      <c r="I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5.4230769230769242</v>
      </c>
      <c r="N108" s="14">
        <f>IF('Données projet'!$A$36&gt;35,N107+M108-V107,IF(A108&lt;'Données projet'!$A$36,$K$205^A108,IF(A108='Données projet'!$A$36,'Données projet'!$B$36,N107+M108-V107)))</f>
        <v>234.40000000000032</v>
      </c>
      <c r="O108" s="14">
        <f>N108*VLOOKUP('Données projet'!$B$9,Paramètres!$A$1:$I$89,3,0)*VLOOKUP('Données projet'!$B$9,Paramètres!$A$1:$I$89,5,0)</f>
        <v>109.69920000000015</v>
      </c>
      <c r="P108" s="14">
        <f t="shared" si="87"/>
        <v>29.260102455780611</v>
      </c>
      <c r="Q108" s="22">
        <f t="shared" si="107"/>
        <v>242.02078511048478</v>
      </c>
      <c r="R108" s="60">
        <f t="shared" si="55"/>
        <v>535.35411844381815</v>
      </c>
      <c r="S108" s="60">
        <f ca="1">AVERAGE(OFFSET($R$3,0,0,'Données projet'!$E$9+1,1))-AVERAGE(OFFSET($H$3,0,0,'Données projet'!$E$9+1,1))</f>
        <v>146.40889017442277</v>
      </c>
      <c r="T108" s="60">
        <f t="shared" si="88"/>
        <v>70.859031694091868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5.2</v>
      </c>
      <c r="AI108" s="14">
        <f>IF('Données projet'!$A$62&gt;35,AI107+AH108-AQ107,IF(A108&lt;'Données projet'!$A$62,$AF$205^A108,IF(A108='Données projet'!$A$62,'Données projet'!$B$62,AI107+AH108-AQ107)))</f>
        <v>386.99999999999994</v>
      </c>
      <c r="AJ108" s="14">
        <f>AI108*VLOOKUP('Données projet'!$B$10,Paramètres!$A$1:$I$89,3,0)*VLOOKUP('Données projet'!$B$10,Paramètres!$A$1:$I$89,5,0)</f>
        <v>350.15759999999995</v>
      </c>
      <c r="AK108" s="14">
        <f t="shared" si="89"/>
        <v>81.59496186451068</v>
      </c>
      <c r="AL108" s="22">
        <f t="shared" si="58"/>
        <v>751.96904524735601</v>
      </c>
      <c r="AM108" s="60">
        <f t="shared" si="59"/>
        <v>1045.3023785806893</v>
      </c>
      <c r="AN108" s="60">
        <f ca="1">AVERAGE(OFFSET($AM$3,0,0,'Données projet'!$E$10+1,1))-AVERAGE(OFFSET($H$3,0,0,'Données projet'!$E$10+1,1))</f>
        <v>404.14319681142746</v>
      </c>
      <c r="AO108" s="60">
        <f t="shared" si="90"/>
        <v>203.5274665601915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4.4000000000000004</v>
      </c>
      <c r="BD108" s="13">
        <f>IF('Données projet'!$A$88&gt;35,BD107+BC108-BL107,IF(A108&lt;'Données projet'!$A$88,$BA$205^A108,IF(A108='Données projet'!$A$88,'Données projet'!$B$88,BD107+BC108-BL107)))</f>
        <v>282.99999999999972</v>
      </c>
      <c r="BE108" s="14">
        <f>BD108*VLOOKUP('Données projet'!$B$11,Paramètres!$A$1:$I$89,3,0)*VLOOKUP('Données projet'!$B$11,Paramètres!$A$1:$I$89,5,0)</f>
        <v>286.9619999999997</v>
      </c>
      <c r="BF108" s="14">
        <f t="shared" si="91"/>
        <v>68.436169981717796</v>
      </c>
      <c r="BG108" s="22">
        <f t="shared" si="61"/>
        <v>618.98514605149137</v>
      </c>
      <c r="BH108" s="60">
        <f t="shared" si="62"/>
        <v>912.31847938482474</v>
      </c>
      <c r="BI108" s="60">
        <f ca="1">AVERAGE(OFFSET($BH$3,0,0,'Données projet'!$E$11+1,1))-AVERAGE(OFFSET($H$3,0,0,'Données projet'!$E$11+1,1))</f>
        <v>350.3652766444938</v>
      </c>
      <c r="BJ108" s="60">
        <f t="shared" si="92"/>
        <v>197.04549436738586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4.4000000000000004</v>
      </c>
      <c r="BY108" s="13">
        <f>IF('Données projet'!$A$114&gt;35,BY107+BX108-CG107,IF(A108&lt;'Données projet'!$A$114,$BV$205^A108,IF(A108='Données projet'!$A$114,'Données projet'!$B$114,BY107+BX108-CG107)))</f>
        <v>282.99999999999972</v>
      </c>
      <c r="BZ108" s="14">
        <f>BY108*VLOOKUP('Données projet'!$B$12,Paramètres!$A$1:$I$89,3,0)*VLOOKUP('Données projet'!$B$12,Paramètres!$A$1:$I$89,5,0)</f>
        <v>273.71759999999972</v>
      </c>
      <c r="CA108" s="14">
        <f t="shared" si="93"/>
        <v>65.637608810456612</v>
      </c>
      <c r="CB108" s="22">
        <f t="shared" si="64"/>
        <v>591.04365534487806</v>
      </c>
      <c r="CC108" s="60">
        <f t="shared" si="65"/>
        <v>884.37698867821132</v>
      </c>
      <c r="CD108" s="60">
        <f ca="1">AVERAGE(OFFSET($CC$3,0,0,'Données projet'!$E$12+1,1))-AVERAGE(OFFSET($H$3,0,0,'Données projet'!$E$12+1,1))</f>
        <v>330.39429528665841</v>
      </c>
      <c r="CE108" s="60">
        <f t="shared" si="94"/>
        <v>186.45728006007261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4.4000000000000004</v>
      </c>
      <c r="CT108" s="13">
        <f>IF('Données projet'!$A$140&gt;35,CT107+CS108-DB107,IF(A108&lt;'Données projet'!$A$140,$CQ$205^A108,IF(A108='Données projet'!$A$140,'Données projet'!$B$140,CT107+CS108-DB107)))</f>
        <v>282.99999999999972</v>
      </c>
      <c r="CU108" s="18">
        <f>CT108*VLOOKUP('Données projet'!$B$13,Paramètres!$A$1:$I$89,3,0)*VLOOKUP('Données projet'!$B$13,Paramètres!$A$1:$I$89,5,0)</f>
        <v>304.62119999999965</v>
      </c>
      <c r="CV108" s="14">
        <f t="shared" si="95"/>
        <v>72.144380911839335</v>
      </c>
      <c r="CW108" s="22">
        <f t="shared" si="67"/>
        <v>656.20005342145294</v>
      </c>
      <c r="CX108" s="60">
        <f t="shared" si="68"/>
        <v>949.53338675478631</v>
      </c>
      <c r="CY108" s="60">
        <f ca="1">AVERAGE(OFFSET($CX$3,0,0,'Données projet'!$E$13+1,1))-AVERAGE(OFFSET($H$3,0,0,'Données projet'!$E$13+1,1))</f>
        <v>376.96388721258387</v>
      </c>
      <c r="CZ108" s="60">
        <f t="shared" si="96"/>
        <v>211.14628470344377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>
        <f>VLOOKUP(A108,'Données projet'!$A$165:$I$185,2,0)</f>
        <v>301.28205128205127</v>
      </c>
      <c r="DM108" s="13">
        <f>VLOOKUP(A108,'Données projet'!$A$165:$I$185,9,0)</f>
        <v>3.2051282051282102</v>
      </c>
      <c r="DN108" s="13">
        <f t="array" ref="DN108">INDEX(DM:DM,MIN(IF(ISNUMBER(DM108:DM304),ROW(DM108:DM304),"")))</f>
        <v>3.2051282051282102</v>
      </c>
      <c r="DO108" s="13">
        <f>IF('Données projet'!$A$166&gt;35,DO107+DN108-DW107,IF(A108&lt;'Données projet'!$A$166,$DL$205^A108,IF(A108='Données projet'!$A$166,'Données projet'!$B$166,DO107+DN108-DW107)))</f>
        <v>301.28205128205155</v>
      </c>
      <c r="DP108" s="18">
        <f>DO108*VLOOKUP('Données projet'!$B$14,Paramètres!$A$1:$I$89,3,0)*VLOOKUP('Données projet'!$B$14,Paramètres!$A$1:$I$89,5,0)</f>
        <v>202.10000000000016</v>
      </c>
      <c r="DQ108" s="14">
        <f t="shared" si="97"/>
        <v>50.205403227941737</v>
      </c>
      <c r="DR108" s="22">
        <f t="shared" si="70"/>
        <v>439.43191062199884</v>
      </c>
      <c r="DS108" s="60">
        <f t="shared" si="71"/>
        <v>732.76524395533215</v>
      </c>
      <c r="DT108" s="60">
        <f ca="1">AVERAGE(OFFSET($DS$3,0,0,'Données projet'!$E$14+1,1))-AVERAGE(OFFSET($H$3,0,0,'Données projet'!$E$14+1,1))</f>
        <v>212.33913923444732</v>
      </c>
      <c r="DU108" s="60">
        <f t="shared" si="98"/>
        <v>183.51194426094372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0" t="e">
        <f t="shared" si="74"/>
        <v>#N/A</v>
      </c>
      <c r="EO108" s="60" t="e">
        <f ca="1">AVERAGE(OFFSET($EN$3,0,0,'Données projet'!$E$15+1,1))-AVERAGE(OFFSET($H$3,0,0,'Données projet'!$E$15+1,1))</f>
        <v>#N/A</v>
      </c>
      <c r="EP108" s="60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0" t="e">
        <f t="shared" si="77"/>
        <v>#N/A</v>
      </c>
      <c r="FJ108" s="60" t="e">
        <f ca="1">AVERAGE(OFFSET($FI$3,0,0,'Données projet'!$E$16+1,1))-AVERAGE(OFFSET($H$3,0,0,'Données projet'!$E$16+1,1))</f>
        <v>#N/A</v>
      </c>
      <c r="FK108" s="60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0" t="e">
        <f t="shared" si="80"/>
        <v>#N/A</v>
      </c>
      <c r="GE108" s="60" t="e">
        <f ca="1">AVERAGE(OFFSET($GD$3,0,0,'Données projet'!$E$17+1,1))-AVERAGE(OFFSET($H$3,0,0,'Données projet'!$E$17+1,1))</f>
        <v>#N/A</v>
      </c>
      <c r="GF108" s="60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0" t="e">
        <f t="shared" si="83"/>
        <v>#N/A</v>
      </c>
      <c r="GZ108" s="60" t="e">
        <f ca="1">AVERAGE(OFFSET($GY$3,0,0,'Données projet'!$E$18+1,1))-AVERAGE(OFFSET($H$3,0,0,'Données projet'!$E$18+1,1))</f>
        <v>#N/A</v>
      </c>
      <c r="HA108" s="60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5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2">
        <f t="shared" si="86"/>
        <v>16.630133918805559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8">
        <f t="shared" si="56"/>
        <v>423.09818324191957</v>
      </c>
      <c r="I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5.4230769230769242</v>
      </c>
      <c r="N109" s="14">
        <f>IF('Données projet'!$A$36&gt;35,N108+M109-V108,IF(A109&lt;'Données projet'!$A$36,$K$205^A109,IF(A109='Données projet'!$A$36,'Données projet'!$B$36,N108+M109-V108)))</f>
        <v>239.82307692307725</v>
      </c>
      <c r="O109" s="14">
        <f>N109*VLOOKUP('Données projet'!$B$9,Paramètres!$A$1:$I$89,3,0)*VLOOKUP('Données projet'!$B$9,Paramètres!$A$1:$I$89,5,0)</f>
        <v>112.23720000000016</v>
      </c>
      <c r="P109" s="14">
        <f t="shared" si="87"/>
        <v>29.857467093078018</v>
      </c>
      <c r="Q109" s="22">
        <f t="shared" si="107"/>
        <v>247.48154518711115</v>
      </c>
      <c r="R109" s="60">
        <f t="shared" si="55"/>
        <v>540.81487852044449</v>
      </c>
      <c r="S109" s="60">
        <f ca="1">AVERAGE(OFFSET($R$3,0,0,'Données projet'!$E$9+1,1))-AVERAGE(OFFSET($H$3,0,0,'Données projet'!$E$9+1,1))</f>
        <v>146.40889017442277</v>
      </c>
      <c r="T109" s="60">
        <f t="shared" si="88"/>
        <v>70.859031694091868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5.2</v>
      </c>
      <c r="AI109" s="14">
        <f>IF('Données projet'!$A$62&gt;35,AI108+AH109-AQ108,IF(A109&lt;'Données projet'!$A$62,$AF$205^A109,IF(A109='Données projet'!$A$62,'Données projet'!$B$62,AI108+AH109-AQ108)))</f>
        <v>392.19999999999993</v>
      </c>
      <c r="AJ109" s="14">
        <f>AI109*VLOOKUP('Données projet'!$B$10,Paramètres!$A$1:$I$89,3,0)*VLOOKUP('Données projet'!$B$10,Paramètres!$A$1:$I$89,5,0)</f>
        <v>354.86255999999992</v>
      </c>
      <c r="AK109" s="14">
        <f t="shared" si="89"/>
        <v>82.56295741106787</v>
      </c>
      <c r="AL109" s="22">
        <f t="shared" si="58"/>
        <v>761.84944282427648</v>
      </c>
      <c r="AM109" s="60">
        <f t="shared" si="59"/>
        <v>1055.1827761576099</v>
      </c>
      <c r="AN109" s="60">
        <f ca="1">AVERAGE(OFFSET($AM$3,0,0,'Données projet'!$E$10+1,1))-AVERAGE(OFFSET($H$3,0,0,'Données projet'!$E$10+1,1))</f>
        <v>404.14319681142746</v>
      </c>
      <c r="AO109" s="60">
        <f t="shared" si="90"/>
        <v>203.5274665601915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4.4000000000000004</v>
      </c>
      <c r="BD109" s="13">
        <f>IF('Données projet'!$A$88&gt;35,BD108+BC109-BL108,IF(A109&lt;'Données projet'!$A$88,$BA$205^A109,IF(A109='Données projet'!$A$88,'Données projet'!$B$88,BD108+BC109-BL108)))</f>
        <v>287.39999999999969</v>
      </c>
      <c r="BE109" s="14">
        <f>BD109*VLOOKUP('Données projet'!$B$11,Paramètres!$A$1:$I$89,3,0)*VLOOKUP('Données projet'!$B$11,Paramètres!$A$1:$I$89,5,0)</f>
        <v>291.42359999999968</v>
      </c>
      <c r="BF109" s="14">
        <f t="shared" si="91"/>
        <v>69.375496841482104</v>
      </c>
      <c r="BG109" s="22">
        <f t="shared" si="61"/>
        <v>628.39176033224737</v>
      </c>
      <c r="BH109" s="60">
        <f t="shared" si="62"/>
        <v>921.72509366558074</v>
      </c>
      <c r="BI109" s="60">
        <f ca="1">AVERAGE(OFFSET($BH$3,0,0,'Données projet'!$E$11+1,1))-AVERAGE(OFFSET($H$3,0,0,'Données projet'!$E$11+1,1))</f>
        <v>350.3652766444938</v>
      </c>
      <c r="BJ109" s="60">
        <f t="shared" si="92"/>
        <v>197.04549436738586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4.4000000000000004</v>
      </c>
      <c r="BY109" s="13">
        <f>IF('Données projet'!$A$114&gt;35,BY108+BX109-CG108,IF(A109&lt;'Données projet'!$A$114,$BV$205^A109,IF(A109='Données projet'!$A$114,'Données projet'!$B$114,BY108+BX109-CG108)))</f>
        <v>287.39999999999969</v>
      </c>
      <c r="BZ109" s="14">
        <f>BY109*VLOOKUP('Données projet'!$B$12,Paramètres!$A$1:$I$89,3,0)*VLOOKUP('Données projet'!$B$12,Paramètres!$A$1:$I$89,5,0)</f>
        <v>277.9732799999997</v>
      </c>
      <c r="CA109" s="14">
        <f t="shared" si="93"/>
        <v>66.538523764973135</v>
      </c>
      <c r="CB109" s="22">
        <f t="shared" si="64"/>
        <v>600.0247248906611</v>
      </c>
      <c r="CC109" s="60">
        <f t="shared" si="65"/>
        <v>893.35805822399448</v>
      </c>
      <c r="CD109" s="60">
        <f ca="1">AVERAGE(OFFSET($CC$3,0,0,'Données projet'!$E$12+1,1))-AVERAGE(OFFSET($H$3,0,0,'Données projet'!$E$12+1,1))</f>
        <v>330.39429528665841</v>
      </c>
      <c r="CE109" s="60">
        <f t="shared" si="94"/>
        <v>186.45728006007261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4.4000000000000004</v>
      </c>
      <c r="CT109" s="13">
        <f>IF('Données projet'!$A$140&gt;35,CT108+CS109-DB108,IF(A109&lt;'Données projet'!$A$140,$CQ$205^A109,IF(A109='Données projet'!$A$140,'Données projet'!$B$140,CT108+CS109-DB108)))</f>
        <v>287.39999999999969</v>
      </c>
      <c r="CU109" s="18">
        <f>CT109*VLOOKUP('Données projet'!$B$13,Paramètres!$A$1:$I$89,3,0)*VLOOKUP('Données projet'!$B$13,Paramètres!$A$1:$I$89,5,0)</f>
        <v>309.35735999999969</v>
      </c>
      <c r="CV109" s="14">
        <f t="shared" si="95"/>
        <v>73.134605157142161</v>
      </c>
      <c r="CW109" s="22">
        <f t="shared" si="67"/>
        <v>666.17350598202211</v>
      </c>
      <c r="CX109" s="60">
        <f t="shared" si="68"/>
        <v>959.50683931535536</v>
      </c>
      <c r="CY109" s="60">
        <f ca="1">AVERAGE(OFFSET($CX$3,0,0,'Données projet'!$E$13+1,1))-AVERAGE(OFFSET($H$3,0,0,'Données projet'!$E$13+1,1))</f>
        <v>376.96388721258387</v>
      </c>
      <c r="CZ109" s="60">
        <f t="shared" si="96"/>
        <v>211.14628470344377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3.333333333333337</v>
      </c>
      <c r="DO109" s="13">
        <f>IF('Données projet'!$A$166&gt;35,DO108+DN109-DW108,IF(A109&lt;'Données projet'!$A$166,$DL$205^A109,IF(A109='Données projet'!$A$166,'Données projet'!$B$166,DO108+DN109-DW108)))</f>
        <v>304.61538461538487</v>
      </c>
      <c r="DP109" s="18">
        <f>DO109*VLOOKUP('Données projet'!$B$14,Paramètres!$A$1:$I$89,3,0)*VLOOKUP('Données projet'!$B$14,Paramètres!$A$1:$I$89,5,0)</f>
        <v>204.33600000000018</v>
      </c>
      <c r="DQ109" s="14">
        <f t="shared" si="97"/>
        <v>50.695896504938347</v>
      </c>
      <c r="DR109" s="22">
        <f t="shared" si="70"/>
        <v>444.18055307943456</v>
      </c>
      <c r="DS109" s="60">
        <f t="shared" si="71"/>
        <v>737.51388641276787</v>
      </c>
      <c r="DT109" s="60">
        <f ca="1">AVERAGE(OFFSET($DS$3,0,0,'Données projet'!$E$14+1,1))-AVERAGE(OFFSET($H$3,0,0,'Données projet'!$E$14+1,1))</f>
        <v>212.33913923444732</v>
      </c>
      <c r="DU109" s="60">
        <f t="shared" si="98"/>
        <v>183.51194426094372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0" t="e">
        <f t="shared" si="74"/>
        <v>#N/A</v>
      </c>
      <c r="EO109" s="60" t="e">
        <f ca="1">AVERAGE(OFFSET($EN$3,0,0,'Données projet'!$E$15+1,1))-AVERAGE(OFFSET($H$3,0,0,'Données projet'!$E$15+1,1))</f>
        <v>#N/A</v>
      </c>
      <c r="EP109" s="60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0" t="e">
        <f t="shared" si="77"/>
        <v>#N/A</v>
      </c>
      <c r="FJ109" s="60" t="e">
        <f ca="1">AVERAGE(OFFSET($FI$3,0,0,'Données projet'!$E$16+1,1))-AVERAGE(OFFSET($H$3,0,0,'Données projet'!$E$16+1,1))</f>
        <v>#N/A</v>
      </c>
      <c r="FK109" s="60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0" t="e">
        <f t="shared" si="80"/>
        <v>#N/A</v>
      </c>
      <c r="GE109" s="60" t="e">
        <f ca="1">AVERAGE(OFFSET($GD$3,0,0,'Données projet'!$E$17+1,1))-AVERAGE(OFFSET($H$3,0,0,'Données projet'!$E$17+1,1))</f>
        <v>#N/A</v>
      </c>
      <c r="GF109" s="60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0" t="e">
        <f t="shared" si="83"/>
        <v>#N/A</v>
      </c>
      <c r="GZ109" s="60" t="e">
        <f ca="1">AVERAGE(OFFSET($GY$3,0,0,'Données projet'!$E$18+1,1))-AVERAGE(OFFSET($H$3,0,0,'Données projet'!$E$18+1,1))</f>
        <v>#N/A</v>
      </c>
      <c r="HA109" s="60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5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2">
        <f t="shared" si="86"/>
        <v>16.768684357151628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8">
        <f t="shared" si="56"/>
        <v>424.29044192203901</v>
      </c>
      <c r="I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5.4230769230769242</v>
      </c>
      <c r="N110" s="14">
        <f>IF('Données projet'!$A$36&gt;35,N109+M110-V109,IF(A110&lt;'Données projet'!$A$36,$K$205^A110,IF(A110='Données projet'!$A$36,'Données projet'!$B$36,N109+M110-V109)))</f>
        <v>245.24615384615419</v>
      </c>
      <c r="O110" s="14">
        <f>N110*VLOOKUP('Données projet'!$B$9,Paramètres!$A$1:$I$89,3,0)*VLOOKUP('Données projet'!$B$9,Paramètres!$A$1:$I$89,5,0)</f>
        <v>114.77520000000015</v>
      </c>
      <c r="P110" s="14">
        <f t="shared" si="87"/>
        <v>30.453261313439196</v>
      </c>
      <c r="Q110" s="22">
        <f t="shared" si="107"/>
        <v>252.93957012090684</v>
      </c>
      <c r="R110" s="60">
        <f t="shared" si="55"/>
        <v>546.27290345424012</v>
      </c>
      <c r="S110" s="60">
        <f ca="1">AVERAGE(OFFSET($R$3,0,0,'Données projet'!$E$9+1,1))-AVERAGE(OFFSET($H$3,0,0,'Données projet'!$E$9+1,1))</f>
        <v>146.40889017442277</v>
      </c>
      <c r="T110" s="60">
        <f t="shared" si="88"/>
        <v>70.859031694091868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5.2</v>
      </c>
      <c r="AI110" s="14">
        <f>IF('Données projet'!$A$62&gt;35,AI109+AH110-AQ109,IF(A110&lt;'Données projet'!$A$62,$AF$205^A110,IF(A110='Données projet'!$A$62,'Données projet'!$B$62,AI109+AH110-AQ109)))</f>
        <v>397.39999999999992</v>
      </c>
      <c r="AJ110" s="14">
        <f>AI110*VLOOKUP('Données projet'!$B$10,Paramètres!$A$1:$I$89,3,0)*VLOOKUP('Données projet'!$B$10,Paramètres!$A$1:$I$89,5,0)</f>
        <v>359.56751999999989</v>
      </c>
      <c r="AK110" s="14">
        <f t="shared" si="89"/>
        <v>83.529460161600639</v>
      </c>
      <c r="AL110" s="22">
        <f t="shared" si="58"/>
        <v>771.72724044812094</v>
      </c>
      <c r="AM110" s="60">
        <f t="shared" si="59"/>
        <v>1065.0605737814542</v>
      </c>
      <c r="AN110" s="60">
        <f ca="1">AVERAGE(OFFSET($AM$3,0,0,'Données projet'!$E$10+1,1))-AVERAGE(OFFSET($H$3,0,0,'Données projet'!$E$10+1,1))</f>
        <v>404.14319681142746</v>
      </c>
      <c r="AO110" s="60">
        <f t="shared" si="90"/>
        <v>203.5274665601915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4.4000000000000004</v>
      </c>
      <c r="BD110" s="13">
        <f>IF('Données projet'!$A$88&gt;35,BD109+BC110-BL109,IF(A110&lt;'Données projet'!$A$88,$BA$205^A110,IF(A110='Données projet'!$A$88,'Données projet'!$B$88,BD109+BC110-BL109)))</f>
        <v>291.79999999999967</v>
      </c>
      <c r="BE110" s="14">
        <f>BD110*VLOOKUP('Données projet'!$B$11,Paramètres!$A$1:$I$89,3,0)*VLOOKUP('Données projet'!$B$11,Paramètres!$A$1:$I$89,5,0)</f>
        <v>295.88519999999966</v>
      </c>
      <c r="BF110" s="14">
        <f t="shared" si="91"/>
        <v>70.313151199178748</v>
      </c>
      <c r="BG110" s="22">
        <f t="shared" si="61"/>
        <v>637.79546167190244</v>
      </c>
      <c r="BH110" s="60">
        <f t="shared" si="62"/>
        <v>931.12879500523582</v>
      </c>
      <c r="BI110" s="60">
        <f ca="1">AVERAGE(OFFSET($BH$3,0,0,'Données projet'!$E$11+1,1))-AVERAGE(OFFSET($H$3,0,0,'Données projet'!$E$11+1,1))</f>
        <v>350.3652766444938</v>
      </c>
      <c r="BJ110" s="60">
        <f t="shared" si="92"/>
        <v>197.04549436738586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4.4000000000000004</v>
      </c>
      <c r="BY110" s="13">
        <f>IF('Données projet'!$A$114&gt;35,BY109+BX110-CG109,IF(A110&lt;'Données projet'!$A$114,$BV$205^A110,IF(A110='Données projet'!$A$114,'Données projet'!$B$114,BY109+BX110-CG109)))</f>
        <v>291.79999999999967</v>
      </c>
      <c r="BZ110" s="14">
        <f>BY110*VLOOKUP('Données projet'!$B$12,Paramètres!$A$1:$I$89,3,0)*VLOOKUP('Données projet'!$B$12,Paramètres!$A$1:$I$89,5,0)</f>
        <v>282.22895999999969</v>
      </c>
      <c r="CA110" s="14">
        <f t="shared" si="93"/>
        <v>67.437834611070301</v>
      </c>
      <c r="CB110" s="22">
        <f t="shared" si="64"/>
        <v>609.00300061428027</v>
      </c>
      <c r="CC110" s="60">
        <f t="shared" si="65"/>
        <v>902.33633394761364</v>
      </c>
      <c r="CD110" s="60">
        <f ca="1">AVERAGE(OFFSET($CC$3,0,0,'Données projet'!$E$12+1,1))-AVERAGE(OFFSET($H$3,0,0,'Données projet'!$E$12+1,1))</f>
        <v>330.39429528665841</v>
      </c>
      <c r="CE110" s="60">
        <f t="shared" si="94"/>
        <v>186.45728006007261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4.4000000000000004</v>
      </c>
      <c r="CT110" s="13">
        <f>IF('Données projet'!$A$140&gt;35,CT109+CS110-DB109,IF(A110&lt;'Données projet'!$A$140,$CQ$205^A110,IF(A110='Données projet'!$A$140,'Données projet'!$B$140,CT109+CS110-DB109)))</f>
        <v>291.79999999999967</v>
      </c>
      <c r="CU110" s="18">
        <f>CT110*VLOOKUP('Données projet'!$B$13,Paramètres!$A$1:$I$89,3,0)*VLOOKUP('Données projet'!$B$13,Paramètres!$A$1:$I$89,5,0)</f>
        <v>314.09351999999961</v>
      </c>
      <c r="CV110" s="14">
        <f t="shared" si="95"/>
        <v>74.123066275924458</v>
      </c>
      <c r="CW110" s="22">
        <f t="shared" si="67"/>
        <v>676.14388776390103</v>
      </c>
      <c r="CX110" s="60">
        <f t="shared" si="68"/>
        <v>969.47722109723441</v>
      </c>
      <c r="CY110" s="60">
        <f ca="1">AVERAGE(OFFSET($CX$3,0,0,'Données projet'!$E$13+1,1))-AVERAGE(OFFSET($H$3,0,0,'Données projet'!$E$13+1,1))</f>
        <v>376.96388721258387</v>
      </c>
      <c r="CZ110" s="60">
        <f t="shared" si="96"/>
        <v>211.14628470344377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3.333333333333337</v>
      </c>
      <c r="DO110" s="13">
        <f>IF('Données projet'!$A$166&gt;35,DO109+DN110-DW109,IF(A110&lt;'Données projet'!$A$166,$DL$205^A110,IF(A110='Données projet'!$A$166,'Données projet'!$B$166,DO109+DN110-DW109)))</f>
        <v>307.94871794871818</v>
      </c>
      <c r="DP110" s="18">
        <f>DO110*VLOOKUP('Données projet'!$B$14,Paramètres!$A$1:$I$89,3,0)*VLOOKUP('Données projet'!$B$14,Paramètres!$A$1:$I$89,5,0)</f>
        <v>206.57200000000014</v>
      </c>
      <c r="DQ110" s="14">
        <f t="shared" si="97"/>
        <v>51.185765406859268</v>
      </c>
      <c r="DR110" s="22">
        <f t="shared" si="70"/>
        <v>448.92810808361338</v>
      </c>
      <c r="DS110" s="60">
        <f t="shared" si="71"/>
        <v>742.2614414169467</v>
      </c>
      <c r="DT110" s="60">
        <f ca="1">AVERAGE(OFFSET($DS$3,0,0,'Données projet'!$E$14+1,1))-AVERAGE(OFFSET($H$3,0,0,'Données projet'!$E$14+1,1))</f>
        <v>212.33913923444732</v>
      </c>
      <c r="DU110" s="60">
        <f t="shared" si="98"/>
        <v>183.51194426094372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0" t="e">
        <f t="shared" si="74"/>
        <v>#N/A</v>
      </c>
      <c r="EO110" s="60" t="e">
        <f ca="1">AVERAGE(OFFSET($EN$3,0,0,'Données projet'!$E$15+1,1))-AVERAGE(OFFSET($H$3,0,0,'Données projet'!$E$15+1,1))</f>
        <v>#N/A</v>
      </c>
      <c r="EP110" s="60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0" t="e">
        <f t="shared" si="77"/>
        <v>#N/A</v>
      </c>
      <c r="FJ110" s="60" t="e">
        <f ca="1">AVERAGE(OFFSET($FI$3,0,0,'Données projet'!$E$16+1,1))-AVERAGE(OFFSET($H$3,0,0,'Données projet'!$E$16+1,1))</f>
        <v>#N/A</v>
      </c>
      <c r="FK110" s="60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0" t="e">
        <f t="shared" si="80"/>
        <v>#N/A</v>
      </c>
      <c r="GE110" s="60" t="e">
        <f ca="1">AVERAGE(OFFSET($GD$3,0,0,'Données projet'!$E$17+1,1))-AVERAGE(OFFSET($H$3,0,0,'Données projet'!$E$17+1,1))</f>
        <v>#N/A</v>
      </c>
      <c r="GF110" s="60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0" t="e">
        <f t="shared" si="83"/>
        <v>#N/A</v>
      </c>
      <c r="GZ110" s="60" t="e">
        <f ca="1">AVERAGE(OFFSET($GY$3,0,0,'Données projet'!$E$18+1,1))-AVERAGE(OFFSET($H$3,0,0,'Données projet'!$E$18+1,1))</f>
        <v>#N/A</v>
      </c>
      <c r="HA110" s="60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5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2">
        <f t="shared" si="86"/>
        <v>16.907084152971102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8">
        <f t="shared" si="56"/>
        <v>425.48243823309122</v>
      </c>
      <c r="I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5.4230769230769242</v>
      </c>
      <c r="N111" s="14">
        <f>IF('Données projet'!$A$36&gt;35,N110+M111-V110,IF(A111&lt;'Données projet'!$A$36,$K$205^A111,IF(A111='Données projet'!$A$36,'Données projet'!$B$36,N110+M111-V110)))</f>
        <v>250.66923076923112</v>
      </c>
      <c r="O111" s="14">
        <f>N111*VLOOKUP('Données projet'!$B$9,Paramètres!$A$1:$I$89,3,0)*VLOOKUP('Données projet'!$B$9,Paramètres!$A$1:$I$89,5,0)</f>
        <v>117.31320000000015</v>
      </c>
      <c r="P111" s="14">
        <f t="shared" si="87"/>
        <v>31.04752384183195</v>
      </c>
      <c r="Q111" s="22">
        <f t="shared" si="107"/>
        <v>258.39492735785757</v>
      </c>
      <c r="R111" s="60">
        <f t="shared" si="55"/>
        <v>551.72826069119083</v>
      </c>
      <c r="S111" s="60">
        <f ca="1">AVERAGE(OFFSET($R$3,0,0,'Données projet'!$E$9+1,1))-AVERAGE(OFFSET($H$3,0,0,'Données projet'!$E$9+1,1))</f>
        <v>146.40889017442277</v>
      </c>
      <c r="T111" s="60">
        <f t="shared" si="88"/>
        <v>70.859031694091868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5.2</v>
      </c>
      <c r="AI111" s="14">
        <f>IF('Données projet'!$A$62&gt;35,AI110+AH111-AQ110,IF(A111&lt;'Données projet'!$A$62,$AF$205^A111,IF(A111='Données projet'!$A$62,'Données projet'!$B$62,AI110+AH111-AQ110)))</f>
        <v>402.59999999999991</v>
      </c>
      <c r="AJ111" s="14">
        <f>AI111*VLOOKUP('Données projet'!$B$10,Paramètres!$A$1:$I$89,3,0)*VLOOKUP('Données projet'!$B$10,Paramètres!$A$1:$I$89,5,0)</f>
        <v>364.27247999999992</v>
      </c>
      <c r="AK111" s="14">
        <f t="shared" si="89"/>
        <v>84.494491907753741</v>
      </c>
      <c r="AL111" s="22">
        <f t="shared" si="58"/>
        <v>781.60247607267092</v>
      </c>
      <c r="AM111" s="60">
        <f t="shared" si="59"/>
        <v>1074.9358094060042</v>
      </c>
      <c r="AN111" s="60">
        <f ca="1">AVERAGE(OFFSET($AM$3,0,0,'Données projet'!$E$10+1,1))-AVERAGE(OFFSET($H$3,0,0,'Données projet'!$E$10+1,1))</f>
        <v>404.14319681142746</v>
      </c>
      <c r="AO111" s="60">
        <f t="shared" si="90"/>
        <v>203.5274665601915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4.4000000000000004</v>
      </c>
      <c r="BD111" s="13">
        <f>IF('Données projet'!$A$88&gt;35,BD110+BC111-BL110,IF(A111&lt;'Données projet'!$A$88,$BA$205^A111,IF(A111='Données projet'!$A$88,'Données projet'!$B$88,BD110+BC111-BL110)))</f>
        <v>296.19999999999965</v>
      </c>
      <c r="BE111" s="14">
        <f>BD111*VLOOKUP('Données projet'!$B$11,Paramètres!$A$1:$I$89,3,0)*VLOOKUP('Données projet'!$B$11,Paramètres!$A$1:$I$89,5,0)</f>
        <v>300.34679999999963</v>
      </c>
      <c r="BF111" s="14">
        <f t="shared" si="91"/>
        <v>71.249161187153291</v>
      </c>
      <c r="BG111" s="22">
        <f t="shared" si="61"/>
        <v>647.19629906762464</v>
      </c>
      <c r="BH111" s="60">
        <f t="shared" si="62"/>
        <v>940.52963240095801</v>
      </c>
      <c r="BI111" s="60">
        <f ca="1">AVERAGE(OFFSET($BH$3,0,0,'Données projet'!$E$11+1,1))-AVERAGE(OFFSET($H$3,0,0,'Données projet'!$E$11+1,1))</f>
        <v>350.3652766444938</v>
      </c>
      <c r="BJ111" s="60">
        <f t="shared" si="92"/>
        <v>197.04549436738586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4.4000000000000004</v>
      </c>
      <c r="BY111" s="13">
        <f>IF('Données projet'!$A$114&gt;35,BY110+BX111-CG110,IF(A111&lt;'Données projet'!$A$114,$BV$205^A111,IF(A111='Données projet'!$A$114,'Données projet'!$B$114,BY110+BX111-CG110)))</f>
        <v>296.19999999999965</v>
      </c>
      <c r="BZ111" s="14">
        <f>BY111*VLOOKUP('Données projet'!$B$12,Paramètres!$A$1:$I$89,3,0)*VLOOKUP('Données projet'!$B$12,Paramètres!$A$1:$I$89,5,0)</f>
        <v>286.48463999999967</v>
      </c>
      <c r="CA111" s="14">
        <f t="shared" si="93"/>
        <v>68.335568330677432</v>
      </c>
      <c r="CB111" s="22">
        <f t="shared" si="64"/>
        <v>617.97852950926267</v>
      </c>
      <c r="CC111" s="60">
        <f t="shared" si="65"/>
        <v>911.31186284259593</v>
      </c>
      <c r="CD111" s="60">
        <f ca="1">AVERAGE(OFFSET($CC$3,0,0,'Données projet'!$E$12+1,1))-AVERAGE(OFFSET($H$3,0,0,'Données projet'!$E$12+1,1))</f>
        <v>330.39429528665841</v>
      </c>
      <c r="CE111" s="60">
        <f t="shared" si="94"/>
        <v>186.45728006007261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4.4000000000000004</v>
      </c>
      <c r="CT111" s="13">
        <f>IF('Données projet'!$A$140&gt;35,CT110+CS111-DB110,IF(A111&lt;'Données projet'!$A$140,$CQ$205^A111,IF(A111='Données projet'!$A$140,'Données projet'!$B$140,CT110+CS111-DB110)))</f>
        <v>296.19999999999965</v>
      </c>
      <c r="CU111" s="18">
        <f>CT111*VLOOKUP('Données projet'!$B$13,Paramètres!$A$1:$I$89,3,0)*VLOOKUP('Données projet'!$B$13,Paramètres!$A$1:$I$89,5,0)</f>
        <v>318.8296799999996</v>
      </c>
      <c r="CV111" s="14">
        <f t="shared" si="95"/>
        <v>75.109793924882112</v>
      </c>
      <c r="CW111" s="22">
        <f t="shared" si="67"/>
        <v>686.11125041916887</v>
      </c>
      <c r="CX111" s="60">
        <f t="shared" si="68"/>
        <v>979.44458375250224</v>
      </c>
      <c r="CY111" s="60">
        <f ca="1">AVERAGE(OFFSET($CX$3,0,0,'Données projet'!$E$13+1,1))-AVERAGE(OFFSET($H$3,0,0,'Données projet'!$E$13+1,1))</f>
        <v>376.96388721258387</v>
      </c>
      <c r="CZ111" s="60">
        <f t="shared" si="96"/>
        <v>211.14628470344377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3.333333333333337</v>
      </c>
      <c r="DO111" s="13">
        <f>IF('Données projet'!$A$166&gt;35,DO110+DN111-DW110,IF(A111&lt;'Données projet'!$A$166,$DL$205^A111,IF(A111='Données projet'!$A$166,'Données projet'!$B$166,DO110+DN111-DW110)))</f>
        <v>311.2820512820515</v>
      </c>
      <c r="DP111" s="18">
        <f>DO111*VLOOKUP('Données projet'!$B$14,Paramètres!$A$1:$I$89,3,0)*VLOOKUP('Données projet'!$B$14,Paramètres!$A$1:$I$89,5,0)</f>
        <v>208.80800000000013</v>
      </c>
      <c r="DQ111" s="14">
        <f t="shared" si="97"/>
        <v>51.675017474362051</v>
      </c>
      <c r="DR111" s="22">
        <f t="shared" si="70"/>
        <v>453.67458876784752</v>
      </c>
      <c r="DS111" s="60">
        <f t="shared" si="71"/>
        <v>747.00792210118084</v>
      </c>
      <c r="DT111" s="60">
        <f ca="1">AVERAGE(OFFSET($DS$3,0,0,'Données projet'!$E$14+1,1))-AVERAGE(OFFSET($H$3,0,0,'Données projet'!$E$14+1,1))</f>
        <v>212.33913923444732</v>
      </c>
      <c r="DU111" s="60">
        <f t="shared" si="98"/>
        <v>183.51194426094372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0" t="e">
        <f t="shared" si="74"/>
        <v>#N/A</v>
      </c>
      <c r="EO111" s="60" t="e">
        <f ca="1">AVERAGE(OFFSET($EN$3,0,0,'Données projet'!$E$15+1,1))-AVERAGE(OFFSET($H$3,0,0,'Données projet'!$E$15+1,1))</f>
        <v>#N/A</v>
      </c>
      <c r="EP111" s="60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0" t="e">
        <f t="shared" si="77"/>
        <v>#N/A</v>
      </c>
      <c r="FJ111" s="60" t="e">
        <f ca="1">AVERAGE(OFFSET($FI$3,0,0,'Données projet'!$E$16+1,1))-AVERAGE(OFFSET($H$3,0,0,'Données projet'!$E$16+1,1))</f>
        <v>#N/A</v>
      </c>
      <c r="FK111" s="60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0" t="e">
        <f t="shared" si="80"/>
        <v>#N/A</v>
      </c>
      <c r="GE111" s="60" t="e">
        <f ca="1">AVERAGE(OFFSET($GD$3,0,0,'Données projet'!$E$17+1,1))-AVERAGE(OFFSET($H$3,0,0,'Données projet'!$E$17+1,1))</f>
        <v>#N/A</v>
      </c>
      <c r="GF111" s="60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0" t="e">
        <f t="shared" si="83"/>
        <v>#N/A</v>
      </c>
      <c r="GZ111" s="60" t="e">
        <f ca="1">AVERAGE(OFFSET($GY$3,0,0,'Données projet'!$E$18+1,1))-AVERAGE(OFFSET($H$3,0,0,'Données projet'!$E$18+1,1))</f>
        <v>#N/A</v>
      </c>
      <c r="HA111" s="60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5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2">
        <f t="shared" si="86"/>
        <v>17.045334862667175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8">
        <f t="shared" si="56"/>
        <v>426.67417488581191</v>
      </c>
      <c r="I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>
        <f>VLOOKUP(A112,'Données projet'!$A$35:$I$55,2,0)</f>
        <v>256.09230769230771</v>
      </c>
      <c r="L112" s="13">
        <f>VLOOKUP(A112,'Données projet'!$A$35:$I$55,9,0)</f>
        <v>5.4230769230769242</v>
      </c>
      <c r="M112" s="13">
        <f t="array" ref="M112">INDEX(L:L,MIN(IF(ISNUMBER(L112:L308),ROW(L112:L308),"")))</f>
        <v>5.4230769230769242</v>
      </c>
      <c r="N112" s="14">
        <f>IF('Données projet'!$A$36&gt;35,N111+M112-V111,IF(A112&lt;'Données projet'!$A$36,$K$205^A112,IF(A112='Données projet'!$A$36,'Données projet'!$B$36,N111+M112-V111)))</f>
        <v>256.09230769230805</v>
      </c>
      <c r="O112" s="14">
        <f>N112*VLOOKUP('Données projet'!$B$9,Paramètres!$A$1:$I$89,3,0)*VLOOKUP('Données projet'!$B$9,Paramètres!$A$1:$I$89,5,0)</f>
        <v>119.85120000000016</v>
      </c>
      <c r="P112" s="14">
        <f t="shared" si="87"/>
        <v>31.640291631938243</v>
      </c>
      <c r="Q112" s="22">
        <f t="shared" si="107"/>
        <v>263.84768125895937</v>
      </c>
      <c r="R112" s="60">
        <f t="shared" si="55"/>
        <v>557.18101459229274</v>
      </c>
      <c r="S112" s="60">
        <f ca="1">AVERAGE(OFFSET($R$3,0,0,'Données projet'!$E$9+1,1))-AVERAGE(OFFSET($H$3,0,0,'Données projet'!$E$9+1,1))</f>
        <v>146.40889017442277</v>
      </c>
      <c r="T112" s="60">
        <f t="shared" si="88"/>
        <v>70.859031694091868</v>
      </c>
      <c r="U112" s="16">
        <f>IF(ISNA(VLOOKUP(A112,'Données projet'!$A$35:$I$55,3,0)),0,VLOOKUP(A112,'Données projet'!$A$35:$I$55,3,0))</f>
        <v>6</v>
      </c>
      <c r="V112" s="16">
        <f>IF(ISNA(VLOOKUP(A112,'Données projet'!$A$35:$I$55,4,0)),0,VLOOKUP(A112,'Données projet'!$A$35:$I$55,4,0))</f>
        <v>256.09230769230771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5.2</v>
      </c>
      <c r="AI112" s="14">
        <f>IF('Données projet'!$A$62&gt;35,AI111+AH112-AQ111,IF(A112&lt;'Données projet'!$A$62,$AF$205^A112,IF(A112='Données projet'!$A$62,'Données projet'!$B$62,AI111+AH112-AQ111)))</f>
        <v>407.7999999999999</v>
      </c>
      <c r="AJ112" s="14">
        <f>AI112*VLOOKUP('Données projet'!$B$10,Paramètres!$A$1:$I$89,3,0)*VLOOKUP('Données projet'!$B$10,Paramètres!$A$1:$I$89,5,0)</f>
        <v>368.97743999999989</v>
      </c>
      <c r="AK112" s="14">
        <f t="shared" si="89"/>
        <v>85.458073845884769</v>
      </c>
      <c r="AL112" s="22">
        <f t="shared" si="58"/>
        <v>791.47518661491574</v>
      </c>
      <c r="AM112" s="60">
        <f t="shared" si="59"/>
        <v>1084.8085199482491</v>
      </c>
      <c r="AN112" s="60">
        <f ca="1">AVERAGE(OFFSET($AM$3,0,0,'Données projet'!$E$10+1,1))-AVERAGE(OFFSET($H$3,0,0,'Données projet'!$E$10+1,1))</f>
        <v>404.14319681142746</v>
      </c>
      <c r="AO112" s="60">
        <f t="shared" si="90"/>
        <v>203.5274665601915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4.4000000000000004</v>
      </c>
      <c r="BD112" s="13">
        <f>IF('Données projet'!$A$88&gt;35,BD111+BC112-BL111,IF(A112&lt;'Données projet'!$A$88,$BA$205^A112,IF(A112='Données projet'!$A$88,'Données projet'!$B$88,BD111+BC112-BL111)))</f>
        <v>300.59999999999962</v>
      </c>
      <c r="BE112" s="14">
        <f>BD112*VLOOKUP('Données projet'!$B$11,Paramètres!$A$1:$I$89,3,0)*VLOOKUP('Données projet'!$B$11,Paramètres!$A$1:$I$89,5,0)</f>
        <v>304.80839999999961</v>
      </c>
      <c r="BF112" s="14">
        <f t="shared" si="91"/>
        <v>72.183554053972728</v>
      </c>
      <c r="BG112" s="22">
        <f t="shared" si="61"/>
        <v>656.59431997733509</v>
      </c>
      <c r="BH112" s="60">
        <f t="shared" si="62"/>
        <v>949.92765331066835</v>
      </c>
      <c r="BI112" s="60">
        <f ca="1">AVERAGE(OFFSET($BH$3,0,0,'Données projet'!$E$11+1,1))-AVERAGE(OFFSET($H$3,0,0,'Données projet'!$E$11+1,1))</f>
        <v>350.3652766444938</v>
      </c>
      <c r="BJ112" s="60">
        <f t="shared" si="92"/>
        <v>197.04549436738586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4.4000000000000004</v>
      </c>
      <c r="BY112" s="13">
        <f>IF('Données projet'!$A$114&gt;35,BY111+BX112-CG111,IF(A112&lt;'Données projet'!$A$114,$BV$205^A112,IF(A112='Données projet'!$A$114,'Données projet'!$B$114,BY111+BX112-CG111)))</f>
        <v>300.59999999999962</v>
      </c>
      <c r="BZ112" s="14">
        <f>BY112*VLOOKUP('Données projet'!$B$12,Paramètres!$A$1:$I$89,3,0)*VLOOKUP('Données projet'!$B$12,Paramètres!$A$1:$I$89,5,0)</f>
        <v>290.74031999999966</v>
      </c>
      <c r="CA112" s="14">
        <f t="shared" si="93"/>
        <v>69.231751058085507</v>
      </c>
      <c r="CB112" s="22">
        <f t="shared" si="64"/>
        <v>626.95135709283159</v>
      </c>
      <c r="CC112" s="60">
        <f t="shared" si="65"/>
        <v>920.28469042616484</v>
      </c>
      <c r="CD112" s="60">
        <f ca="1">AVERAGE(OFFSET($CC$3,0,0,'Données projet'!$E$12+1,1))-AVERAGE(OFFSET($H$3,0,0,'Données projet'!$E$12+1,1))</f>
        <v>330.39429528665841</v>
      </c>
      <c r="CE112" s="60">
        <f t="shared" si="94"/>
        <v>186.45728006007261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4.4000000000000004</v>
      </c>
      <c r="CT112" s="13">
        <f>IF('Données projet'!$A$140&gt;35,CT111+CS112-DB111,IF(A112&lt;'Données projet'!$A$140,$CQ$205^A112,IF(A112='Données projet'!$A$140,'Données projet'!$B$140,CT111+CS112-DB111)))</f>
        <v>300.59999999999962</v>
      </c>
      <c r="CU112" s="18">
        <f>CT112*VLOOKUP('Données projet'!$B$13,Paramètres!$A$1:$I$89,3,0)*VLOOKUP('Données projet'!$B$13,Paramètres!$A$1:$I$89,5,0)</f>
        <v>323.56583999999958</v>
      </c>
      <c r="CV112" s="14">
        <f t="shared" si="95"/>
        <v>76.094816829044248</v>
      </c>
      <c r="CW112" s="22">
        <f t="shared" si="67"/>
        <v>696.07564397725127</v>
      </c>
      <c r="CX112" s="60">
        <f t="shared" si="68"/>
        <v>989.40897731058453</v>
      </c>
      <c r="CY112" s="60">
        <f ca="1">AVERAGE(OFFSET($CX$3,0,0,'Données projet'!$E$13+1,1))-AVERAGE(OFFSET($H$3,0,0,'Données projet'!$E$13+1,1))</f>
        <v>376.96388721258387</v>
      </c>
      <c r="CZ112" s="60">
        <f t="shared" si="96"/>
        <v>211.14628470344377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3.333333333333337</v>
      </c>
      <c r="DO112" s="13">
        <f>IF('Données projet'!$A$166&gt;35,DO111+DN112-DW111,IF(A112&lt;'Données projet'!$A$166,$DL$205^A112,IF(A112='Données projet'!$A$166,'Données projet'!$B$166,DO111+DN112-DW111)))</f>
        <v>314.61538461538481</v>
      </c>
      <c r="DP112" s="18">
        <f>DO112*VLOOKUP('Données projet'!$B$14,Paramètres!$A$1:$I$89,3,0)*VLOOKUP('Données projet'!$B$14,Paramètres!$A$1:$I$89,5,0)</f>
        <v>211.04400000000015</v>
      </c>
      <c r="DQ112" s="14">
        <f t="shared" si="97"/>
        <v>52.163660077304868</v>
      </c>
      <c r="DR112" s="22">
        <f t="shared" si="70"/>
        <v>458.42000796797294</v>
      </c>
      <c r="DS112" s="60">
        <f t="shared" si="71"/>
        <v>751.75334130130625</v>
      </c>
      <c r="DT112" s="60">
        <f ca="1">AVERAGE(OFFSET($DS$3,0,0,'Données projet'!$E$14+1,1))-AVERAGE(OFFSET($H$3,0,0,'Données projet'!$E$14+1,1))</f>
        <v>212.33913923444732</v>
      </c>
      <c r="DU112" s="60">
        <f t="shared" si="98"/>
        <v>183.51194426094372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0" t="e">
        <f t="shared" si="74"/>
        <v>#N/A</v>
      </c>
      <c r="EO112" s="60" t="e">
        <f ca="1">AVERAGE(OFFSET($EN$3,0,0,'Données projet'!$E$15+1,1))-AVERAGE(OFFSET($H$3,0,0,'Données projet'!$E$15+1,1))</f>
        <v>#N/A</v>
      </c>
      <c r="EP112" s="60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0" t="e">
        <f t="shared" si="77"/>
        <v>#N/A</v>
      </c>
      <c r="FJ112" s="60" t="e">
        <f ca="1">AVERAGE(OFFSET($FI$3,0,0,'Données projet'!$E$16+1,1))-AVERAGE(OFFSET($H$3,0,0,'Données projet'!$E$16+1,1))</f>
        <v>#N/A</v>
      </c>
      <c r="FK112" s="60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0" t="e">
        <f t="shared" si="80"/>
        <v>#N/A</v>
      </c>
      <c r="GE112" s="60" t="e">
        <f ca="1">AVERAGE(OFFSET($GD$3,0,0,'Données projet'!$E$17+1,1))-AVERAGE(OFFSET($H$3,0,0,'Données projet'!$E$17+1,1))</f>
        <v>#N/A</v>
      </c>
      <c r="GF112" s="60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0" t="e">
        <f t="shared" si="83"/>
        <v>#N/A</v>
      </c>
      <c r="GZ112" s="60" t="e">
        <f ca="1">AVERAGE(OFFSET($GY$3,0,0,'Données projet'!$E$18+1,1))-AVERAGE(OFFSET($H$3,0,0,'Données projet'!$E$18+1,1))</f>
        <v>#N/A</v>
      </c>
      <c r="HA112" s="60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5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2">
        <f t="shared" si="86"/>
        <v>17.183438012437954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8">
        <f t="shared" si="56"/>
        <v>427.8656545383293</v>
      </c>
      <c r="I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3.4106051316484809E-13</v>
      </c>
      <c r="O113" s="14">
        <f>N113*VLOOKUP('Données projet'!$B$9,Paramètres!$A$1:$I$89,3,0)*VLOOKUP('Données projet'!$B$9,Paramètres!$A$1:$I$89,5,0)</f>
        <v>1.5961632016114892E-13</v>
      </c>
      <c r="P113" s="14">
        <f t="shared" si="87"/>
        <v>2.2708641912150958E-12</v>
      </c>
      <c r="Q113" s="22">
        <f t="shared" si="107"/>
        <v>4.2330868906469593E-12</v>
      </c>
      <c r="R113" s="60">
        <f t="shared" si="55"/>
        <v>293.33333333333752</v>
      </c>
      <c r="S113" s="60">
        <f ca="1">AVERAGE(OFFSET($R$3,0,0,'Données projet'!$E$9+1,1))-AVERAGE(OFFSET($H$3,0,0,'Données projet'!$E$9+1,1))</f>
        <v>146.40889017442277</v>
      </c>
      <c r="T113" s="60">
        <f t="shared" si="88"/>
        <v>70.859031694091868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413</v>
      </c>
      <c r="AG113" s="13">
        <f>VLOOKUP(A113,'Données projet'!$A$61:$I$81,9,0)</f>
        <v>5.2</v>
      </c>
      <c r="AH113" s="13">
        <f t="array" ref="AH113">INDEX(AG:AG,MIN(IF(ISNUMBER(AG113:AG309),ROW(AG113:AG309),"")))</f>
        <v>5.2</v>
      </c>
      <c r="AI113" s="14">
        <f>IF('Données projet'!$A$62&gt;35,AI112+AH113-AQ112,IF(A113&lt;'Données projet'!$A$62,$AF$205^A113,IF(A113='Données projet'!$A$62,'Données projet'!$B$62,AI112+AH113-AQ112)))</f>
        <v>412.99999999999989</v>
      </c>
      <c r="AJ113" s="14">
        <f>AI113*VLOOKUP('Données projet'!$B$10,Paramètres!$A$1:$I$89,3,0)*VLOOKUP('Données projet'!$B$10,Paramètres!$A$1:$I$89,5,0)</f>
        <v>373.68239999999986</v>
      </c>
      <c r="AK113" s="14">
        <f t="shared" si="89"/>
        <v>86.420226600704183</v>
      </c>
      <c r="AL113" s="22">
        <f t="shared" si="58"/>
        <v>801.34540799622619</v>
      </c>
      <c r="AM113" s="60">
        <f t="shared" si="59"/>
        <v>1094.6787413295594</v>
      </c>
      <c r="AN113" s="60">
        <f ca="1">AVERAGE(OFFSET($AM$3,0,0,'Données projet'!$E$10+1,1))-AVERAGE(OFFSET($H$3,0,0,'Données projet'!$E$10+1,1))</f>
        <v>404.14319681142746</v>
      </c>
      <c r="AO113" s="60">
        <f t="shared" si="90"/>
        <v>203.5274665601915</v>
      </c>
      <c r="AP113" s="16">
        <f>IF(ISNA(VLOOKUP(A113,'Données projet'!$A$61:$I$81,3,0)),0,VLOOKUP(A113,'Données projet'!$A$61:$I$81,3,0))</f>
        <v>8</v>
      </c>
      <c r="AQ113" s="16">
        <f>IF(ISNA(VLOOKUP(A113,'Données projet'!$A$61:$I$81,4,0)),0,VLOOKUP(A113,'Données projet'!$A$61:$I$81,4,0))</f>
        <v>106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>
        <f>VLOOKUP(A113,'Données projet'!$A$87:$I$107,2,0)</f>
        <v>305</v>
      </c>
      <c r="BB113" s="13">
        <f>VLOOKUP(A113,'Données projet'!$A$87:$I$107,9,0)</f>
        <v>4.4000000000000004</v>
      </c>
      <c r="BC113" s="13">
        <f t="array" ref="BC113">INDEX(BB:BB,MIN(IF(ISNUMBER(BB113:BB309),ROW(BB113:BB309),"")))</f>
        <v>4.4000000000000004</v>
      </c>
      <c r="BD113" s="13">
        <f>IF('Données projet'!$A$88&gt;35,BD112+BC113-BL112,IF(A113&lt;'Données projet'!$A$88,$BA$205^A113,IF(A113='Données projet'!$A$88,'Données projet'!$B$88,BD112+BC113-BL112)))</f>
        <v>304.9999999999996</v>
      </c>
      <c r="BE113" s="14">
        <f>BD113*VLOOKUP('Données projet'!$B$11,Paramètres!$A$1:$I$89,3,0)*VLOOKUP('Données projet'!$B$11,Paramètres!$A$1:$I$89,5,0)</f>
        <v>309.26999999999958</v>
      </c>
      <c r="BF113" s="14">
        <f t="shared" si="91"/>
        <v>73.116356204710968</v>
      </c>
      <c r="BG113" s="22">
        <f t="shared" si="61"/>
        <v>665.98957038987078</v>
      </c>
      <c r="BH113" s="60">
        <f t="shared" si="62"/>
        <v>959.32290372320404</v>
      </c>
      <c r="BI113" s="60">
        <f ca="1">AVERAGE(OFFSET($BH$3,0,0,'Données projet'!$E$11+1,1))-AVERAGE(OFFSET($H$3,0,0,'Données projet'!$E$11+1,1))</f>
        <v>350.3652766444938</v>
      </c>
      <c r="BJ113" s="60">
        <f t="shared" si="92"/>
        <v>197.04549436738586</v>
      </c>
      <c r="BK113" s="16">
        <f>IF(ISNA(VLOOKUP(A113,'Données projet'!$A$87:$I$107,3,0)),0,VLOOKUP(A113,'Données projet'!$A$87:$I$107,3,0))</f>
        <v>9</v>
      </c>
      <c r="BL113" s="16">
        <f>IF(ISNA(VLOOKUP(A113,'Données projet'!$A$87:$I$107,4,0)),0,VLOOKUP(A113,'Données projet'!$A$87:$I$107,4,0))</f>
        <v>39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>
        <f>VLOOKUP(A113,'Données projet'!$A$113:$I$133,2,0)</f>
        <v>305</v>
      </c>
      <c r="BW113" s="13">
        <f>VLOOKUP(A113,'Données projet'!$A$113:$I$133,9,0)</f>
        <v>4.4000000000000004</v>
      </c>
      <c r="BX113" s="13">
        <f t="array" ref="BX113">INDEX(BW:BW,MIN(IF(ISNUMBER(BW113:BW309),ROW(BW113:BW309),"")))</f>
        <v>4.4000000000000004</v>
      </c>
      <c r="BY113" s="13">
        <f>IF('Données projet'!$A$114&gt;35,BY112+BX113-CG112,IF(A113&lt;'Données projet'!$A$114,$BV$205^A113,IF(A113='Données projet'!$A$114,'Données projet'!$B$114,BY112+BX113-CG112)))</f>
        <v>304.9999999999996</v>
      </c>
      <c r="BZ113" s="14">
        <f>BY113*VLOOKUP('Données projet'!$B$12,Paramètres!$A$1:$I$89,3,0)*VLOOKUP('Données projet'!$B$12,Paramètres!$A$1:$I$89,5,0)</f>
        <v>294.99599999999958</v>
      </c>
      <c r="CA113" s="14">
        <f t="shared" si="93"/>
        <v>70.126408118585317</v>
      </c>
      <c r="CB113" s="22">
        <f t="shared" si="64"/>
        <v>635.92152747320199</v>
      </c>
      <c r="CC113" s="60">
        <f t="shared" si="65"/>
        <v>929.25486080653536</v>
      </c>
      <c r="CD113" s="60">
        <f ca="1">AVERAGE(OFFSET($CC$3,0,0,'Données projet'!$E$12+1,1))-AVERAGE(OFFSET($H$3,0,0,'Données projet'!$E$12+1,1))</f>
        <v>330.39429528665841</v>
      </c>
      <c r="CE113" s="60">
        <f t="shared" si="94"/>
        <v>186.45728006007261</v>
      </c>
      <c r="CF113" s="16">
        <f>IF(ISNA(VLOOKUP(A113,'Données projet'!$A$113:$I$133,3,0)),0,VLOOKUP(A113,'Données projet'!$A$113:$I$133,3,0))</f>
        <v>9</v>
      </c>
      <c r="CG113" s="16">
        <f>IF(ISNA(VLOOKUP(A113,'Données projet'!$A$113:$I$133,4,0)),0,VLOOKUP(A113,'Données projet'!$A$113:$I$133,4,0))</f>
        <v>39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305</v>
      </c>
      <c r="CR113" s="13">
        <f>VLOOKUP(A113,'Données projet'!$A$139:$I$159,9,0)</f>
        <v>4.4000000000000004</v>
      </c>
      <c r="CS113" s="13">
        <f t="array" ref="CS113">INDEX(CR:CR,MIN(IF(ISNUMBER(CR113:CR309),ROW(CR113:CR309),"")))</f>
        <v>4.4000000000000004</v>
      </c>
      <c r="CT113" s="13">
        <f>IF('Données projet'!$A$140&gt;35,CT112+CS113-DB112,IF(A113&lt;'Données projet'!$A$140,$CQ$205^A113,IF(A113='Données projet'!$A$140,'Données projet'!$B$140,CT112+CS113-DB112)))</f>
        <v>304.9999999999996</v>
      </c>
      <c r="CU113" s="18">
        <f>CT113*VLOOKUP('Données projet'!$B$13,Paramètres!$A$1:$I$89,3,0)*VLOOKUP('Données projet'!$B$13,Paramètres!$A$1:$I$89,5,0)</f>
        <v>328.30199999999957</v>
      </c>
      <c r="CV113" s="14">
        <f t="shared" si="95"/>
        <v>77.078162824242781</v>
      </c>
      <c r="CW113" s="22">
        <f t="shared" si="67"/>
        <v>706.03711691888873</v>
      </c>
      <c r="CX113" s="60">
        <f t="shared" si="68"/>
        <v>999.3704502522221</v>
      </c>
      <c r="CY113" s="60">
        <f ca="1">AVERAGE(OFFSET($CX$3,0,0,'Données projet'!$E$13+1,1))-AVERAGE(OFFSET($H$3,0,0,'Données projet'!$E$13+1,1))</f>
        <v>376.96388721258387</v>
      </c>
      <c r="CZ113" s="60">
        <f t="shared" si="96"/>
        <v>211.14628470344377</v>
      </c>
      <c r="DA113" s="16">
        <f>IF(ISNA(VLOOKUP(A113,'Données projet'!$A$139:$I$159,3,0)),0,VLOOKUP(A113,'Données projet'!$A$139:$I$159,3,0))</f>
        <v>9</v>
      </c>
      <c r="DB113" s="16">
        <f>IF(ISNA(VLOOKUP(A113,'Données projet'!$A$139:$I$159,4,0)),0,VLOOKUP(A113,'Données projet'!$A$139:$I$159,4,0))</f>
        <v>39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>
        <f>VLOOKUP(A113,'Données projet'!$A$165:$I$185,2,0)</f>
        <v>317.94871794871796</v>
      </c>
      <c r="DM113" s="13">
        <f>VLOOKUP(A113,'Données projet'!$A$165:$I$185,9,0)</f>
        <v>3.333333333333337</v>
      </c>
      <c r="DN113" s="13">
        <f t="array" ref="DN113">INDEX(DM:DM,MIN(IF(ISNUMBER(DM113:DM309),ROW(DM113:DM309),"")))</f>
        <v>3.333333333333337</v>
      </c>
      <c r="DO113" s="13">
        <f>IF('Données projet'!$A$166&gt;35,DO112+DN113-DW112,IF(A113&lt;'Données projet'!$A$166,$DL$205^A113,IF(A113='Données projet'!$A$166,'Données projet'!$B$166,DO112+DN113-DW112)))</f>
        <v>317.94871794871813</v>
      </c>
      <c r="DP113" s="18">
        <f>DO113*VLOOKUP('Données projet'!$B$14,Paramètres!$A$1:$I$89,3,0)*VLOOKUP('Données projet'!$B$14,Paramètres!$A$1:$I$89,5,0)</f>
        <v>213.28000000000011</v>
      </c>
      <c r="DQ113" s="14">
        <f t="shared" si="97"/>
        <v>52.651700420383257</v>
      </c>
      <c r="DR113" s="22">
        <f t="shared" si="70"/>
        <v>463.16437823216773</v>
      </c>
      <c r="DS113" s="60">
        <f t="shared" si="71"/>
        <v>756.49771156550105</v>
      </c>
      <c r="DT113" s="60">
        <f ca="1">AVERAGE(OFFSET($DS$3,0,0,'Données projet'!$E$14+1,1))-AVERAGE(OFFSET($H$3,0,0,'Données projet'!$E$14+1,1))</f>
        <v>212.33913923444732</v>
      </c>
      <c r="DU113" s="60">
        <f t="shared" si="98"/>
        <v>183.51194426094372</v>
      </c>
      <c r="DV113" s="16">
        <f>IF(ISNA(VLOOKUP(A113,'Données projet'!$A$165:$I$185,3,0)),0,VLOOKUP(A113,'Données projet'!$A$165:$I$185,3,0))</f>
        <v>10</v>
      </c>
      <c r="DW113" s="16">
        <f>IF(ISNA(VLOOKUP(A113,'Données projet'!$A$165:$I$185,4,0)),0,VLOOKUP(A113,'Données projet'!$A$165:$I$185,4,0))</f>
        <v>317.94871794871796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0" t="e">
        <f t="shared" si="74"/>
        <v>#N/A</v>
      </c>
      <c r="EO113" s="60" t="e">
        <f ca="1">AVERAGE(OFFSET($EN$3,0,0,'Données projet'!$E$15+1,1))-AVERAGE(OFFSET($H$3,0,0,'Données projet'!$E$15+1,1))</f>
        <v>#N/A</v>
      </c>
      <c r="EP113" s="60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0" t="e">
        <f t="shared" si="77"/>
        <v>#N/A</v>
      </c>
      <c r="FJ113" s="60" t="e">
        <f ca="1">AVERAGE(OFFSET($FI$3,0,0,'Données projet'!$E$16+1,1))-AVERAGE(OFFSET($H$3,0,0,'Données projet'!$E$16+1,1))</f>
        <v>#N/A</v>
      </c>
      <c r="FK113" s="60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0" t="e">
        <f t="shared" si="80"/>
        <v>#N/A</v>
      </c>
      <c r="GE113" s="60" t="e">
        <f ca="1">AVERAGE(OFFSET($GD$3,0,0,'Données projet'!$E$17+1,1))-AVERAGE(OFFSET($H$3,0,0,'Données projet'!$E$17+1,1))</f>
        <v>#N/A</v>
      </c>
      <c r="GF113" s="60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0" t="e">
        <f t="shared" si="83"/>
        <v>#N/A</v>
      </c>
      <c r="GZ113" s="60" t="e">
        <f ca="1">AVERAGE(OFFSET($GY$3,0,0,'Données projet'!$E$18+1,1))-AVERAGE(OFFSET($H$3,0,0,'Données projet'!$E$18+1,1))</f>
        <v>#N/A</v>
      </c>
      <c r="HA113" s="60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5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2">
        <f t="shared" si="86"/>
        <v>17.32139509913188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8">
        <f t="shared" si="56"/>
        <v>429.05687979765457</v>
      </c>
      <c r="I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3.4106051316484809E-13</v>
      </c>
      <c r="O114" s="14">
        <f>N114*VLOOKUP('Données projet'!$B$9,Paramètres!$A$1:$I$89,3,0)*VLOOKUP('Données projet'!$B$9,Paramètres!$A$1:$I$89,5,0)</f>
        <v>1.5961632016114892E-13</v>
      </c>
      <c r="P114" s="14">
        <f t="shared" si="87"/>
        <v>2.2708641912150958E-12</v>
      </c>
      <c r="Q114" s="22">
        <f t="shared" si="107"/>
        <v>4.2330868906469593E-12</v>
      </c>
      <c r="R114" s="60">
        <f t="shared" si="55"/>
        <v>293.33333333333752</v>
      </c>
      <c r="S114" s="60">
        <f ca="1">AVERAGE(OFFSET($R$3,0,0,'Données projet'!$E$9+1,1))-AVERAGE(OFFSET($H$3,0,0,'Données projet'!$E$9+1,1))</f>
        <v>146.40889017442277</v>
      </c>
      <c r="T114" s="60">
        <f t="shared" si="88"/>
        <v>70.859031694091868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4.5</v>
      </c>
      <c r="AI114" s="14">
        <f>IF('Données projet'!$A$62&gt;35,AI113+AH114-AQ113,IF(A114&lt;'Données projet'!$A$62,$AF$205^A114,IF(A114='Données projet'!$A$62,'Données projet'!$B$62,AI113+AH114-AQ113)))</f>
        <v>311.49999999999989</v>
      </c>
      <c r="AJ114" s="14">
        <f>AI114*VLOOKUP('Données projet'!$B$10,Paramètres!$A$1:$I$89,3,0)*VLOOKUP('Données projet'!$B$10,Paramètres!$A$1:$I$89,5,0)</f>
        <v>281.84519999999992</v>
      </c>
      <c r="AK114" s="14">
        <f t="shared" si="89"/>
        <v>67.356803491560484</v>
      </c>
      <c r="AL114" s="22">
        <f t="shared" si="58"/>
        <v>608.19348941446765</v>
      </c>
      <c r="AM114" s="60">
        <f t="shared" si="59"/>
        <v>901.52682274780091</v>
      </c>
      <c r="AN114" s="60">
        <f ca="1">AVERAGE(OFFSET($AM$3,0,0,'Données projet'!$E$10+1,1))-AVERAGE(OFFSET($H$3,0,0,'Données projet'!$E$10+1,1))</f>
        <v>404.14319681142746</v>
      </c>
      <c r="AO114" s="60">
        <f t="shared" si="90"/>
        <v>203.5274665601915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3.7</v>
      </c>
      <c r="BD114" s="13">
        <f>IF('Données projet'!$A$88&gt;35,BD113+BC114-BL113,IF(A114&lt;'Données projet'!$A$88,$BA$205^A114,IF(A114='Données projet'!$A$88,'Données projet'!$B$88,BD113+BC114-BL113)))</f>
        <v>269.69999999999959</v>
      </c>
      <c r="BE114" s="14">
        <f>BD114*VLOOKUP('Données projet'!$B$11,Paramètres!$A$1:$I$89,3,0)*VLOOKUP('Données projet'!$B$11,Paramètres!$A$1:$I$89,5,0)</f>
        <v>273.47579999999959</v>
      </c>
      <c r="BF114" s="14">
        <f t="shared" si="91"/>
        <v>65.586371730977532</v>
      </c>
      <c r="BG114" s="22">
        <f t="shared" si="61"/>
        <v>590.53328243145177</v>
      </c>
      <c r="BH114" s="60">
        <f t="shared" si="62"/>
        <v>883.86661576478514</v>
      </c>
      <c r="BI114" s="60">
        <f ca="1">AVERAGE(OFFSET($BH$3,0,0,'Données projet'!$E$11+1,1))-AVERAGE(OFFSET($H$3,0,0,'Données projet'!$E$11+1,1))</f>
        <v>350.3652766444938</v>
      </c>
      <c r="BJ114" s="60">
        <f t="shared" si="92"/>
        <v>197.04549436738586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3.7</v>
      </c>
      <c r="BY114" s="13">
        <f>IF('Données projet'!$A$114&gt;35,BY113+BX114-CG113,IF(A114&lt;'Données projet'!$A$114,$BV$205^A114,IF(A114='Données projet'!$A$114,'Données projet'!$B$114,BY113+BX114-CG113)))</f>
        <v>269.69999999999959</v>
      </c>
      <c r="BZ114" s="14">
        <f>BY114*VLOOKUP('Données projet'!$B$12,Paramètres!$A$1:$I$89,3,0)*VLOOKUP('Données projet'!$B$12,Paramètres!$A$1:$I$89,5,0)</f>
        <v>260.85383999999959</v>
      </c>
      <c r="CA114" s="14">
        <f t="shared" si="93"/>
        <v>62.904347395903649</v>
      </c>
      <c r="CB114" s="22">
        <f t="shared" si="64"/>
        <v>563.87884304786473</v>
      </c>
      <c r="CC114" s="60">
        <f t="shared" si="65"/>
        <v>857.21217638119811</v>
      </c>
      <c r="CD114" s="60">
        <f ca="1">AVERAGE(OFFSET($CC$3,0,0,'Données projet'!$E$12+1,1))-AVERAGE(OFFSET($H$3,0,0,'Données projet'!$E$12+1,1))</f>
        <v>330.39429528665841</v>
      </c>
      <c r="CE114" s="60">
        <f t="shared" si="94"/>
        <v>186.45728006007261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3.7</v>
      </c>
      <c r="CT114" s="13">
        <f>IF('Données projet'!$A$140&gt;35,CT113+CS114-DB113,IF(A114&lt;'Données projet'!$A$140,$CQ$205^A114,IF(A114='Données projet'!$A$140,'Données projet'!$B$140,CT113+CS114-DB113)))</f>
        <v>269.69999999999959</v>
      </c>
      <c r="CU114" s="18">
        <f>CT114*VLOOKUP('Données projet'!$B$13,Paramètres!$A$1:$I$89,3,0)*VLOOKUP('Données projet'!$B$13,Paramètres!$A$1:$I$89,5,0)</f>
        <v>290.30507999999958</v>
      </c>
      <c r="CV114" s="14">
        <f t="shared" si="95"/>
        <v>69.140166465323375</v>
      </c>
      <c r="CW114" s="22">
        <f t="shared" si="67"/>
        <v>626.03380426043748</v>
      </c>
      <c r="CX114" s="60">
        <f t="shared" si="68"/>
        <v>919.36713759377085</v>
      </c>
      <c r="CY114" s="60">
        <f ca="1">AVERAGE(OFFSET($CX$3,0,0,'Données projet'!$E$13+1,1))-AVERAGE(OFFSET($H$3,0,0,'Données projet'!$E$13+1,1))</f>
        <v>376.96388721258387</v>
      </c>
      <c r="CZ114" s="60">
        <f t="shared" si="96"/>
        <v>211.14628470344377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1.7053025658242404E-13</v>
      </c>
      <c r="DP114" s="18">
        <f>DO114*VLOOKUP('Données projet'!$B$14,Paramètres!$A$1:$I$89,3,0)*VLOOKUP('Données projet'!$B$14,Paramètres!$A$1:$I$89,5,0)</f>
        <v>1.1439169611549005E-13</v>
      </c>
      <c r="DQ114" s="14">
        <f t="shared" si="97"/>
        <v>1.6918016515029816E-12</v>
      </c>
      <c r="DR114" s="22">
        <f t="shared" si="70"/>
        <v>3.1457867471021712E-12</v>
      </c>
      <c r="DS114" s="60">
        <f t="shared" si="71"/>
        <v>293.33333333333644</v>
      </c>
      <c r="DT114" s="60">
        <f ca="1">AVERAGE(OFFSET($DS$3,0,0,'Données projet'!$E$14+1,1))-AVERAGE(OFFSET($H$3,0,0,'Données projet'!$E$14+1,1))</f>
        <v>212.33913923444732</v>
      </c>
      <c r="DU114" s="60">
        <f t="shared" si="98"/>
        <v>183.51194426094372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0" t="e">
        <f t="shared" si="74"/>
        <v>#N/A</v>
      </c>
      <c r="EO114" s="60" t="e">
        <f ca="1">AVERAGE(OFFSET($EN$3,0,0,'Données projet'!$E$15+1,1))-AVERAGE(OFFSET($H$3,0,0,'Données projet'!$E$15+1,1))</f>
        <v>#N/A</v>
      </c>
      <c r="EP114" s="60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0" t="e">
        <f t="shared" si="77"/>
        <v>#N/A</v>
      </c>
      <c r="FJ114" s="60" t="e">
        <f ca="1">AVERAGE(OFFSET($FI$3,0,0,'Données projet'!$E$16+1,1))-AVERAGE(OFFSET($H$3,0,0,'Données projet'!$E$16+1,1))</f>
        <v>#N/A</v>
      </c>
      <c r="FK114" s="60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0" t="e">
        <f t="shared" si="80"/>
        <v>#N/A</v>
      </c>
      <c r="GE114" s="60" t="e">
        <f ca="1">AVERAGE(OFFSET($GD$3,0,0,'Données projet'!$E$17+1,1))-AVERAGE(OFFSET($H$3,0,0,'Données projet'!$E$17+1,1))</f>
        <v>#N/A</v>
      </c>
      <c r="GF114" s="60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0" t="e">
        <f t="shared" si="83"/>
        <v>#N/A</v>
      </c>
      <c r="GZ114" s="60" t="e">
        <f ca="1">AVERAGE(OFFSET($GY$3,0,0,'Données projet'!$E$18+1,1))-AVERAGE(OFFSET($H$3,0,0,'Données projet'!$E$18+1,1))</f>
        <v>#N/A</v>
      </c>
      <c r="HA114" s="60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5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2">
        <f t="shared" si="86"/>
        <v>17.459207591071241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8">
        <f t="shared" si="56"/>
        <v>430.24785322111563</v>
      </c>
      <c r="I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3.4106051316484809E-13</v>
      </c>
      <c r="O115" s="14">
        <f>N115*VLOOKUP('Données projet'!$B$9,Paramètres!$A$1:$I$89,3,0)*VLOOKUP('Données projet'!$B$9,Paramètres!$A$1:$I$89,5,0)</f>
        <v>1.5961632016114892E-13</v>
      </c>
      <c r="P115" s="14">
        <f t="shared" si="87"/>
        <v>2.2708641912150958E-12</v>
      </c>
      <c r="Q115" s="22">
        <f t="shared" si="107"/>
        <v>4.2330868906469593E-12</v>
      </c>
      <c r="R115" s="60">
        <f t="shared" si="55"/>
        <v>293.33333333333752</v>
      </c>
      <c r="S115" s="60">
        <f ca="1">AVERAGE(OFFSET($R$3,0,0,'Données projet'!$E$9+1,1))-AVERAGE(OFFSET($H$3,0,0,'Données projet'!$E$9+1,1))</f>
        <v>146.40889017442277</v>
      </c>
      <c r="T115" s="60">
        <f t="shared" si="88"/>
        <v>70.859031694091868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4.5</v>
      </c>
      <c r="AI115" s="14">
        <f>IF('Données projet'!$A$62&gt;35,AI114+AH115-AQ114,IF(A115&lt;'Données projet'!$A$62,$AF$205^A115,IF(A115='Données projet'!$A$62,'Données projet'!$B$62,AI114+AH115-AQ114)))</f>
        <v>315.99999999999989</v>
      </c>
      <c r="AJ115" s="14">
        <f>AI115*VLOOKUP('Données projet'!$B$10,Paramètres!$A$1:$I$89,3,0)*VLOOKUP('Données projet'!$B$10,Paramètres!$A$1:$I$89,5,0)</f>
        <v>285.91679999999985</v>
      </c>
      <c r="AK115" s="14">
        <f t="shared" si="89"/>
        <v>68.215872977287475</v>
      </c>
      <c r="AL115" s="22">
        <f t="shared" si="58"/>
        <v>616.78107210210862</v>
      </c>
      <c r="AM115" s="60">
        <f t="shared" si="59"/>
        <v>910.11440543544199</v>
      </c>
      <c r="AN115" s="60">
        <f ca="1">AVERAGE(OFFSET($AM$3,0,0,'Données projet'!$E$10+1,1))-AVERAGE(OFFSET($H$3,0,0,'Données projet'!$E$10+1,1))</f>
        <v>404.14319681142746</v>
      </c>
      <c r="AO115" s="60">
        <f t="shared" si="90"/>
        <v>203.5274665601915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3.7</v>
      </c>
      <c r="BD115" s="13">
        <f>IF('Données projet'!$A$88&gt;35,BD114+BC115-BL114,IF(A115&lt;'Données projet'!$A$88,$BA$205^A115,IF(A115='Données projet'!$A$88,'Données projet'!$B$88,BD114+BC115-BL114)))</f>
        <v>273.39999999999958</v>
      </c>
      <c r="BE115" s="14">
        <f>BD115*VLOOKUP('Données projet'!$B$11,Paramètres!$A$1:$I$89,3,0)*VLOOKUP('Données projet'!$B$11,Paramètres!$A$1:$I$89,5,0)</f>
        <v>277.2275999999996</v>
      </c>
      <c r="BF115" s="14">
        <f t="shared" si="91"/>
        <v>66.380782187895392</v>
      </c>
      <c r="BG115" s="22">
        <f t="shared" si="61"/>
        <v>598.45126564391705</v>
      </c>
      <c r="BH115" s="60">
        <f t="shared" si="62"/>
        <v>891.78459897725043</v>
      </c>
      <c r="BI115" s="60">
        <f ca="1">AVERAGE(OFFSET($BH$3,0,0,'Données projet'!$E$11+1,1))-AVERAGE(OFFSET($H$3,0,0,'Données projet'!$E$11+1,1))</f>
        <v>350.3652766444938</v>
      </c>
      <c r="BJ115" s="60">
        <f t="shared" si="92"/>
        <v>197.04549436738586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3.7</v>
      </c>
      <c r="BY115" s="13">
        <f>IF('Données projet'!$A$114&gt;35,BY114+BX115-CG114,IF(A115&lt;'Données projet'!$A$114,$BV$205^A115,IF(A115='Données projet'!$A$114,'Données projet'!$B$114,BY114+BX115-CG114)))</f>
        <v>273.39999999999958</v>
      </c>
      <c r="BZ115" s="14">
        <f>BY115*VLOOKUP('Données projet'!$B$12,Paramètres!$A$1:$I$89,3,0)*VLOOKUP('Données projet'!$B$12,Paramètres!$A$1:$I$89,5,0)</f>
        <v>264.4324799999996</v>
      </c>
      <c r="CA115" s="14">
        <f t="shared" si="93"/>
        <v>63.666272015882292</v>
      </c>
      <c r="CB115" s="22">
        <f t="shared" si="64"/>
        <v>571.43865976099426</v>
      </c>
      <c r="CC115" s="60">
        <f t="shared" si="65"/>
        <v>864.77199309432763</v>
      </c>
      <c r="CD115" s="60">
        <f ca="1">AVERAGE(OFFSET($CC$3,0,0,'Données projet'!$E$12+1,1))-AVERAGE(OFFSET($H$3,0,0,'Données projet'!$E$12+1,1))</f>
        <v>330.39429528665841</v>
      </c>
      <c r="CE115" s="60">
        <f t="shared" si="94"/>
        <v>186.45728006007261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3.7</v>
      </c>
      <c r="CT115" s="13">
        <f>IF('Données projet'!$A$140&gt;35,CT114+CS115-DB114,IF(A115&lt;'Données projet'!$A$140,$CQ$205^A115,IF(A115='Données projet'!$A$140,'Données projet'!$B$140,CT114+CS115-DB114)))</f>
        <v>273.39999999999958</v>
      </c>
      <c r="CU115" s="18">
        <f>CT115*VLOOKUP('Données projet'!$B$13,Paramètres!$A$1:$I$89,3,0)*VLOOKUP('Données projet'!$B$13,Paramètres!$A$1:$I$89,5,0)</f>
        <v>294.28775999999954</v>
      </c>
      <c r="CV115" s="14">
        <f t="shared" si="95"/>
        <v>69.977622018717668</v>
      </c>
      <c r="CW115" s="22">
        <f t="shared" si="67"/>
        <v>634.42887368259915</v>
      </c>
      <c r="CX115" s="60">
        <f t="shared" si="68"/>
        <v>927.76220701593252</v>
      </c>
      <c r="CY115" s="60">
        <f ca="1">AVERAGE(OFFSET($CX$3,0,0,'Données projet'!$E$13+1,1))-AVERAGE(OFFSET($H$3,0,0,'Données projet'!$E$13+1,1))</f>
        <v>376.96388721258387</v>
      </c>
      <c r="CZ115" s="60">
        <f t="shared" si="96"/>
        <v>211.14628470344377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1.7053025658242404E-13</v>
      </c>
      <c r="DP115" s="18">
        <f>DO115*VLOOKUP('Données projet'!$B$14,Paramètres!$A$1:$I$89,3,0)*VLOOKUP('Données projet'!$B$14,Paramètres!$A$1:$I$89,5,0)</f>
        <v>1.1439169611549005E-13</v>
      </c>
      <c r="DQ115" s="14">
        <f t="shared" si="97"/>
        <v>1.6918016515029816E-12</v>
      </c>
      <c r="DR115" s="22">
        <f t="shared" si="70"/>
        <v>3.1457867471021712E-12</v>
      </c>
      <c r="DS115" s="60">
        <f t="shared" si="71"/>
        <v>293.33333333333644</v>
      </c>
      <c r="DT115" s="60">
        <f ca="1">AVERAGE(OFFSET($DS$3,0,0,'Données projet'!$E$14+1,1))-AVERAGE(OFFSET($H$3,0,0,'Données projet'!$E$14+1,1))</f>
        <v>212.33913923444732</v>
      </c>
      <c r="DU115" s="60">
        <f t="shared" si="98"/>
        <v>183.51194426094372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0" t="e">
        <f t="shared" si="74"/>
        <v>#N/A</v>
      </c>
      <c r="EO115" s="60" t="e">
        <f ca="1">AVERAGE(OFFSET($EN$3,0,0,'Données projet'!$E$15+1,1))-AVERAGE(OFFSET($H$3,0,0,'Données projet'!$E$15+1,1))</f>
        <v>#N/A</v>
      </c>
      <c r="EP115" s="60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0" t="e">
        <f t="shared" si="77"/>
        <v>#N/A</v>
      </c>
      <c r="FJ115" s="60" t="e">
        <f ca="1">AVERAGE(OFFSET($FI$3,0,0,'Données projet'!$E$16+1,1))-AVERAGE(OFFSET($H$3,0,0,'Données projet'!$E$16+1,1))</f>
        <v>#N/A</v>
      </c>
      <c r="FK115" s="60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0" t="e">
        <f t="shared" si="80"/>
        <v>#N/A</v>
      </c>
      <c r="GE115" s="60" t="e">
        <f ca="1">AVERAGE(OFFSET($GD$3,0,0,'Données projet'!$E$17+1,1))-AVERAGE(OFFSET($H$3,0,0,'Données projet'!$E$17+1,1))</f>
        <v>#N/A</v>
      </c>
      <c r="GF115" s="60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0" t="e">
        <f t="shared" si="83"/>
        <v>#N/A</v>
      </c>
      <c r="GZ115" s="60" t="e">
        <f ca="1">AVERAGE(OFFSET($GY$3,0,0,'Données projet'!$E$18+1,1))-AVERAGE(OFFSET($H$3,0,0,'Données projet'!$E$18+1,1))</f>
        <v>#N/A</v>
      </c>
      <c r="HA115" s="60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5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2">
        <f t="shared" si="86"/>
        <v>17.596876928845635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8">
        <f t="shared" si="56"/>
        <v>431.43857731773937</v>
      </c>
      <c r="I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3.4106051316484809E-13</v>
      </c>
      <c r="O116" s="14">
        <f>N116*VLOOKUP('Données projet'!$B$9,Paramètres!$A$1:$I$89,3,0)*VLOOKUP('Données projet'!$B$9,Paramètres!$A$1:$I$89,5,0)</f>
        <v>1.5961632016114892E-13</v>
      </c>
      <c r="P116" s="14">
        <f t="shared" si="87"/>
        <v>2.2708641912150958E-12</v>
      </c>
      <c r="Q116" s="22">
        <f t="shared" si="107"/>
        <v>4.2330868906469593E-12</v>
      </c>
      <c r="R116" s="60">
        <f t="shared" si="55"/>
        <v>293.33333333333752</v>
      </c>
      <c r="S116" s="60">
        <f ca="1">AVERAGE(OFFSET($R$3,0,0,'Données projet'!$E$9+1,1))-AVERAGE(OFFSET($H$3,0,0,'Données projet'!$E$9+1,1))</f>
        <v>146.40889017442277</v>
      </c>
      <c r="T116" s="60">
        <f t="shared" si="88"/>
        <v>70.859031694091868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4.5</v>
      </c>
      <c r="AI116" s="14">
        <f>IF('Données projet'!$A$62&gt;35,AI115+AH116-AQ115,IF(A116&lt;'Données projet'!$A$62,$AF$205^A116,IF(A116='Données projet'!$A$62,'Données projet'!$B$62,AI115+AH116-AQ115)))</f>
        <v>320.49999999999989</v>
      </c>
      <c r="AJ116" s="14">
        <f>AI116*VLOOKUP('Données projet'!$B$10,Paramètres!$A$1:$I$89,3,0)*VLOOKUP('Données projet'!$B$10,Paramètres!$A$1:$I$89,5,0)</f>
        <v>289.9883999999999</v>
      </c>
      <c r="AK116" s="14">
        <f t="shared" si="89"/>
        <v>69.073519602481525</v>
      </c>
      <c r="AL116" s="22">
        <f t="shared" si="58"/>
        <v>625.36617664098856</v>
      </c>
      <c r="AM116" s="60">
        <f t="shared" si="59"/>
        <v>918.69950997432193</v>
      </c>
      <c r="AN116" s="60">
        <f ca="1">AVERAGE(OFFSET($AM$3,0,0,'Données projet'!$E$10+1,1))-AVERAGE(OFFSET($H$3,0,0,'Données projet'!$E$10+1,1))</f>
        <v>404.14319681142746</v>
      </c>
      <c r="AO116" s="60">
        <f t="shared" si="90"/>
        <v>203.5274665601915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3.7</v>
      </c>
      <c r="BD116" s="13">
        <f>IF('Données projet'!$A$88&gt;35,BD115+BC116-BL115,IF(A116&lt;'Données projet'!$A$88,$BA$205^A116,IF(A116='Données projet'!$A$88,'Données projet'!$B$88,BD115+BC116-BL115)))</f>
        <v>277.09999999999957</v>
      </c>
      <c r="BE116" s="14">
        <f>BD116*VLOOKUP('Données projet'!$B$11,Paramètres!$A$1:$I$89,3,0)*VLOOKUP('Données projet'!$B$11,Paramètres!$A$1:$I$89,5,0)</f>
        <v>280.9793999999996</v>
      </c>
      <c r="BF116" s="14">
        <f t="shared" si="91"/>
        <v>67.173942175199358</v>
      </c>
      <c r="BG116" s="22">
        <f t="shared" si="61"/>
        <v>606.36707095513827</v>
      </c>
      <c r="BH116" s="60">
        <f t="shared" si="62"/>
        <v>899.70040428847165</v>
      </c>
      <c r="BI116" s="60">
        <f ca="1">AVERAGE(OFFSET($BH$3,0,0,'Données projet'!$E$11+1,1))-AVERAGE(OFFSET($H$3,0,0,'Données projet'!$E$11+1,1))</f>
        <v>350.3652766444938</v>
      </c>
      <c r="BJ116" s="60">
        <f t="shared" si="92"/>
        <v>197.04549436738586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3.7</v>
      </c>
      <c r="BY116" s="13">
        <f>IF('Données projet'!$A$114&gt;35,BY115+BX116-CG115,IF(A116&lt;'Données projet'!$A$114,$BV$205^A116,IF(A116='Données projet'!$A$114,'Données projet'!$B$114,BY115+BX116-CG115)))</f>
        <v>277.09999999999957</v>
      </c>
      <c r="BZ116" s="14">
        <f>BY116*VLOOKUP('Données projet'!$B$12,Paramètres!$A$1:$I$89,3,0)*VLOOKUP('Données projet'!$B$12,Paramètres!$A$1:$I$89,5,0)</f>
        <v>268.01111999999961</v>
      </c>
      <c r="CA116" s="14">
        <f t="shared" si="93"/>
        <v>64.426997301716796</v>
      </c>
      <c r="CB116" s="22">
        <f t="shared" si="64"/>
        <v>578.99638763382268</v>
      </c>
      <c r="CC116" s="60">
        <f t="shared" si="65"/>
        <v>872.32972096715594</v>
      </c>
      <c r="CD116" s="60">
        <f ca="1">AVERAGE(OFFSET($CC$3,0,0,'Données projet'!$E$12+1,1))-AVERAGE(OFFSET($H$3,0,0,'Données projet'!$E$12+1,1))</f>
        <v>330.39429528665841</v>
      </c>
      <c r="CE116" s="60">
        <f t="shared" si="94"/>
        <v>186.45728006007261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3.7</v>
      </c>
      <c r="CT116" s="13">
        <f>IF('Données projet'!$A$140&gt;35,CT115+CS116-DB115,IF(A116&lt;'Données projet'!$A$140,$CQ$205^A116,IF(A116='Données projet'!$A$140,'Données projet'!$B$140,CT115+CS116-DB115)))</f>
        <v>277.09999999999957</v>
      </c>
      <c r="CU116" s="18">
        <f>CT116*VLOOKUP('Données projet'!$B$13,Paramètres!$A$1:$I$89,3,0)*VLOOKUP('Données projet'!$B$13,Paramètres!$A$1:$I$89,5,0)</f>
        <v>298.27043999999955</v>
      </c>
      <c r="CV116" s="14">
        <f t="shared" si="95"/>
        <v>70.813759345855914</v>
      </c>
      <c r="CW116" s="22">
        <f t="shared" si="67"/>
        <v>642.82164719403158</v>
      </c>
      <c r="CX116" s="60">
        <f t="shared" si="68"/>
        <v>936.15498052736484</v>
      </c>
      <c r="CY116" s="60">
        <f ca="1">AVERAGE(OFFSET($CX$3,0,0,'Données projet'!$E$13+1,1))-AVERAGE(OFFSET($H$3,0,0,'Données projet'!$E$13+1,1))</f>
        <v>376.96388721258387</v>
      </c>
      <c r="CZ116" s="60">
        <f t="shared" si="96"/>
        <v>211.14628470344377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1.7053025658242404E-13</v>
      </c>
      <c r="DP116" s="18">
        <f>DO116*VLOOKUP('Données projet'!$B$14,Paramètres!$A$1:$I$89,3,0)*VLOOKUP('Données projet'!$B$14,Paramètres!$A$1:$I$89,5,0)</f>
        <v>1.1439169611549005E-13</v>
      </c>
      <c r="DQ116" s="14">
        <f t="shared" si="97"/>
        <v>1.6918016515029816E-12</v>
      </c>
      <c r="DR116" s="22">
        <f t="shared" si="70"/>
        <v>3.1457867471021712E-12</v>
      </c>
      <c r="DS116" s="60">
        <f t="shared" si="71"/>
        <v>293.33333333333644</v>
      </c>
      <c r="DT116" s="60">
        <f ca="1">AVERAGE(OFFSET($DS$3,0,0,'Données projet'!$E$14+1,1))-AVERAGE(OFFSET($H$3,0,0,'Données projet'!$E$14+1,1))</f>
        <v>212.33913923444732</v>
      </c>
      <c r="DU116" s="60">
        <f t="shared" si="98"/>
        <v>183.51194426094372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0" t="e">
        <f t="shared" si="74"/>
        <v>#N/A</v>
      </c>
      <c r="EO116" s="60" t="e">
        <f ca="1">AVERAGE(OFFSET($EN$3,0,0,'Données projet'!$E$15+1,1))-AVERAGE(OFFSET($H$3,0,0,'Données projet'!$E$15+1,1))</f>
        <v>#N/A</v>
      </c>
      <c r="EP116" s="60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0" t="e">
        <f t="shared" si="77"/>
        <v>#N/A</v>
      </c>
      <c r="FJ116" s="60" t="e">
        <f ca="1">AVERAGE(OFFSET($FI$3,0,0,'Données projet'!$E$16+1,1))-AVERAGE(OFFSET($H$3,0,0,'Données projet'!$E$16+1,1))</f>
        <v>#N/A</v>
      </c>
      <c r="FK116" s="60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0" t="e">
        <f t="shared" si="80"/>
        <v>#N/A</v>
      </c>
      <c r="GE116" s="60" t="e">
        <f ca="1">AVERAGE(OFFSET($GD$3,0,0,'Données projet'!$E$17+1,1))-AVERAGE(OFFSET($H$3,0,0,'Données projet'!$E$17+1,1))</f>
        <v>#N/A</v>
      </c>
      <c r="GF116" s="60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0" t="e">
        <f t="shared" si="83"/>
        <v>#N/A</v>
      </c>
      <c r="GZ116" s="60" t="e">
        <f ca="1">AVERAGE(OFFSET($GY$3,0,0,'Données projet'!$E$18+1,1))-AVERAGE(OFFSET($H$3,0,0,'Données projet'!$E$18+1,1))</f>
        <v>#N/A</v>
      </c>
      <c r="HA116" s="60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5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2">
        <f t="shared" si="86"/>
        <v>17.734404526076418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8">
        <f t="shared" si="56"/>
        <v>432.62905454958297</v>
      </c>
      <c r="I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3.4106051316484809E-13</v>
      </c>
      <c r="O117" s="14">
        <f>N117*VLOOKUP('Données projet'!$B$9,Paramètres!$A$1:$I$89,3,0)*VLOOKUP('Données projet'!$B$9,Paramètres!$A$1:$I$89,5,0)</f>
        <v>1.5961632016114892E-13</v>
      </c>
      <c r="P117" s="14">
        <f t="shared" si="87"/>
        <v>2.2708641912150958E-12</v>
      </c>
      <c r="Q117" s="22">
        <f t="shared" si="107"/>
        <v>4.2330868906469593E-12</v>
      </c>
      <c r="R117" s="60">
        <f t="shared" si="55"/>
        <v>293.33333333333752</v>
      </c>
      <c r="S117" s="60">
        <f ca="1">AVERAGE(OFFSET($R$3,0,0,'Données projet'!$E$9+1,1))-AVERAGE(OFFSET($H$3,0,0,'Données projet'!$E$9+1,1))</f>
        <v>146.40889017442277</v>
      </c>
      <c r="T117" s="60">
        <f t="shared" si="88"/>
        <v>70.859031694091868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4.5</v>
      </c>
      <c r="AI117" s="14">
        <f>IF('Données projet'!$A$62&gt;35,AI116+AH117-AQ116,IF(A117&lt;'Données projet'!$A$62,$AF$205^A117,IF(A117='Données projet'!$A$62,'Données projet'!$B$62,AI116+AH117-AQ116)))</f>
        <v>324.99999999999989</v>
      </c>
      <c r="AJ117" s="14">
        <f>AI117*VLOOKUP('Données projet'!$B$10,Paramètres!$A$1:$I$89,3,0)*VLOOKUP('Données projet'!$B$10,Paramètres!$A$1:$I$89,5,0)</f>
        <v>294.05999999999989</v>
      </c>
      <c r="AK117" s="14">
        <f t="shared" si="89"/>
        <v>69.929765653573313</v>
      </c>
      <c r="AL117" s="22">
        <f t="shared" si="58"/>
        <v>633.94884184663999</v>
      </c>
      <c r="AM117" s="60">
        <f t="shared" si="59"/>
        <v>927.28217517997336</v>
      </c>
      <c r="AN117" s="60">
        <f ca="1">AVERAGE(OFFSET($AM$3,0,0,'Données projet'!$E$10+1,1))-AVERAGE(OFFSET($H$3,0,0,'Données projet'!$E$10+1,1))</f>
        <v>404.14319681142746</v>
      </c>
      <c r="AO117" s="60">
        <f t="shared" si="90"/>
        <v>203.5274665601915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3.7</v>
      </c>
      <c r="BD117" s="13">
        <f>IF('Données projet'!$A$88&gt;35,BD116+BC117-BL116,IF(A117&lt;'Données projet'!$A$88,$BA$205^A117,IF(A117='Données projet'!$A$88,'Données projet'!$B$88,BD116+BC117-BL116)))</f>
        <v>280.79999999999956</v>
      </c>
      <c r="BE117" s="14">
        <f>BD117*VLOOKUP('Données projet'!$B$11,Paramètres!$A$1:$I$89,3,0)*VLOOKUP('Données projet'!$B$11,Paramètres!$A$1:$I$89,5,0)</f>
        <v>284.7311999999996</v>
      </c>
      <c r="BF117" s="14">
        <f t="shared" si="91"/>
        <v>67.965870320050882</v>
      </c>
      <c r="BG117" s="22">
        <f t="shared" si="61"/>
        <v>614.28073080742126</v>
      </c>
      <c r="BH117" s="60">
        <f t="shared" si="62"/>
        <v>907.61406414075464</v>
      </c>
      <c r="BI117" s="60">
        <f ca="1">AVERAGE(OFFSET($BH$3,0,0,'Données projet'!$E$11+1,1))-AVERAGE(OFFSET($H$3,0,0,'Données projet'!$E$11+1,1))</f>
        <v>350.3652766444938</v>
      </c>
      <c r="BJ117" s="60">
        <f t="shared" si="92"/>
        <v>197.04549436738586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3.7</v>
      </c>
      <c r="BY117" s="13">
        <f>IF('Données projet'!$A$114&gt;35,BY116+BX117-CG116,IF(A117&lt;'Données projet'!$A$114,$BV$205^A117,IF(A117='Données projet'!$A$114,'Données projet'!$B$114,BY116+BX117-CG116)))</f>
        <v>280.79999999999956</v>
      </c>
      <c r="BZ117" s="14">
        <f>BY117*VLOOKUP('Données projet'!$B$12,Paramètres!$A$1:$I$89,3,0)*VLOOKUP('Données projet'!$B$12,Paramètres!$A$1:$I$89,5,0)</f>
        <v>271.58975999999956</v>
      </c>
      <c r="CA117" s="14">
        <f t="shared" si="93"/>
        <v>65.186541118848012</v>
      </c>
      <c r="CB117" s="22">
        <f t="shared" si="64"/>
        <v>586.55205778199286</v>
      </c>
      <c r="CC117" s="60">
        <f t="shared" si="65"/>
        <v>879.88539111532623</v>
      </c>
      <c r="CD117" s="60">
        <f ca="1">AVERAGE(OFFSET($CC$3,0,0,'Données projet'!$E$12+1,1))-AVERAGE(OFFSET($H$3,0,0,'Données projet'!$E$12+1,1))</f>
        <v>330.39429528665841</v>
      </c>
      <c r="CE117" s="60">
        <f t="shared" si="94"/>
        <v>186.45728006007261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3.7</v>
      </c>
      <c r="CT117" s="13">
        <f>IF('Données projet'!$A$140&gt;35,CT116+CS117-DB116,IF(A117&lt;'Données projet'!$A$140,$CQ$205^A117,IF(A117='Données projet'!$A$140,'Données projet'!$B$140,CT116+CS117-DB116)))</f>
        <v>280.79999999999956</v>
      </c>
      <c r="CU117" s="18">
        <f>CT117*VLOOKUP('Données projet'!$B$13,Paramètres!$A$1:$I$89,3,0)*VLOOKUP('Données projet'!$B$13,Paramètres!$A$1:$I$89,5,0)</f>
        <v>302.25311999999951</v>
      </c>
      <c r="CV117" s="14">
        <f t="shared" si="95"/>
        <v>71.648598083211283</v>
      </c>
      <c r="CW117" s="22">
        <f t="shared" si="67"/>
        <v>651.21215899492529</v>
      </c>
      <c r="CX117" s="60">
        <f t="shared" si="68"/>
        <v>944.54549232825866</v>
      </c>
      <c r="CY117" s="60">
        <f ca="1">AVERAGE(OFFSET($CX$3,0,0,'Données projet'!$E$13+1,1))-AVERAGE(OFFSET($H$3,0,0,'Données projet'!$E$13+1,1))</f>
        <v>376.96388721258387</v>
      </c>
      <c r="CZ117" s="60">
        <f t="shared" si="96"/>
        <v>211.14628470344377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1.7053025658242404E-13</v>
      </c>
      <c r="DP117" s="18">
        <f>DO117*VLOOKUP('Données projet'!$B$14,Paramètres!$A$1:$I$89,3,0)*VLOOKUP('Données projet'!$B$14,Paramètres!$A$1:$I$89,5,0)</f>
        <v>1.1439169611549005E-13</v>
      </c>
      <c r="DQ117" s="14">
        <f t="shared" si="97"/>
        <v>1.6918016515029816E-12</v>
      </c>
      <c r="DR117" s="22">
        <f t="shared" si="70"/>
        <v>3.1457867471021712E-12</v>
      </c>
      <c r="DS117" s="60">
        <f t="shared" si="71"/>
        <v>293.33333333333644</v>
      </c>
      <c r="DT117" s="60">
        <f ca="1">AVERAGE(OFFSET($DS$3,0,0,'Données projet'!$E$14+1,1))-AVERAGE(OFFSET($H$3,0,0,'Données projet'!$E$14+1,1))</f>
        <v>212.33913923444732</v>
      </c>
      <c r="DU117" s="60">
        <f t="shared" si="98"/>
        <v>183.51194426094372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0" t="e">
        <f t="shared" si="74"/>
        <v>#N/A</v>
      </c>
      <c r="EO117" s="60" t="e">
        <f ca="1">AVERAGE(OFFSET($EN$3,0,0,'Données projet'!$E$15+1,1))-AVERAGE(OFFSET($H$3,0,0,'Données projet'!$E$15+1,1))</f>
        <v>#N/A</v>
      </c>
      <c r="EP117" s="60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0" t="e">
        <f t="shared" si="77"/>
        <v>#N/A</v>
      </c>
      <c r="FJ117" s="60" t="e">
        <f ca="1">AVERAGE(OFFSET($FI$3,0,0,'Données projet'!$E$16+1,1))-AVERAGE(OFFSET($H$3,0,0,'Données projet'!$E$16+1,1))</f>
        <v>#N/A</v>
      </c>
      <c r="FK117" s="60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0" t="e">
        <f t="shared" si="80"/>
        <v>#N/A</v>
      </c>
      <c r="GE117" s="60" t="e">
        <f ca="1">AVERAGE(OFFSET($GD$3,0,0,'Données projet'!$E$17+1,1))-AVERAGE(OFFSET($H$3,0,0,'Données projet'!$E$17+1,1))</f>
        <v>#N/A</v>
      </c>
      <c r="GF117" s="60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0" t="e">
        <f t="shared" si="83"/>
        <v>#N/A</v>
      </c>
      <c r="GZ117" s="60" t="e">
        <f ca="1">AVERAGE(OFFSET($GY$3,0,0,'Données projet'!$E$18+1,1))-AVERAGE(OFFSET($H$3,0,0,'Données projet'!$E$18+1,1))</f>
        <v>#N/A</v>
      </c>
      <c r="HA117" s="60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5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2">
        <f t="shared" si="86"/>
        <v>17.871791770153557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8">
        <f t="shared" si="56"/>
        <v>433.81928733301731</v>
      </c>
      <c r="I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3.4106051316484809E-13</v>
      </c>
      <c r="O118" s="14">
        <f>N118*VLOOKUP('Données projet'!$B$9,Paramètres!$A$1:$I$89,3,0)*VLOOKUP('Données projet'!$B$9,Paramètres!$A$1:$I$89,5,0)</f>
        <v>1.5961632016114892E-13</v>
      </c>
      <c r="P118" s="14">
        <f t="shared" si="87"/>
        <v>2.2708641912150958E-12</v>
      </c>
      <c r="Q118" s="22">
        <f t="shared" si="107"/>
        <v>4.2330868906469593E-12</v>
      </c>
      <c r="R118" s="60">
        <f t="shared" si="55"/>
        <v>293.33333333333752</v>
      </c>
      <c r="S118" s="60">
        <f ca="1">AVERAGE(OFFSET($R$3,0,0,'Données projet'!$E$9+1,1))-AVERAGE(OFFSET($H$3,0,0,'Données projet'!$E$9+1,1))</f>
        <v>146.40889017442277</v>
      </c>
      <c r="T118" s="60">
        <f t="shared" si="88"/>
        <v>70.859031694091868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4.5</v>
      </c>
      <c r="AI118" s="14">
        <f>IF('Données projet'!$A$62&gt;35,AI117+AH118-AQ117,IF(A118&lt;'Données projet'!$A$62,$AF$205^A118,IF(A118='Données projet'!$A$62,'Données projet'!$B$62,AI117+AH118-AQ117)))</f>
        <v>329.49999999999989</v>
      </c>
      <c r="AJ118" s="14">
        <f>AI118*VLOOKUP('Données projet'!$B$10,Paramètres!$A$1:$I$89,3,0)*VLOOKUP('Données projet'!$B$10,Paramètres!$A$1:$I$89,5,0)</f>
        <v>298.13159999999988</v>
      </c>
      <c r="AK118" s="14">
        <f t="shared" si="89"/>
        <v>70.784632764376028</v>
      </c>
      <c r="AL118" s="22">
        <f t="shared" si="58"/>
        <v>642.52910539795459</v>
      </c>
      <c r="AM118" s="60">
        <f t="shared" si="59"/>
        <v>935.86243873128797</v>
      </c>
      <c r="AN118" s="60">
        <f ca="1">AVERAGE(OFFSET($AM$3,0,0,'Données projet'!$E$10+1,1))-AVERAGE(OFFSET($H$3,0,0,'Données projet'!$E$10+1,1))</f>
        <v>404.14319681142746</v>
      </c>
      <c r="AO118" s="60">
        <f t="shared" si="90"/>
        <v>203.5274665601915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3.7</v>
      </c>
      <c r="BD118" s="13">
        <f>IF('Données projet'!$A$88&gt;35,BD117+BC118-BL117,IF(A118&lt;'Données projet'!$A$88,$BA$205^A118,IF(A118='Données projet'!$A$88,'Données projet'!$B$88,BD117+BC118-BL117)))</f>
        <v>284.49999999999955</v>
      </c>
      <c r="BE118" s="14">
        <f>BD118*VLOOKUP('Données projet'!$B$11,Paramètres!$A$1:$I$89,3,0)*VLOOKUP('Données projet'!$B$11,Paramètres!$A$1:$I$89,5,0)</f>
        <v>288.48299999999955</v>
      </c>
      <c r="BF118" s="14">
        <f t="shared" si="91"/>
        <v>68.756584730508635</v>
      </c>
      <c r="BG118" s="22">
        <f t="shared" si="61"/>
        <v>622.19227673896842</v>
      </c>
      <c r="BH118" s="60">
        <f t="shared" si="62"/>
        <v>915.52561007230179</v>
      </c>
      <c r="BI118" s="60">
        <f ca="1">AVERAGE(OFFSET($BH$3,0,0,'Données projet'!$E$11+1,1))-AVERAGE(OFFSET($H$3,0,0,'Données projet'!$E$11+1,1))</f>
        <v>350.3652766444938</v>
      </c>
      <c r="BJ118" s="60">
        <f t="shared" si="92"/>
        <v>197.04549436738586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3.7</v>
      </c>
      <c r="BY118" s="13">
        <f>IF('Données projet'!$A$114&gt;35,BY117+BX118-CG117,IF(A118&lt;'Données projet'!$A$114,$BV$205^A118,IF(A118='Données projet'!$A$114,'Données projet'!$B$114,BY117+BX118-CG117)))</f>
        <v>284.49999999999955</v>
      </c>
      <c r="BZ118" s="14">
        <f>BY118*VLOOKUP('Données projet'!$B$12,Paramètres!$A$1:$I$89,3,0)*VLOOKUP('Données projet'!$B$12,Paramètres!$A$1:$I$89,5,0)</f>
        <v>275.16839999999956</v>
      </c>
      <c r="CA118" s="14">
        <f t="shared" si="93"/>
        <v>65.944920834841554</v>
      </c>
      <c r="CB118" s="22">
        <f t="shared" si="64"/>
        <v>594.10570045401494</v>
      </c>
      <c r="CC118" s="60">
        <f t="shared" si="65"/>
        <v>887.43903378734831</v>
      </c>
      <c r="CD118" s="60">
        <f ca="1">AVERAGE(OFFSET($CC$3,0,0,'Données projet'!$E$12+1,1))-AVERAGE(OFFSET($H$3,0,0,'Données projet'!$E$12+1,1))</f>
        <v>330.39429528665841</v>
      </c>
      <c r="CE118" s="60">
        <f t="shared" si="94"/>
        <v>186.45728006007261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3.7</v>
      </c>
      <c r="CT118" s="13">
        <f>IF('Données projet'!$A$140&gt;35,CT117+CS118-DB117,IF(A118&lt;'Données projet'!$A$140,$CQ$205^A118,IF(A118='Données projet'!$A$140,'Données projet'!$B$140,CT117+CS118-DB117)))</f>
        <v>284.49999999999955</v>
      </c>
      <c r="CU118" s="18">
        <f>CT118*VLOOKUP('Données projet'!$B$13,Paramètres!$A$1:$I$89,3,0)*VLOOKUP('Données projet'!$B$13,Paramètres!$A$1:$I$89,5,0)</f>
        <v>306.23579999999947</v>
      </c>
      <c r="CV118" s="14">
        <f t="shared" si="95"/>
        <v>72.482157320026886</v>
      </c>
      <c r="CW118" s="22">
        <f t="shared" si="67"/>
        <v>659.6004423323792</v>
      </c>
      <c r="CX118" s="60">
        <f t="shared" si="68"/>
        <v>952.93377566571257</v>
      </c>
      <c r="CY118" s="60">
        <f ca="1">AVERAGE(OFFSET($CX$3,0,0,'Données projet'!$E$13+1,1))-AVERAGE(OFFSET($H$3,0,0,'Données projet'!$E$13+1,1))</f>
        <v>376.96388721258387</v>
      </c>
      <c r="CZ118" s="60">
        <f t="shared" si="96"/>
        <v>211.14628470344377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1.7053025658242404E-13</v>
      </c>
      <c r="DP118" s="18">
        <f>DO118*VLOOKUP('Données projet'!$B$14,Paramètres!$A$1:$I$89,3,0)*VLOOKUP('Données projet'!$B$14,Paramètres!$A$1:$I$89,5,0)</f>
        <v>1.1439169611549005E-13</v>
      </c>
      <c r="DQ118" s="14">
        <f t="shared" si="97"/>
        <v>1.6918016515029816E-12</v>
      </c>
      <c r="DR118" s="22">
        <f t="shared" si="70"/>
        <v>3.1457867471021712E-12</v>
      </c>
      <c r="DS118" s="60">
        <f t="shared" si="71"/>
        <v>293.33333333333644</v>
      </c>
      <c r="DT118" s="60">
        <f ca="1">AVERAGE(OFFSET($DS$3,0,0,'Données projet'!$E$14+1,1))-AVERAGE(OFFSET($H$3,0,0,'Données projet'!$E$14+1,1))</f>
        <v>212.33913923444732</v>
      </c>
      <c r="DU118" s="60">
        <f t="shared" si="98"/>
        <v>183.51194426094372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0" t="e">
        <f t="shared" si="74"/>
        <v>#N/A</v>
      </c>
      <c r="EO118" s="60" t="e">
        <f ca="1">AVERAGE(OFFSET($EN$3,0,0,'Données projet'!$E$15+1,1))-AVERAGE(OFFSET($H$3,0,0,'Données projet'!$E$15+1,1))</f>
        <v>#N/A</v>
      </c>
      <c r="EP118" s="60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0" t="e">
        <f t="shared" si="77"/>
        <v>#N/A</v>
      </c>
      <c r="FJ118" s="60" t="e">
        <f ca="1">AVERAGE(OFFSET($FI$3,0,0,'Données projet'!$E$16+1,1))-AVERAGE(OFFSET($H$3,0,0,'Données projet'!$E$16+1,1))</f>
        <v>#N/A</v>
      </c>
      <c r="FK118" s="60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0" t="e">
        <f t="shared" si="80"/>
        <v>#N/A</v>
      </c>
      <c r="GE118" s="60" t="e">
        <f ca="1">AVERAGE(OFFSET($GD$3,0,0,'Données projet'!$E$17+1,1))-AVERAGE(OFFSET($H$3,0,0,'Données projet'!$E$17+1,1))</f>
        <v>#N/A</v>
      </c>
      <c r="GF118" s="60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0" t="e">
        <f t="shared" si="83"/>
        <v>#N/A</v>
      </c>
      <c r="GZ118" s="60" t="e">
        <f ca="1">AVERAGE(OFFSET($GY$3,0,0,'Données projet'!$E$18+1,1))-AVERAGE(OFFSET($H$3,0,0,'Données projet'!$E$18+1,1))</f>
        <v>#N/A</v>
      </c>
      <c r="HA118" s="60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5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2">
        <f t="shared" si="86"/>
        <v>18.009040022946209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8">
        <f t="shared" si="56"/>
        <v>435.00927803996456</v>
      </c>
      <c r="I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3.4106051316484809E-13</v>
      </c>
      <c r="O119" s="14">
        <f>N119*VLOOKUP('Données projet'!$B$9,Paramètres!$A$1:$I$89,3,0)*VLOOKUP('Données projet'!$B$9,Paramètres!$A$1:$I$89,5,0)</f>
        <v>1.5961632016114892E-13</v>
      </c>
      <c r="P119" s="14">
        <f t="shared" si="87"/>
        <v>2.2708641912150958E-12</v>
      </c>
      <c r="Q119" s="22">
        <f t="shared" si="107"/>
        <v>4.2330868906469593E-12</v>
      </c>
      <c r="R119" s="60">
        <f t="shared" si="55"/>
        <v>293.33333333333752</v>
      </c>
      <c r="S119" s="60">
        <f ca="1">AVERAGE(OFFSET($R$3,0,0,'Données projet'!$E$9+1,1))-AVERAGE(OFFSET($H$3,0,0,'Données projet'!$E$9+1,1))</f>
        <v>146.40889017442277</v>
      </c>
      <c r="T119" s="60">
        <f t="shared" si="88"/>
        <v>70.859031694091868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4.5</v>
      </c>
      <c r="AI119" s="14">
        <f>IF('Données projet'!$A$62&gt;35,AI118+AH119-AQ118,IF(A119&lt;'Données projet'!$A$62,$AF$205^A119,IF(A119='Données projet'!$A$62,'Données projet'!$B$62,AI118+AH119-AQ118)))</f>
        <v>333.99999999999989</v>
      </c>
      <c r="AJ119" s="14">
        <f>AI119*VLOOKUP('Données projet'!$B$10,Paramètres!$A$1:$I$89,3,0)*VLOOKUP('Données projet'!$B$10,Paramètres!$A$1:$I$89,5,0)</f>
        <v>302.20319999999987</v>
      </c>
      <c r="AK119" s="14">
        <f t="shared" si="89"/>
        <v>71.638141943842228</v>
      </c>
      <c r="AL119" s="22">
        <f t="shared" si="58"/>
        <v>651.10700388552493</v>
      </c>
      <c r="AM119" s="60">
        <f t="shared" si="59"/>
        <v>944.4403372188583</v>
      </c>
      <c r="AN119" s="60">
        <f ca="1">AVERAGE(OFFSET($AM$3,0,0,'Données projet'!$E$10+1,1))-AVERAGE(OFFSET($H$3,0,0,'Données projet'!$E$10+1,1))</f>
        <v>404.14319681142746</v>
      </c>
      <c r="AO119" s="60">
        <f t="shared" si="90"/>
        <v>203.5274665601915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3.7</v>
      </c>
      <c r="BD119" s="13">
        <f>IF('Données projet'!$A$88&gt;35,BD118+BC119-BL118,IF(A119&lt;'Données projet'!$A$88,$BA$205^A119,IF(A119='Données projet'!$A$88,'Données projet'!$B$88,BD118+BC119-BL118)))</f>
        <v>288.19999999999953</v>
      </c>
      <c r="BE119" s="14">
        <f>BD119*VLOOKUP('Données projet'!$B$11,Paramètres!$A$1:$I$89,3,0)*VLOOKUP('Données projet'!$B$11,Paramètres!$A$1:$I$89,5,0)</f>
        <v>292.23479999999955</v>
      </c>
      <c r="BF119" s="14">
        <f t="shared" si="91"/>
        <v>69.546103016553644</v>
      </c>
      <c r="BG119" s="22">
        <f t="shared" si="61"/>
        <v>630.10173942049676</v>
      </c>
      <c r="BH119" s="60">
        <f t="shared" si="62"/>
        <v>923.43507275383013</v>
      </c>
      <c r="BI119" s="60">
        <f ca="1">AVERAGE(OFFSET($BH$3,0,0,'Données projet'!$E$11+1,1))-AVERAGE(OFFSET($H$3,0,0,'Données projet'!$E$11+1,1))</f>
        <v>350.3652766444938</v>
      </c>
      <c r="BJ119" s="60">
        <f t="shared" si="92"/>
        <v>197.04549436738586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3.7</v>
      </c>
      <c r="BY119" s="13">
        <f>IF('Données projet'!$A$114&gt;35,BY118+BX119-CG118,IF(A119&lt;'Données projet'!$A$114,$BV$205^A119,IF(A119='Données projet'!$A$114,'Données projet'!$B$114,BY118+BX119-CG118)))</f>
        <v>288.19999999999953</v>
      </c>
      <c r="BZ119" s="14">
        <f>BY119*VLOOKUP('Données projet'!$B$12,Paramètres!$A$1:$I$89,3,0)*VLOOKUP('Données projet'!$B$12,Paramètres!$A$1:$I$89,5,0)</f>
        <v>278.74703999999957</v>
      </c>
      <c r="CA119" s="14">
        <f t="shared" si="93"/>
        <v>66.702153339553135</v>
      </c>
      <c r="CB119" s="22">
        <f t="shared" si="64"/>
        <v>601.65734506638762</v>
      </c>
      <c r="CC119" s="60">
        <f t="shared" si="65"/>
        <v>894.99067839972099</v>
      </c>
      <c r="CD119" s="60">
        <f ca="1">AVERAGE(OFFSET($CC$3,0,0,'Données projet'!$E$12+1,1))-AVERAGE(OFFSET($H$3,0,0,'Données projet'!$E$12+1,1))</f>
        <v>330.39429528665841</v>
      </c>
      <c r="CE119" s="60">
        <f t="shared" si="94"/>
        <v>186.45728006007261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3.7</v>
      </c>
      <c r="CT119" s="13">
        <f>IF('Données projet'!$A$140&gt;35,CT118+CS119-DB118,IF(A119&lt;'Données projet'!$A$140,$CQ$205^A119,IF(A119='Données projet'!$A$140,'Données projet'!$B$140,CT118+CS119-DB118)))</f>
        <v>288.19999999999953</v>
      </c>
      <c r="CU119" s="18">
        <f>CT119*VLOOKUP('Données projet'!$B$13,Paramètres!$A$1:$I$89,3,0)*VLOOKUP('Données projet'!$B$13,Paramètres!$A$1:$I$89,5,0)</f>
        <v>310.21847999999949</v>
      </c>
      <c r="CV119" s="14">
        <f t="shared" si="95"/>
        <v>73.314455620479848</v>
      </c>
      <c r="CW119" s="22">
        <f t="shared" si="67"/>
        <v>667.98652953900148</v>
      </c>
      <c r="CX119" s="60">
        <f t="shared" si="68"/>
        <v>961.31986287233485</v>
      </c>
      <c r="CY119" s="60">
        <f ca="1">AVERAGE(OFFSET($CX$3,0,0,'Données projet'!$E$13+1,1))-AVERAGE(OFFSET($H$3,0,0,'Données projet'!$E$13+1,1))</f>
        <v>376.96388721258387</v>
      </c>
      <c r="CZ119" s="60">
        <f t="shared" si="96"/>
        <v>211.14628470344377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1.7053025658242404E-13</v>
      </c>
      <c r="DP119" s="18">
        <f>DO119*VLOOKUP('Données projet'!$B$14,Paramètres!$A$1:$I$89,3,0)*VLOOKUP('Données projet'!$B$14,Paramètres!$A$1:$I$89,5,0)</f>
        <v>1.1439169611549005E-13</v>
      </c>
      <c r="DQ119" s="14">
        <f t="shared" si="97"/>
        <v>1.6918016515029816E-12</v>
      </c>
      <c r="DR119" s="22">
        <f t="shared" si="70"/>
        <v>3.1457867471021712E-12</v>
      </c>
      <c r="DS119" s="60">
        <f t="shared" si="71"/>
        <v>293.33333333333644</v>
      </c>
      <c r="DT119" s="60">
        <f ca="1">AVERAGE(OFFSET($DS$3,0,0,'Données projet'!$E$14+1,1))-AVERAGE(OFFSET($H$3,0,0,'Données projet'!$E$14+1,1))</f>
        <v>212.33913923444732</v>
      </c>
      <c r="DU119" s="60">
        <f t="shared" si="98"/>
        <v>183.51194426094372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0" t="e">
        <f t="shared" si="74"/>
        <v>#N/A</v>
      </c>
      <c r="EO119" s="60" t="e">
        <f ca="1">AVERAGE(OFFSET($EN$3,0,0,'Données projet'!$E$15+1,1))-AVERAGE(OFFSET($H$3,0,0,'Données projet'!$E$15+1,1))</f>
        <v>#N/A</v>
      </c>
      <c r="EP119" s="60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0" t="e">
        <f t="shared" si="77"/>
        <v>#N/A</v>
      </c>
      <c r="FJ119" s="60" t="e">
        <f ca="1">AVERAGE(OFFSET($FI$3,0,0,'Données projet'!$E$16+1,1))-AVERAGE(OFFSET($H$3,0,0,'Données projet'!$E$16+1,1))</f>
        <v>#N/A</v>
      </c>
      <c r="FK119" s="60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0" t="e">
        <f t="shared" si="80"/>
        <v>#N/A</v>
      </c>
      <c r="GE119" s="60" t="e">
        <f ca="1">AVERAGE(OFFSET($GD$3,0,0,'Données projet'!$E$17+1,1))-AVERAGE(OFFSET($H$3,0,0,'Données projet'!$E$17+1,1))</f>
        <v>#N/A</v>
      </c>
      <c r="GF119" s="60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0" t="e">
        <f t="shared" si="83"/>
        <v>#N/A</v>
      </c>
      <c r="GZ119" s="60" t="e">
        <f ca="1">AVERAGE(OFFSET($GY$3,0,0,'Données projet'!$E$18+1,1))-AVERAGE(OFFSET($H$3,0,0,'Données projet'!$E$18+1,1))</f>
        <v>#N/A</v>
      </c>
      <c r="HA119" s="60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5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2">
        <f t="shared" si="86"/>
        <v>18.146150621487966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8">
        <f t="shared" si="56"/>
        <v>436.19902899909141</v>
      </c>
      <c r="I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3.4106051316484809E-13</v>
      </c>
      <c r="O120" s="14">
        <f>N120*VLOOKUP('Données projet'!$B$9,Paramètres!$A$1:$I$89,3,0)*VLOOKUP('Données projet'!$B$9,Paramètres!$A$1:$I$89,5,0)</f>
        <v>1.5961632016114892E-13</v>
      </c>
      <c r="P120" s="14">
        <f t="shared" si="87"/>
        <v>2.2708641912150958E-12</v>
      </c>
      <c r="Q120" s="22">
        <f t="shared" si="107"/>
        <v>4.2330868906469593E-12</v>
      </c>
      <c r="R120" s="60">
        <f t="shared" si="55"/>
        <v>293.33333333333752</v>
      </c>
      <c r="S120" s="60">
        <f ca="1">AVERAGE(OFFSET($R$3,0,0,'Données projet'!$E$9+1,1))-AVERAGE(OFFSET($H$3,0,0,'Données projet'!$E$9+1,1))</f>
        <v>146.40889017442277</v>
      </c>
      <c r="T120" s="60">
        <f t="shared" si="88"/>
        <v>70.859031694091868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4.5</v>
      </c>
      <c r="AI120" s="14">
        <f>IF('Données projet'!$A$62&gt;35,AI119+AH120-AQ119,IF(A120&lt;'Données projet'!$A$62,$AF$205^A120,IF(A120='Données projet'!$A$62,'Données projet'!$B$62,AI119+AH120-AQ119)))</f>
        <v>338.49999999999989</v>
      </c>
      <c r="AJ120" s="14">
        <f>AI120*VLOOKUP('Données projet'!$B$10,Paramètres!$A$1:$I$89,3,0)*VLOOKUP('Données projet'!$B$10,Paramètres!$A$1:$I$89,5,0)</f>
        <v>306.27479999999991</v>
      </c>
      <c r="AK120" s="14">
        <f t="shared" si="89"/>
        <v>72.490313602283052</v>
      </c>
      <c r="AL120" s="22">
        <f t="shared" si="58"/>
        <v>659.68257285730954</v>
      </c>
      <c r="AM120" s="60">
        <f t="shared" si="59"/>
        <v>953.01590619064291</v>
      </c>
      <c r="AN120" s="60">
        <f ca="1">AVERAGE(OFFSET($AM$3,0,0,'Données projet'!$E$10+1,1))-AVERAGE(OFFSET($H$3,0,0,'Données projet'!$E$10+1,1))</f>
        <v>404.14319681142746</v>
      </c>
      <c r="AO120" s="60">
        <f t="shared" si="90"/>
        <v>203.5274665601915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3.7</v>
      </c>
      <c r="BD120" s="13">
        <f>IF('Données projet'!$A$88&gt;35,BD119+BC120-BL119,IF(A120&lt;'Données projet'!$A$88,$BA$205^A120,IF(A120='Données projet'!$A$88,'Données projet'!$B$88,BD119+BC120-BL119)))</f>
        <v>291.89999999999952</v>
      </c>
      <c r="BE120" s="14">
        <f>BD120*VLOOKUP('Données projet'!$B$11,Paramètres!$A$1:$I$89,3,0)*VLOOKUP('Données projet'!$B$11,Paramètres!$A$1:$I$89,5,0)</f>
        <v>295.98659999999956</v>
      </c>
      <c r="BF120" s="14">
        <f t="shared" si="91"/>
        <v>70.334442310004661</v>
      </c>
      <c r="BG120" s="22">
        <f t="shared" si="61"/>
        <v>638.00914868992402</v>
      </c>
      <c r="BH120" s="60">
        <f t="shared" si="62"/>
        <v>931.34248202325739</v>
      </c>
      <c r="BI120" s="60">
        <f ca="1">AVERAGE(OFFSET($BH$3,0,0,'Données projet'!$E$11+1,1))-AVERAGE(OFFSET($H$3,0,0,'Données projet'!$E$11+1,1))</f>
        <v>350.3652766444938</v>
      </c>
      <c r="BJ120" s="60">
        <f t="shared" si="92"/>
        <v>197.04549436738586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3.7</v>
      </c>
      <c r="BY120" s="13">
        <f>IF('Données projet'!$A$114&gt;35,BY119+BX120-CG119,IF(A120&lt;'Données projet'!$A$114,$BV$205^A120,IF(A120='Données projet'!$A$114,'Données projet'!$B$114,BY119+BX120-CG119)))</f>
        <v>291.89999999999952</v>
      </c>
      <c r="BZ120" s="14">
        <f>BY120*VLOOKUP('Données projet'!$B$12,Paramètres!$A$1:$I$89,3,0)*VLOOKUP('Données projet'!$B$12,Paramètres!$A$1:$I$89,5,0)</f>
        <v>282.32567999999952</v>
      </c>
      <c r="CA120" s="14">
        <f t="shared" si="93"/>
        <v>67.458255064229917</v>
      </c>
      <c r="CB120" s="22">
        <f t="shared" si="64"/>
        <v>609.20702023686624</v>
      </c>
      <c r="CC120" s="60">
        <f t="shared" si="65"/>
        <v>902.54035357019961</v>
      </c>
      <c r="CD120" s="60">
        <f ca="1">AVERAGE(OFFSET($CC$3,0,0,'Données projet'!$E$12+1,1))-AVERAGE(OFFSET($H$3,0,0,'Données projet'!$E$12+1,1))</f>
        <v>330.39429528665841</v>
      </c>
      <c r="CE120" s="60">
        <f t="shared" si="94"/>
        <v>186.45728006007261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3.7</v>
      </c>
      <c r="CT120" s="13">
        <f>IF('Données projet'!$A$140&gt;35,CT119+CS120-DB119,IF(A120&lt;'Données projet'!$A$140,$CQ$205^A120,IF(A120='Données projet'!$A$140,'Données projet'!$B$140,CT119+CS120-DB119)))</f>
        <v>291.89999999999952</v>
      </c>
      <c r="CU120" s="18">
        <f>CT120*VLOOKUP('Données projet'!$B$13,Paramètres!$A$1:$I$89,3,0)*VLOOKUP('Données projet'!$B$13,Paramètres!$A$1:$I$89,5,0)</f>
        <v>314.2011599999995</v>
      </c>
      <c r="CV120" s="14">
        <f t="shared" si="95"/>
        <v>74.145511044675771</v>
      </c>
      <c r="CW120" s="22">
        <f t="shared" si="67"/>
        <v>676.37045206947607</v>
      </c>
      <c r="CX120" s="60">
        <f t="shared" si="68"/>
        <v>969.70378540280944</v>
      </c>
      <c r="CY120" s="60">
        <f ca="1">AVERAGE(OFFSET($CX$3,0,0,'Données projet'!$E$13+1,1))-AVERAGE(OFFSET($H$3,0,0,'Données projet'!$E$13+1,1))</f>
        <v>376.96388721258387</v>
      </c>
      <c r="CZ120" s="60">
        <f t="shared" si="96"/>
        <v>211.14628470344377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1.7053025658242404E-13</v>
      </c>
      <c r="DP120" s="18">
        <f>DO120*VLOOKUP('Données projet'!$B$14,Paramètres!$A$1:$I$89,3,0)*VLOOKUP('Données projet'!$B$14,Paramètres!$A$1:$I$89,5,0)</f>
        <v>1.1439169611549005E-13</v>
      </c>
      <c r="DQ120" s="14">
        <f t="shared" si="97"/>
        <v>1.6918016515029816E-12</v>
      </c>
      <c r="DR120" s="22">
        <f t="shared" si="70"/>
        <v>3.1457867471021712E-12</v>
      </c>
      <c r="DS120" s="60">
        <f t="shared" si="71"/>
        <v>293.33333333333644</v>
      </c>
      <c r="DT120" s="60">
        <f ca="1">AVERAGE(OFFSET($DS$3,0,0,'Données projet'!$E$14+1,1))-AVERAGE(OFFSET($H$3,0,0,'Données projet'!$E$14+1,1))</f>
        <v>212.33913923444732</v>
      </c>
      <c r="DU120" s="60">
        <f t="shared" si="98"/>
        <v>183.51194426094372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0" t="e">
        <f t="shared" si="74"/>
        <v>#N/A</v>
      </c>
      <c r="EO120" s="60" t="e">
        <f ca="1">AVERAGE(OFFSET($EN$3,0,0,'Données projet'!$E$15+1,1))-AVERAGE(OFFSET($H$3,0,0,'Données projet'!$E$15+1,1))</f>
        <v>#N/A</v>
      </c>
      <c r="EP120" s="60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0" t="e">
        <f t="shared" si="77"/>
        <v>#N/A</v>
      </c>
      <c r="FJ120" s="60" t="e">
        <f ca="1">AVERAGE(OFFSET($FI$3,0,0,'Données projet'!$E$16+1,1))-AVERAGE(OFFSET($H$3,0,0,'Données projet'!$E$16+1,1))</f>
        <v>#N/A</v>
      </c>
      <c r="FK120" s="60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0" t="e">
        <f t="shared" si="80"/>
        <v>#N/A</v>
      </c>
      <c r="GE120" s="60" t="e">
        <f ca="1">AVERAGE(OFFSET($GD$3,0,0,'Données projet'!$E$17+1,1))-AVERAGE(OFFSET($H$3,0,0,'Données projet'!$E$17+1,1))</f>
        <v>#N/A</v>
      </c>
      <c r="GF120" s="60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0" t="e">
        <f t="shared" si="83"/>
        <v>#N/A</v>
      </c>
      <c r="GZ120" s="60" t="e">
        <f ca="1">AVERAGE(OFFSET($GY$3,0,0,'Données projet'!$E$18+1,1))-AVERAGE(OFFSET($H$3,0,0,'Données projet'!$E$18+1,1))</f>
        <v>#N/A</v>
      </c>
      <c r="HA120" s="60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5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2">
        <f t="shared" si="86"/>
        <v>18.283124878638194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8">
        <f t="shared" si="56"/>
        <v>437.38854249696135</v>
      </c>
      <c r="I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3.4106051316484809E-13</v>
      </c>
      <c r="O121" s="14">
        <f>N121*VLOOKUP('Données projet'!$B$9,Paramètres!$A$1:$I$89,3,0)*VLOOKUP('Données projet'!$B$9,Paramètres!$A$1:$I$89,5,0)</f>
        <v>1.5961632016114892E-13</v>
      </c>
      <c r="P121" s="14">
        <f t="shared" si="87"/>
        <v>2.2708641912150958E-12</v>
      </c>
      <c r="Q121" s="22">
        <f t="shared" si="107"/>
        <v>4.2330868906469593E-12</v>
      </c>
      <c r="R121" s="60">
        <f t="shared" si="55"/>
        <v>293.33333333333752</v>
      </c>
      <c r="S121" s="60">
        <f ca="1">AVERAGE(OFFSET($R$3,0,0,'Données projet'!$E$9+1,1))-AVERAGE(OFFSET($H$3,0,0,'Données projet'!$E$9+1,1))</f>
        <v>146.40889017442277</v>
      </c>
      <c r="T121" s="60">
        <f t="shared" si="88"/>
        <v>70.859031694091868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4.5</v>
      </c>
      <c r="AI121" s="14">
        <f>IF('Données projet'!$A$62&gt;35,AI120+AH121-AQ120,IF(A121&lt;'Données projet'!$A$62,$AF$205^A121,IF(A121='Données projet'!$A$62,'Données projet'!$B$62,AI120+AH121-AQ120)))</f>
        <v>342.99999999999989</v>
      </c>
      <c r="AJ121" s="14">
        <f>AI121*VLOOKUP('Données projet'!$B$10,Paramètres!$A$1:$I$89,3,0)*VLOOKUP('Données projet'!$B$10,Paramètres!$A$1:$I$89,5,0)</f>
        <v>310.34639999999985</v>
      </c>
      <c r="AK121" s="14">
        <f t="shared" si="89"/>
        <v>73.341167576152998</v>
      </c>
      <c r="AL121" s="22">
        <f t="shared" si="58"/>
        <v>668.25584686179957</v>
      </c>
      <c r="AM121" s="60">
        <f t="shared" si="59"/>
        <v>961.58918019513294</v>
      </c>
      <c r="AN121" s="60">
        <f ca="1">AVERAGE(OFFSET($AM$3,0,0,'Données projet'!$E$10+1,1))-AVERAGE(OFFSET($H$3,0,0,'Données projet'!$E$10+1,1))</f>
        <v>404.14319681142746</v>
      </c>
      <c r="AO121" s="60">
        <f t="shared" si="90"/>
        <v>203.5274665601915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3.7</v>
      </c>
      <c r="BD121" s="13">
        <f>IF('Données projet'!$A$88&gt;35,BD120+BC121-BL120,IF(A121&lt;'Données projet'!$A$88,$BA$205^A121,IF(A121='Données projet'!$A$88,'Données projet'!$B$88,BD120+BC121-BL120)))</f>
        <v>295.59999999999951</v>
      </c>
      <c r="BE121" s="14">
        <f>BD121*VLOOKUP('Données projet'!$B$11,Paramètres!$A$1:$I$89,3,0)*VLOOKUP('Données projet'!$B$11,Paramètres!$A$1:$I$89,5,0)</f>
        <v>299.73839999999956</v>
      </c>
      <c r="BF121" s="14">
        <f t="shared" si="91"/>
        <v>71.121619283394352</v>
      </c>
      <c r="BG121" s="22">
        <f t="shared" si="61"/>
        <v>645.91453358524438</v>
      </c>
      <c r="BH121" s="60">
        <f t="shared" si="62"/>
        <v>939.24786691857776</v>
      </c>
      <c r="BI121" s="60">
        <f ca="1">AVERAGE(OFFSET($BH$3,0,0,'Données projet'!$E$11+1,1))-AVERAGE(OFFSET($H$3,0,0,'Données projet'!$E$11+1,1))</f>
        <v>350.3652766444938</v>
      </c>
      <c r="BJ121" s="60">
        <f t="shared" si="92"/>
        <v>197.04549436738586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3.7</v>
      </c>
      <c r="BY121" s="13">
        <f>IF('Données projet'!$A$114&gt;35,BY120+BX121-CG120,IF(A121&lt;'Données projet'!$A$114,$BV$205^A121,IF(A121='Données projet'!$A$114,'Données projet'!$B$114,BY120+BX121-CG120)))</f>
        <v>295.59999999999951</v>
      </c>
      <c r="BZ121" s="14">
        <f>BY121*VLOOKUP('Données projet'!$B$12,Paramètres!$A$1:$I$89,3,0)*VLOOKUP('Données projet'!$B$12,Paramètres!$A$1:$I$89,5,0)</f>
        <v>285.90431999999953</v>
      </c>
      <c r="CA121" s="14">
        <f t="shared" si="93"/>
        <v>68.213241999614453</v>
      </c>
      <c r="CB121" s="22">
        <f t="shared" si="64"/>
        <v>616.75475381599438</v>
      </c>
      <c r="CC121" s="60">
        <f t="shared" si="65"/>
        <v>910.08808714932775</v>
      </c>
      <c r="CD121" s="60">
        <f ca="1">AVERAGE(OFFSET($CC$3,0,0,'Données projet'!$E$12+1,1))-AVERAGE(OFFSET($H$3,0,0,'Données projet'!$E$12+1,1))</f>
        <v>330.39429528665841</v>
      </c>
      <c r="CE121" s="60">
        <f t="shared" si="94"/>
        <v>186.45728006007261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3.7</v>
      </c>
      <c r="CT121" s="13">
        <f>IF('Données projet'!$A$140&gt;35,CT120+CS121-DB120,IF(A121&lt;'Données projet'!$A$140,$CQ$205^A121,IF(A121='Données projet'!$A$140,'Données projet'!$B$140,CT120+CS121-DB120)))</f>
        <v>295.59999999999951</v>
      </c>
      <c r="CU121" s="18">
        <f>CT121*VLOOKUP('Données projet'!$B$13,Paramètres!$A$1:$I$89,3,0)*VLOOKUP('Données projet'!$B$13,Paramètres!$A$1:$I$89,5,0)</f>
        <v>318.18383999999946</v>
      </c>
      <c r="CV121" s="14">
        <f t="shared" si="95"/>
        <v>74.975341168547786</v>
      </c>
      <c r="CW121" s="22">
        <f t="shared" si="67"/>
        <v>684.75224053521981</v>
      </c>
      <c r="CX121" s="60">
        <f t="shared" si="68"/>
        <v>978.08557386855318</v>
      </c>
      <c r="CY121" s="60">
        <f ca="1">AVERAGE(OFFSET($CX$3,0,0,'Données projet'!$E$13+1,1))-AVERAGE(OFFSET($H$3,0,0,'Données projet'!$E$13+1,1))</f>
        <v>376.96388721258387</v>
      </c>
      <c r="CZ121" s="60">
        <f t="shared" si="96"/>
        <v>211.14628470344377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1.7053025658242404E-13</v>
      </c>
      <c r="DP121" s="18">
        <f>DO121*VLOOKUP('Données projet'!$B$14,Paramètres!$A$1:$I$89,3,0)*VLOOKUP('Données projet'!$B$14,Paramètres!$A$1:$I$89,5,0)</f>
        <v>1.1439169611549005E-13</v>
      </c>
      <c r="DQ121" s="14">
        <f t="shared" si="97"/>
        <v>1.6918016515029816E-12</v>
      </c>
      <c r="DR121" s="22">
        <f t="shared" si="70"/>
        <v>3.1457867471021712E-12</v>
      </c>
      <c r="DS121" s="60">
        <f t="shared" si="71"/>
        <v>293.33333333333644</v>
      </c>
      <c r="DT121" s="60">
        <f ca="1">AVERAGE(OFFSET($DS$3,0,0,'Données projet'!$E$14+1,1))-AVERAGE(OFFSET($H$3,0,0,'Données projet'!$E$14+1,1))</f>
        <v>212.33913923444732</v>
      </c>
      <c r="DU121" s="60">
        <f t="shared" si="98"/>
        <v>183.51194426094372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0" t="e">
        <f t="shared" si="74"/>
        <v>#N/A</v>
      </c>
      <c r="EO121" s="60" t="e">
        <f ca="1">AVERAGE(OFFSET($EN$3,0,0,'Données projet'!$E$15+1,1))-AVERAGE(OFFSET($H$3,0,0,'Données projet'!$E$15+1,1))</f>
        <v>#N/A</v>
      </c>
      <c r="EP121" s="60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0" t="e">
        <f t="shared" si="77"/>
        <v>#N/A</v>
      </c>
      <c r="FJ121" s="60" t="e">
        <f ca="1">AVERAGE(OFFSET($FI$3,0,0,'Données projet'!$E$16+1,1))-AVERAGE(OFFSET($H$3,0,0,'Données projet'!$E$16+1,1))</f>
        <v>#N/A</v>
      </c>
      <c r="FK121" s="60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0" t="e">
        <f t="shared" si="80"/>
        <v>#N/A</v>
      </c>
      <c r="GE121" s="60" t="e">
        <f ca="1">AVERAGE(OFFSET($GD$3,0,0,'Données projet'!$E$17+1,1))-AVERAGE(OFFSET($H$3,0,0,'Données projet'!$E$17+1,1))</f>
        <v>#N/A</v>
      </c>
      <c r="GF121" s="60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0" t="e">
        <f t="shared" si="83"/>
        <v>#N/A</v>
      </c>
      <c r="GZ121" s="60" t="e">
        <f ca="1">AVERAGE(OFFSET($GY$3,0,0,'Données projet'!$E$18+1,1))-AVERAGE(OFFSET($H$3,0,0,'Données projet'!$E$18+1,1))</f>
        <v>#N/A</v>
      </c>
      <c r="HA121" s="60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5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2">
        <f t="shared" si="86"/>
        <v>18.41996408372005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8">
        <f t="shared" si="56"/>
        <v>438.57782077914567</v>
      </c>
      <c r="I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3.4106051316484809E-13</v>
      </c>
      <c r="O122" s="14">
        <f>N122*VLOOKUP('Données projet'!$B$9,Paramètres!$A$1:$I$89,3,0)*VLOOKUP('Données projet'!$B$9,Paramètres!$A$1:$I$89,5,0)</f>
        <v>1.5961632016114892E-13</v>
      </c>
      <c r="P122" s="14">
        <f t="shared" si="87"/>
        <v>2.2708641912150958E-12</v>
      </c>
      <c r="Q122" s="22">
        <f t="shared" si="107"/>
        <v>4.2330868906469593E-12</v>
      </c>
      <c r="R122" s="60">
        <f t="shared" si="55"/>
        <v>293.33333333333752</v>
      </c>
      <c r="S122" s="60">
        <f ca="1">AVERAGE(OFFSET($R$3,0,0,'Données projet'!$E$9+1,1))-AVERAGE(OFFSET($H$3,0,0,'Données projet'!$E$9+1,1))</f>
        <v>146.40889017442277</v>
      </c>
      <c r="T122" s="60">
        <f t="shared" si="88"/>
        <v>70.859031694091868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4.5</v>
      </c>
      <c r="AI122" s="14">
        <f>IF('Données projet'!$A$62&gt;35,AI121+AH122-AQ121,IF(A122&lt;'Données projet'!$A$62,$AF$205^A122,IF(A122='Données projet'!$A$62,'Données projet'!$B$62,AI121+AH122-AQ121)))</f>
        <v>347.49999999999989</v>
      </c>
      <c r="AJ122" s="14">
        <f>AI122*VLOOKUP('Données projet'!$B$10,Paramètres!$A$1:$I$89,3,0)*VLOOKUP('Données projet'!$B$10,Paramètres!$A$1:$I$89,5,0)</f>
        <v>314.41799999999989</v>
      </c>
      <c r="AK122" s="14">
        <f t="shared" si="89"/>
        <v>74.190723151497338</v>
      </c>
      <c r="AL122" s="22">
        <f t="shared" si="58"/>
        <v>676.82685948885762</v>
      </c>
      <c r="AM122" s="60">
        <f t="shared" si="59"/>
        <v>970.16019282219099</v>
      </c>
      <c r="AN122" s="60">
        <f ca="1">AVERAGE(OFFSET($AM$3,0,0,'Données projet'!$E$10+1,1))-AVERAGE(OFFSET($H$3,0,0,'Données projet'!$E$10+1,1))</f>
        <v>404.14319681142746</v>
      </c>
      <c r="AO122" s="60">
        <f t="shared" si="90"/>
        <v>203.5274665601915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3.7</v>
      </c>
      <c r="BD122" s="13">
        <f>IF('Données projet'!$A$88&gt;35,BD121+BC122-BL121,IF(A122&lt;'Données projet'!$A$88,$BA$205^A122,IF(A122='Données projet'!$A$88,'Données projet'!$B$88,BD121+BC122-BL121)))</f>
        <v>299.2999999999995</v>
      </c>
      <c r="BE122" s="14">
        <f>BD122*VLOOKUP('Données projet'!$B$11,Paramètres!$A$1:$I$89,3,0)*VLOOKUP('Données projet'!$B$11,Paramètres!$A$1:$I$89,5,0)</f>
        <v>303.4901999999995</v>
      </c>
      <c r="BF122" s="14">
        <f t="shared" si="91"/>
        <v>71.907650167874138</v>
      </c>
      <c r="BG122" s="22">
        <f t="shared" si="61"/>
        <v>653.81792237571324</v>
      </c>
      <c r="BH122" s="60">
        <f t="shared" si="62"/>
        <v>947.15125570904661</v>
      </c>
      <c r="BI122" s="60">
        <f ca="1">AVERAGE(OFFSET($BH$3,0,0,'Données projet'!$E$11+1,1))-AVERAGE(OFFSET($H$3,0,0,'Données projet'!$E$11+1,1))</f>
        <v>350.3652766444938</v>
      </c>
      <c r="BJ122" s="60">
        <f t="shared" si="92"/>
        <v>197.04549436738586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3.7</v>
      </c>
      <c r="BY122" s="13">
        <f>IF('Données projet'!$A$114&gt;35,BY121+BX122-CG121,IF(A122&lt;'Données projet'!$A$114,$BV$205^A122,IF(A122='Données projet'!$A$114,'Données projet'!$B$114,BY121+BX122-CG121)))</f>
        <v>299.2999999999995</v>
      </c>
      <c r="BZ122" s="14">
        <f>BY122*VLOOKUP('Données projet'!$B$12,Paramètres!$A$1:$I$89,3,0)*VLOOKUP('Données projet'!$B$12,Paramètres!$A$1:$I$89,5,0)</f>
        <v>289.48295999999954</v>
      </c>
      <c r="CA122" s="14">
        <f t="shared" si="93"/>
        <v>68.967129713117401</v>
      </c>
      <c r="CB122" s="22">
        <f t="shared" si="64"/>
        <v>624.300572917012</v>
      </c>
      <c r="CC122" s="60">
        <f t="shared" si="65"/>
        <v>917.63390625034526</v>
      </c>
      <c r="CD122" s="60">
        <f ca="1">AVERAGE(OFFSET($CC$3,0,0,'Données projet'!$E$12+1,1))-AVERAGE(OFFSET($H$3,0,0,'Données projet'!$E$12+1,1))</f>
        <v>330.39429528665841</v>
      </c>
      <c r="CE122" s="60">
        <f t="shared" si="94"/>
        <v>186.45728006007261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3.7</v>
      </c>
      <c r="CT122" s="13">
        <f>IF('Données projet'!$A$140&gt;35,CT121+CS122-DB121,IF(A122&lt;'Données projet'!$A$140,$CQ$205^A122,IF(A122='Données projet'!$A$140,'Données projet'!$B$140,CT121+CS122-DB121)))</f>
        <v>299.2999999999995</v>
      </c>
      <c r="CU122" s="18">
        <f>CT122*VLOOKUP('Données projet'!$B$13,Paramètres!$A$1:$I$89,3,0)*VLOOKUP('Données projet'!$B$13,Paramètres!$A$1:$I$89,5,0)</f>
        <v>322.16651999999942</v>
      </c>
      <c r="CV122" s="14">
        <f t="shared" si="95"/>
        <v>75.803963102731529</v>
      </c>
      <c r="CW122" s="22">
        <f t="shared" si="67"/>
        <v>693.13192473725633</v>
      </c>
      <c r="CX122" s="60">
        <f t="shared" si="68"/>
        <v>986.4652580705897</v>
      </c>
      <c r="CY122" s="60">
        <f ca="1">AVERAGE(OFFSET($CX$3,0,0,'Données projet'!$E$13+1,1))-AVERAGE(OFFSET($H$3,0,0,'Données projet'!$E$13+1,1))</f>
        <v>376.96388721258387</v>
      </c>
      <c r="CZ122" s="60">
        <f t="shared" si="96"/>
        <v>211.14628470344377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1.7053025658242404E-13</v>
      </c>
      <c r="DP122" s="18">
        <f>DO122*VLOOKUP('Données projet'!$B$14,Paramètres!$A$1:$I$89,3,0)*VLOOKUP('Données projet'!$B$14,Paramètres!$A$1:$I$89,5,0)</f>
        <v>1.1439169611549005E-13</v>
      </c>
      <c r="DQ122" s="14">
        <f t="shared" si="97"/>
        <v>1.6918016515029816E-12</v>
      </c>
      <c r="DR122" s="22">
        <f t="shared" si="70"/>
        <v>3.1457867471021712E-12</v>
      </c>
      <c r="DS122" s="60">
        <f t="shared" si="71"/>
        <v>293.33333333333644</v>
      </c>
      <c r="DT122" s="60">
        <f ca="1">AVERAGE(OFFSET($DS$3,0,0,'Données projet'!$E$14+1,1))-AVERAGE(OFFSET($H$3,0,0,'Données projet'!$E$14+1,1))</f>
        <v>212.33913923444732</v>
      </c>
      <c r="DU122" s="60">
        <f t="shared" si="98"/>
        <v>183.51194426094372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0" t="e">
        <f t="shared" si="74"/>
        <v>#N/A</v>
      </c>
      <c r="EO122" s="60" t="e">
        <f ca="1">AVERAGE(OFFSET($EN$3,0,0,'Données projet'!$E$15+1,1))-AVERAGE(OFFSET($H$3,0,0,'Données projet'!$E$15+1,1))</f>
        <v>#N/A</v>
      </c>
      <c r="EP122" s="60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0" t="e">
        <f t="shared" si="77"/>
        <v>#N/A</v>
      </c>
      <c r="FJ122" s="60" t="e">
        <f ca="1">AVERAGE(OFFSET($FI$3,0,0,'Données projet'!$E$16+1,1))-AVERAGE(OFFSET($H$3,0,0,'Données projet'!$E$16+1,1))</f>
        <v>#N/A</v>
      </c>
      <c r="FK122" s="60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0" t="e">
        <f t="shared" si="80"/>
        <v>#N/A</v>
      </c>
      <c r="GE122" s="60" t="e">
        <f ca="1">AVERAGE(OFFSET($GD$3,0,0,'Données projet'!$E$17+1,1))-AVERAGE(OFFSET($H$3,0,0,'Données projet'!$E$17+1,1))</f>
        <v>#N/A</v>
      </c>
      <c r="GF122" s="60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0" t="e">
        <f t="shared" si="83"/>
        <v>#N/A</v>
      </c>
      <c r="GZ122" s="60" t="e">
        <f ca="1">AVERAGE(OFFSET($GY$3,0,0,'Données projet'!$E$18+1,1))-AVERAGE(OFFSET($H$3,0,0,'Données projet'!$E$18+1,1))</f>
        <v>#N/A</v>
      </c>
      <c r="HA122" s="60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5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2">
        <f t="shared" si="86"/>
        <v>18.556669503136707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8">
        <f t="shared" si="56"/>
        <v>439.76686605129635</v>
      </c>
      <c r="I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3.4106051316484809E-13</v>
      </c>
      <c r="O123" s="14">
        <f>N123*VLOOKUP('Données projet'!$B$9,Paramètres!$A$1:$I$89,3,0)*VLOOKUP('Données projet'!$B$9,Paramètres!$A$1:$I$89,5,0)</f>
        <v>1.5961632016114892E-13</v>
      </c>
      <c r="P123" s="14">
        <f t="shared" si="87"/>
        <v>2.2708641912150958E-12</v>
      </c>
      <c r="Q123" s="22">
        <f t="shared" si="107"/>
        <v>4.2330868906469593E-12</v>
      </c>
      <c r="R123" s="60">
        <f t="shared" si="55"/>
        <v>293.33333333333752</v>
      </c>
      <c r="S123" s="60">
        <f ca="1">AVERAGE(OFFSET($R$3,0,0,'Données projet'!$E$9+1,1))-AVERAGE(OFFSET($H$3,0,0,'Données projet'!$E$9+1,1))</f>
        <v>146.40889017442277</v>
      </c>
      <c r="T123" s="60">
        <f t="shared" si="88"/>
        <v>70.859031694091868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352</v>
      </c>
      <c r="AG123" s="13">
        <f>VLOOKUP(A123,'Données projet'!$A$61:$I$81,9,0)</f>
        <v>4.5</v>
      </c>
      <c r="AH123" s="13">
        <f t="array" ref="AH123">INDEX(AG:AG,MIN(IF(ISNUMBER(AG123:AG319),ROW(AG123:AG319),"")))</f>
        <v>4.5</v>
      </c>
      <c r="AI123" s="14">
        <f>IF('Données projet'!$A$62&gt;35,AI122+AH123-AQ122,IF(A123&lt;'Données projet'!$A$62,$AF$205^A123,IF(A123='Données projet'!$A$62,'Données projet'!$B$62,AI122+AH123-AQ122)))</f>
        <v>351.99999999999989</v>
      </c>
      <c r="AJ123" s="14">
        <f>AI123*VLOOKUP('Données projet'!$B$10,Paramètres!$A$1:$I$89,3,0)*VLOOKUP('Données projet'!$B$10,Paramètres!$A$1:$I$89,5,0)</f>
        <v>318.48959999999988</v>
      </c>
      <c r="AK123" s="14">
        <f t="shared" si="89"/>
        <v>75.038999086150227</v>
      </c>
      <c r="AL123" s="22">
        <f t="shared" si="58"/>
        <v>685.39564340837808</v>
      </c>
      <c r="AM123" s="60">
        <f t="shared" si="59"/>
        <v>978.72897674171145</v>
      </c>
      <c r="AN123" s="60">
        <f ca="1">AVERAGE(OFFSET($AM$3,0,0,'Données projet'!$E$10+1,1))-AVERAGE(OFFSET($H$3,0,0,'Données projet'!$E$10+1,1))</f>
        <v>404.14319681142746</v>
      </c>
      <c r="AO123" s="60">
        <f t="shared" si="90"/>
        <v>203.5274665601915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>
        <f>VLOOKUP(A123,'Données projet'!$A$87:$I$107,2,0)</f>
        <v>303</v>
      </c>
      <c r="BB123" s="13">
        <f>VLOOKUP(A123,'Données projet'!$A$87:$I$107,9,0)</f>
        <v>3.7</v>
      </c>
      <c r="BC123" s="13">
        <f t="array" ref="BC123">INDEX(BB:BB,MIN(IF(ISNUMBER(BB123:BB319),ROW(BB123:BB319),"")))</f>
        <v>3.7</v>
      </c>
      <c r="BD123" s="13">
        <f>IF('Données projet'!$A$88&gt;35,BD122+BC123-BL122,IF(A123&lt;'Données projet'!$A$88,$BA$205^A123,IF(A123='Données projet'!$A$88,'Données projet'!$B$88,BD122+BC123-BL122)))</f>
        <v>302.99999999999949</v>
      </c>
      <c r="BE123" s="14">
        <f>BD123*VLOOKUP('Données projet'!$B$11,Paramètres!$A$1:$I$89,3,0)*VLOOKUP('Données projet'!$B$11,Paramètres!$A$1:$I$89,5,0)</f>
        <v>307.24199999999951</v>
      </c>
      <c r="BF123" s="14">
        <f t="shared" si="91"/>
        <v>72.692550770207717</v>
      </c>
      <c r="BG123" s="22">
        <f t="shared" si="61"/>
        <v>661.71934259144427</v>
      </c>
      <c r="BH123" s="60">
        <f t="shared" si="62"/>
        <v>955.05267592477753</v>
      </c>
      <c r="BI123" s="60">
        <f ca="1">AVERAGE(OFFSET($BH$3,0,0,'Données projet'!$E$11+1,1))-AVERAGE(OFFSET($H$3,0,0,'Données projet'!$E$11+1,1))</f>
        <v>350.3652766444938</v>
      </c>
      <c r="BJ123" s="60">
        <f t="shared" si="92"/>
        <v>197.04549436738586</v>
      </c>
      <c r="BK123" s="16">
        <f>IF(ISNA(VLOOKUP(A123,'Données projet'!$A$87:$I$107,3,0)),0,VLOOKUP(A123,'Données projet'!$A$87:$I$107,3,0))</f>
        <v>10</v>
      </c>
      <c r="BL123" s="16">
        <f>IF(ISNA(VLOOKUP(A123,'Données projet'!$A$87:$I$107,4,0)),0,VLOOKUP(A123,'Données projet'!$A$87:$I$107,4,0))</f>
        <v>35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>
        <f>VLOOKUP(A123,'Données projet'!$A$113:$I$133,2,0)</f>
        <v>303</v>
      </c>
      <c r="BW123" s="13">
        <f>VLOOKUP(A123,'Données projet'!$A$113:$I$133,9,0)</f>
        <v>3.7</v>
      </c>
      <c r="BX123" s="13">
        <f t="array" ref="BX123">INDEX(BW:BW,MIN(IF(ISNUMBER(BW123:BW319),ROW(BW123:BW319),"")))</f>
        <v>3.7</v>
      </c>
      <c r="BY123" s="13">
        <f>IF('Données projet'!$A$114&gt;35,BY122+BX123-CG122,IF(A123&lt;'Données projet'!$A$114,$BV$205^A123,IF(A123='Données projet'!$A$114,'Données projet'!$B$114,BY122+BX123-CG122)))</f>
        <v>302.99999999999949</v>
      </c>
      <c r="BZ123" s="14">
        <f>BY123*VLOOKUP('Données projet'!$B$12,Paramètres!$A$1:$I$89,3,0)*VLOOKUP('Données projet'!$B$12,Paramètres!$A$1:$I$89,5,0)</f>
        <v>293.06159999999949</v>
      </c>
      <c r="CA123" s="14">
        <f t="shared" si="93"/>
        <v>69.719933365116432</v>
      </c>
      <c r="CB123" s="22">
        <f t="shared" si="64"/>
        <v>631.84450394424357</v>
      </c>
      <c r="CC123" s="60">
        <f t="shared" si="65"/>
        <v>925.17783727757683</v>
      </c>
      <c r="CD123" s="60">
        <f ca="1">AVERAGE(OFFSET($CC$3,0,0,'Données projet'!$E$12+1,1))-AVERAGE(OFFSET($H$3,0,0,'Données projet'!$E$12+1,1))</f>
        <v>330.39429528665841</v>
      </c>
      <c r="CE123" s="60">
        <f t="shared" si="94"/>
        <v>186.45728006007261</v>
      </c>
      <c r="CF123" s="16">
        <f>IF(ISNA(VLOOKUP(A123,'Données projet'!$A$113:$I$133,3,0)),0,VLOOKUP(A123,'Données projet'!$A$113:$I$133,3,0))</f>
        <v>10</v>
      </c>
      <c r="CG123" s="16">
        <f>IF(ISNA(VLOOKUP(A123,'Données projet'!$A$113:$I$133,4,0)),0,VLOOKUP(A123,'Données projet'!$A$113:$I$133,4,0))</f>
        <v>35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>
        <f>VLOOKUP(A123,'Données projet'!$A$139:$I$159,2,0)</f>
        <v>303</v>
      </c>
      <c r="CR123" s="13">
        <f>VLOOKUP(A123,'Données projet'!$A$139:$I$159,9,0)</f>
        <v>3.7</v>
      </c>
      <c r="CS123" s="13">
        <f t="array" ref="CS123">INDEX(CR:CR,MIN(IF(ISNUMBER(CR123:CR319),ROW(CR123:CR319),"")))</f>
        <v>3.7</v>
      </c>
      <c r="CT123" s="13">
        <f>IF('Données projet'!$A$140&gt;35,CT122+CS123-DB122,IF(A123&lt;'Données projet'!$A$140,$CQ$205^A123,IF(A123='Données projet'!$A$140,'Données projet'!$B$140,CT122+CS123-DB122)))</f>
        <v>302.99999999999949</v>
      </c>
      <c r="CU123" s="18">
        <f>CT123*VLOOKUP('Données projet'!$B$13,Paramètres!$A$1:$I$89,3,0)*VLOOKUP('Données projet'!$B$13,Paramètres!$A$1:$I$89,5,0)</f>
        <v>326.14919999999944</v>
      </c>
      <c r="CV123" s="14">
        <f t="shared" si="95"/>
        <v>76.631393510479555</v>
      </c>
      <c r="CW123" s="22">
        <f t="shared" si="67"/>
        <v>701.50953369741762</v>
      </c>
      <c r="CX123" s="60">
        <f t="shared" si="68"/>
        <v>994.84286703075099</v>
      </c>
      <c r="CY123" s="60">
        <f ca="1">AVERAGE(OFFSET($CX$3,0,0,'Données projet'!$E$13+1,1))-AVERAGE(OFFSET($H$3,0,0,'Données projet'!$E$13+1,1))</f>
        <v>376.96388721258387</v>
      </c>
      <c r="CZ123" s="60">
        <f t="shared" si="96"/>
        <v>211.14628470344377</v>
      </c>
      <c r="DA123" s="16">
        <f>IF(ISNA(VLOOKUP(A123,'Données projet'!$A$139:$I$159,3,0)),0,VLOOKUP(A123,'Données projet'!$A$139:$I$159,3,0))</f>
        <v>10</v>
      </c>
      <c r="DB123" s="16">
        <f>IF(ISNA(VLOOKUP(A123,'Données projet'!$A$139:$I$159,4,0)),0,VLOOKUP(A123,'Données projet'!$A$139:$I$159,4,0))</f>
        <v>35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1.7053025658242404E-13</v>
      </c>
      <c r="DP123" s="18">
        <f>DO123*VLOOKUP('Données projet'!$B$14,Paramètres!$A$1:$I$89,3,0)*VLOOKUP('Données projet'!$B$14,Paramètres!$A$1:$I$89,5,0)</f>
        <v>1.1439169611549005E-13</v>
      </c>
      <c r="DQ123" s="14">
        <f t="shared" si="97"/>
        <v>1.6918016515029816E-12</v>
      </c>
      <c r="DR123" s="22">
        <f t="shared" si="70"/>
        <v>3.1457867471021712E-12</v>
      </c>
      <c r="DS123" s="60">
        <f t="shared" si="71"/>
        <v>293.33333333333644</v>
      </c>
      <c r="DT123" s="60">
        <f ca="1">AVERAGE(OFFSET($DS$3,0,0,'Données projet'!$E$14+1,1))-AVERAGE(OFFSET($H$3,0,0,'Données projet'!$E$14+1,1))</f>
        <v>212.33913923444732</v>
      </c>
      <c r="DU123" s="60">
        <f t="shared" si="98"/>
        <v>183.51194426094372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0" t="e">
        <f t="shared" si="74"/>
        <v>#N/A</v>
      </c>
      <c r="EO123" s="60" t="e">
        <f ca="1">AVERAGE(OFFSET($EN$3,0,0,'Données projet'!$E$15+1,1))-AVERAGE(OFFSET($H$3,0,0,'Données projet'!$E$15+1,1))</f>
        <v>#N/A</v>
      </c>
      <c r="EP123" s="60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0" t="e">
        <f t="shared" si="77"/>
        <v>#N/A</v>
      </c>
      <c r="FJ123" s="60" t="e">
        <f ca="1">AVERAGE(OFFSET($FI$3,0,0,'Données projet'!$E$16+1,1))-AVERAGE(OFFSET($H$3,0,0,'Données projet'!$E$16+1,1))</f>
        <v>#N/A</v>
      </c>
      <c r="FK123" s="60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0" t="e">
        <f t="shared" si="80"/>
        <v>#N/A</v>
      </c>
      <c r="GE123" s="60" t="e">
        <f ca="1">AVERAGE(OFFSET($GD$3,0,0,'Données projet'!$E$17+1,1))-AVERAGE(OFFSET($H$3,0,0,'Données projet'!$E$17+1,1))</f>
        <v>#N/A</v>
      </c>
      <c r="GF123" s="60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0" t="e">
        <f t="shared" si="83"/>
        <v>#N/A</v>
      </c>
      <c r="GZ123" s="60" t="e">
        <f ca="1">AVERAGE(OFFSET($GY$3,0,0,'Données projet'!$E$18+1,1))-AVERAGE(OFFSET($H$3,0,0,'Données projet'!$E$18+1,1))</f>
        <v>#N/A</v>
      </c>
      <c r="HA123" s="60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5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2">
        <f t="shared" si="86"/>
        <v>18.69324238096624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8">
        <f t="shared" si="56"/>
        <v>440.95568048018276</v>
      </c>
      <c r="I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3.4106051316484809E-13</v>
      </c>
      <c r="O124" s="14">
        <f>N124*VLOOKUP('Données projet'!$B$9,Paramètres!$A$1:$I$89,3,0)*VLOOKUP('Données projet'!$B$9,Paramètres!$A$1:$I$89,5,0)</f>
        <v>1.5961632016114892E-13</v>
      </c>
      <c r="P124" s="14">
        <f t="shared" si="87"/>
        <v>2.2708641912150958E-12</v>
      </c>
      <c r="Q124" s="22">
        <f t="shared" si="107"/>
        <v>4.2330868906469593E-12</v>
      </c>
      <c r="R124" s="60">
        <f t="shared" si="55"/>
        <v>293.33333333333752</v>
      </c>
      <c r="S124" s="60">
        <f ca="1">AVERAGE(OFFSET($R$3,0,0,'Données projet'!$E$9+1,1))-AVERAGE(OFFSET($H$3,0,0,'Données projet'!$E$9+1,1))</f>
        <v>146.40889017442277</v>
      </c>
      <c r="T124" s="60">
        <f t="shared" si="88"/>
        <v>70.859031694091868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4.2</v>
      </c>
      <c r="AI124" s="14">
        <f>IF('Données projet'!$A$62&gt;35,AI123+AH124-AQ123,IF(A124&lt;'Données projet'!$A$62,$AF$205^A124,IF(A124='Données projet'!$A$62,'Données projet'!$B$62,AI123+AH124-AQ123)))</f>
        <v>356.19999999999987</v>
      </c>
      <c r="AJ124" s="14">
        <f>AI124*VLOOKUP('Données projet'!$B$10,Paramètres!$A$1:$I$89,3,0)*VLOOKUP('Données projet'!$B$10,Paramètres!$A$1:$I$89,5,0)</f>
        <v>322.28975999999989</v>
      </c>
      <c r="AK124" s="14">
        <f t="shared" si="89"/>
        <v>75.829584879013211</v>
      </c>
      <c r="AL124" s="22">
        <f t="shared" si="58"/>
        <v>693.39119233094789</v>
      </c>
      <c r="AM124" s="60">
        <f t="shared" si="59"/>
        <v>986.72452566428115</v>
      </c>
      <c r="AN124" s="60">
        <f ca="1">AVERAGE(OFFSET($AM$3,0,0,'Données projet'!$E$10+1,1))-AVERAGE(OFFSET($H$3,0,0,'Données projet'!$E$10+1,1))</f>
        <v>404.14319681142746</v>
      </c>
      <c r="AO124" s="60">
        <f t="shared" si="90"/>
        <v>203.5274665601915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3.2</v>
      </c>
      <c r="BD124" s="13">
        <f>IF('Données projet'!$A$88&gt;35,BD123+BC124-BL123,IF(A124&lt;'Données projet'!$A$88,$BA$205^A124,IF(A124='Données projet'!$A$88,'Données projet'!$B$88,BD123+BC124-BL123)))</f>
        <v>271.19999999999948</v>
      </c>
      <c r="BE124" s="14">
        <f>BD124*VLOOKUP('Données projet'!$B$11,Paramètres!$A$1:$I$89,3,0)*VLOOKUP('Données projet'!$B$11,Paramètres!$A$1:$I$89,5,0)</f>
        <v>274.9967999999995</v>
      </c>
      <c r="BF124" s="14">
        <f t="shared" si="91"/>
        <v>65.908581953881495</v>
      </c>
      <c r="BG124" s="22">
        <f t="shared" si="61"/>
        <v>593.74354023634271</v>
      </c>
      <c r="BH124" s="60">
        <f t="shared" si="62"/>
        <v>887.07687356967608</v>
      </c>
      <c r="BI124" s="60">
        <f ca="1">AVERAGE(OFFSET($BH$3,0,0,'Données projet'!$E$11+1,1))-AVERAGE(OFFSET($H$3,0,0,'Données projet'!$E$11+1,1))</f>
        <v>350.3652766444938</v>
      </c>
      <c r="BJ124" s="60">
        <f t="shared" si="92"/>
        <v>197.04549436738586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3.2</v>
      </c>
      <c r="BY124" s="13">
        <f>IF('Données projet'!$A$114&gt;35,BY123+BX124-CG123,IF(A124&lt;'Données projet'!$A$114,$BV$205^A124,IF(A124='Données projet'!$A$114,'Données projet'!$B$114,BY123+BX124-CG123)))</f>
        <v>271.19999999999948</v>
      </c>
      <c r="BZ124" s="14">
        <f>BY124*VLOOKUP('Données projet'!$B$12,Paramètres!$A$1:$I$89,3,0)*VLOOKUP('Données projet'!$B$12,Paramètres!$A$1:$I$89,5,0)</f>
        <v>262.30463999999949</v>
      </c>
      <c r="CA124" s="14">
        <f t="shared" si="93"/>
        <v>63.213381472055985</v>
      </c>
      <c r="CB124" s="22">
        <f t="shared" si="64"/>
        <v>566.94388739716328</v>
      </c>
      <c r="CC124" s="60">
        <f t="shared" si="65"/>
        <v>860.27722073049654</v>
      </c>
      <c r="CD124" s="60">
        <f ca="1">AVERAGE(OFFSET($CC$3,0,0,'Données projet'!$E$12+1,1))-AVERAGE(OFFSET($H$3,0,0,'Données projet'!$E$12+1,1))</f>
        <v>330.39429528665841</v>
      </c>
      <c r="CE124" s="60">
        <f t="shared" si="94"/>
        <v>186.45728006007261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3.2</v>
      </c>
      <c r="CT124" s="13">
        <f>IF('Données projet'!$A$140&gt;35,CT123+CS124-DB123,IF(A124&lt;'Données projet'!$A$140,$CQ$205^A124,IF(A124='Données projet'!$A$140,'Données projet'!$B$140,CT123+CS124-DB123)))</f>
        <v>271.19999999999948</v>
      </c>
      <c r="CU124" s="18">
        <f>CT124*VLOOKUP('Données projet'!$B$13,Paramètres!$A$1:$I$89,3,0)*VLOOKUP('Données projet'!$B$13,Paramètres!$A$1:$I$89,5,0)</f>
        <v>291.9196799999994</v>
      </c>
      <c r="CV124" s="14">
        <f t="shared" si="95"/>
        <v>69.47983563531173</v>
      </c>
      <c r="CW124" s="22">
        <f t="shared" si="67"/>
        <v>629.43748973150025</v>
      </c>
      <c r="CX124" s="60">
        <f t="shared" si="68"/>
        <v>922.77082306483362</v>
      </c>
      <c r="CY124" s="60">
        <f ca="1">AVERAGE(OFFSET($CX$3,0,0,'Données projet'!$E$13+1,1))-AVERAGE(OFFSET($H$3,0,0,'Données projet'!$E$13+1,1))</f>
        <v>376.96388721258387</v>
      </c>
      <c r="CZ124" s="60">
        <f t="shared" si="96"/>
        <v>211.14628470344377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1.7053025658242404E-13</v>
      </c>
      <c r="DP124" s="18">
        <f>DO124*VLOOKUP('Données projet'!$B$14,Paramètres!$A$1:$I$89,3,0)*VLOOKUP('Données projet'!$B$14,Paramètres!$A$1:$I$89,5,0)</f>
        <v>1.1439169611549005E-13</v>
      </c>
      <c r="DQ124" s="14">
        <f t="shared" si="97"/>
        <v>1.6918016515029816E-12</v>
      </c>
      <c r="DR124" s="22">
        <f t="shared" si="70"/>
        <v>3.1457867471021712E-12</v>
      </c>
      <c r="DS124" s="60">
        <f t="shared" si="71"/>
        <v>293.33333333333644</v>
      </c>
      <c r="DT124" s="60">
        <f ca="1">AVERAGE(OFFSET($DS$3,0,0,'Données projet'!$E$14+1,1))-AVERAGE(OFFSET($H$3,0,0,'Données projet'!$E$14+1,1))</f>
        <v>212.33913923444732</v>
      </c>
      <c r="DU124" s="60">
        <f t="shared" si="98"/>
        <v>183.51194426094372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0" t="e">
        <f t="shared" si="74"/>
        <v>#N/A</v>
      </c>
      <c r="EO124" s="60" t="e">
        <f ca="1">AVERAGE(OFFSET($EN$3,0,0,'Données projet'!$E$15+1,1))-AVERAGE(OFFSET($H$3,0,0,'Données projet'!$E$15+1,1))</f>
        <v>#N/A</v>
      </c>
      <c r="EP124" s="60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0" t="e">
        <f t="shared" si="77"/>
        <v>#N/A</v>
      </c>
      <c r="FJ124" s="60" t="e">
        <f ca="1">AVERAGE(OFFSET($FI$3,0,0,'Données projet'!$E$16+1,1))-AVERAGE(OFFSET($H$3,0,0,'Données projet'!$E$16+1,1))</f>
        <v>#N/A</v>
      </c>
      <c r="FK124" s="60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0" t="e">
        <f t="shared" si="80"/>
        <v>#N/A</v>
      </c>
      <c r="GE124" s="60" t="e">
        <f ca="1">AVERAGE(OFFSET($GD$3,0,0,'Données projet'!$E$17+1,1))-AVERAGE(OFFSET($H$3,0,0,'Données projet'!$E$17+1,1))</f>
        <v>#N/A</v>
      </c>
      <c r="GF124" s="60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0" t="e">
        <f t="shared" si="83"/>
        <v>#N/A</v>
      </c>
      <c r="GZ124" s="60" t="e">
        <f ca="1">AVERAGE(OFFSET($GY$3,0,0,'Données projet'!$E$18+1,1))-AVERAGE(OFFSET($H$3,0,0,'Données projet'!$E$18+1,1))</f>
        <v>#N/A</v>
      </c>
      <c r="HA124" s="60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5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2">
        <f t="shared" si="86"/>
        <v>18.829683939536395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8">
        <f t="shared" si="56"/>
        <v>442.14426619469248</v>
      </c>
      <c r="I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3.4106051316484809E-13</v>
      </c>
      <c r="O125" s="14">
        <f>N125*VLOOKUP('Données projet'!$B$9,Paramètres!$A$1:$I$89,3,0)*VLOOKUP('Données projet'!$B$9,Paramètres!$A$1:$I$89,5,0)</f>
        <v>1.5961632016114892E-13</v>
      </c>
      <c r="P125" s="14">
        <f t="shared" si="87"/>
        <v>2.2708641912150958E-12</v>
      </c>
      <c r="Q125" s="22">
        <f t="shared" si="107"/>
        <v>4.2330868906469593E-12</v>
      </c>
      <c r="R125" s="60">
        <f t="shared" si="55"/>
        <v>293.33333333333752</v>
      </c>
      <c r="S125" s="60">
        <f ca="1">AVERAGE(OFFSET($R$3,0,0,'Données projet'!$E$9+1,1))-AVERAGE(OFFSET($H$3,0,0,'Données projet'!$E$9+1,1))</f>
        <v>146.40889017442277</v>
      </c>
      <c r="T125" s="60">
        <f t="shared" si="88"/>
        <v>70.859031694091868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4.2</v>
      </c>
      <c r="AI125" s="14">
        <f>IF('Données projet'!$A$62&gt;35,AI124+AH125-AQ124,IF(A125&lt;'Données projet'!$A$62,$AF$205^A125,IF(A125='Données projet'!$A$62,'Données projet'!$B$62,AI124+AH125-AQ124)))</f>
        <v>360.39999999999986</v>
      </c>
      <c r="AJ125" s="14">
        <f>AI125*VLOOKUP('Données projet'!$B$10,Paramètres!$A$1:$I$89,3,0)*VLOOKUP('Données projet'!$B$10,Paramètres!$A$1:$I$89,5,0)</f>
        <v>326.08991999999984</v>
      </c>
      <c r="AK125" s="14">
        <f t="shared" si="89"/>
        <v>76.619086320573132</v>
      </c>
      <c r="AL125" s="22">
        <f t="shared" si="58"/>
        <v>701.38485267499789</v>
      </c>
      <c r="AM125" s="60">
        <f t="shared" si="59"/>
        <v>994.71818600833126</v>
      </c>
      <c r="AN125" s="60">
        <f ca="1">AVERAGE(OFFSET($AM$3,0,0,'Données projet'!$E$10+1,1))-AVERAGE(OFFSET($H$3,0,0,'Données projet'!$E$10+1,1))</f>
        <v>404.14319681142746</v>
      </c>
      <c r="AO125" s="60">
        <f t="shared" si="90"/>
        <v>203.5274665601915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3.2</v>
      </c>
      <c r="BD125" s="13">
        <f>IF('Données projet'!$A$88&gt;35,BD124+BC125-BL124,IF(A125&lt;'Données projet'!$A$88,$BA$205^A125,IF(A125='Données projet'!$A$88,'Données projet'!$B$88,BD124+BC125-BL124)))</f>
        <v>274.39999999999947</v>
      </c>
      <c r="BE125" s="14">
        <f>BD125*VLOOKUP('Données projet'!$B$11,Paramètres!$A$1:$I$89,3,0)*VLOOKUP('Données projet'!$B$11,Paramètres!$A$1:$I$89,5,0)</f>
        <v>278.24159999999949</v>
      </c>
      <c r="BF125" s="14">
        <f t="shared" si="91"/>
        <v>66.595272276139681</v>
      </c>
      <c r="BG125" s="22">
        <f t="shared" si="61"/>
        <v>600.59088588094244</v>
      </c>
      <c r="BH125" s="60">
        <f t="shared" si="62"/>
        <v>893.92421921427581</v>
      </c>
      <c r="BI125" s="60">
        <f ca="1">AVERAGE(OFFSET($BH$3,0,0,'Données projet'!$E$11+1,1))-AVERAGE(OFFSET($H$3,0,0,'Données projet'!$E$11+1,1))</f>
        <v>350.3652766444938</v>
      </c>
      <c r="BJ125" s="60">
        <f t="shared" si="92"/>
        <v>197.04549436738586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3.2</v>
      </c>
      <c r="BY125" s="13">
        <f>IF('Données projet'!$A$114&gt;35,BY124+BX125-CG124,IF(A125&lt;'Données projet'!$A$114,$BV$205^A125,IF(A125='Données projet'!$A$114,'Données projet'!$B$114,BY124+BX125-CG124)))</f>
        <v>274.39999999999947</v>
      </c>
      <c r="BZ125" s="14">
        <f>BY125*VLOOKUP('Données projet'!$B$12,Paramètres!$A$1:$I$89,3,0)*VLOOKUP('Données projet'!$B$12,Paramètres!$A$1:$I$89,5,0)</f>
        <v>265.39967999999948</v>
      </c>
      <c r="CA125" s="14">
        <f t="shared" si="93"/>
        <v>63.87199095821434</v>
      </c>
      <c r="CB125" s="22">
        <f t="shared" si="64"/>
        <v>573.48149358555565</v>
      </c>
      <c r="CC125" s="60">
        <f t="shared" si="65"/>
        <v>866.81482691888891</v>
      </c>
      <c r="CD125" s="60">
        <f ca="1">AVERAGE(OFFSET($CC$3,0,0,'Données projet'!$E$12+1,1))-AVERAGE(OFFSET($H$3,0,0,'Données projet'!$E$12+1,1))</f>
        <v>330.39429528665841</v>
      </c>
      <c r="CE125" s="60">
        <f t="shared" si="94"/>
        <v>186.45728006007261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3.2</v>
      </c>
      <c r="CT125" s="13">
        <f>IF('Données projet'!$A$140&gt;35,CT124+CS125-DB124,IF(A125&lt;'Données projet'!$A$140,$CQ$205^A125,IF(A125='Données projet'!$A$140,'Données projet'!$B$140,CT124+CS125-DB124)))</f>
        <v>274.39999999999947</v>
      </c>
      <c r="CU125" s="18">
        <f>CT125*VLOOKUP('Données projet'!$B$13,Paramètres!$A$1:$I$89,3,0)*VLOOKUP('Données projet'!$B$13,Paramètres!$A$1:$I$89,5,0)</f>
        <v>295.3641599999994</v>
      </c>
      <c r="CV125" s="14">
        <f t="shared" si="95"/>
        <v>70.203734243178047</v>
      </c>
      <c r="CW125" s="22">
        <f t="shared" si="67"/>
        <v>636.6974158068673</v>
      </c>
      <c r="CX125" s="60">
        <f t="shared" si="68"/>
        <v>930.03074914020067</v>
      </c>
      <c r="CY125" s="60">
        <f ca="1">AVERAGE(OFFSET($CX$3,0,0,'Données projet'!$E$13+1,1))-AVERAGE(OFFSET($H$3,0,0,'Données projet'!$E$13+1,1))</f>
        <v>376.96388721258387</v>
      </c>
      <c r="CZ125" s="60">
        <f t="shared" si="96"/>
        <v>211.14628470344377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1.7053025658242404E-13</v>
      </c>
      <c r="DP125" s="18">
        <f>DO125*VLOOKUP('Données projet'!$B$14,Paramètres!$A$1:$I$89,3,0)*VLOOKUP('Données projet'!$B$14,Paramètres!$A$1:$I$89,5,0)</f>
        <v>1.1439169611549005E-13</v>
      </c>
      <c r="DQ125" s="14">
        <f t="shared" si="97"/>
        <v>1.6918016515029816E-12</v>
      </c>
      <c r="DR125" s="22">
        <f t="shared" si="70"/>
        <v>3.1457867471021712E-12</v>
      </c>
      <c r="DS125" s="60">
        <f t="shared" si="71"/>
        <v>293.33333333333644</v>
      </c>
      <c r="DT125" s="60">
        <f ca="1">AVERAGE(OFFSET($DS$3,0,0,'Données projet'!$E$14+1,1))-AVERAGE(OFFSET($H$3,0,0,'Données projet'!$E$14+1,1))</f>
        <v>212.33913923444732</v>
      </c>
      <c r="DU125" s="60">
        <f t="shared" si="98"/>
        <v>183.51194426094372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0" t="e">
        <f t="shared" si="74"/>
        <v>#N/A</v>
      </c>
      <c r="EO125" s="60" t="e">
        <f ca="1">AVERAGE(OFFSET($EN$3,0,0,'Données projet'!$E$15+1,1))-AVERAGE(OFFSET($H$3,0,0,'Données projet'!$E$15+1,1))</f>
        <v>#N/A</v>
      </c>
      <c r="EP125" s="60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0" t="e">
        <f t="shared" si="77"/>
        <v>#N/A</v>
      </c>
      <c r="FJ125" s="60" t="e">
        <f ca="1">AVERAGE(OFFSET($FI$3,0,0,'Données projet'!$E$16+1,1))-AVERAGE(OFFSET($H$3,0,0,'Données projet'!$E$16+1,1))</f>
        <v>#N/A</v>
      </c>
      <c r="FK125" s="60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0" t="e">
        <f t="shared" si="80"/>
        <v>#N/A</v>
      </c>
      <c r="GE125" s="60" t="e">
        <f ca="1">AVERAGE(OFFSET($GD$3,0,0,'Données projet'!$E$17+1,1))-AVERAGE(OFFSET($H$3,0,0,'Données projet'!$E$17+1,1))</f>
        <v>#N/A</v>
      </c>
      <c r="GF125" s="60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0" t="e">
        <f t="shared" si="83"/>
        <v>#N/A</v>
      </c>
      <c r="GZ125" s="60" t="e">
        <f ca="1">AVERAGE(OFFSET($GY$3,0,0,'Données projet'!$E$18+1,1))-AVERAGE(OFFSET($H$3,0,0,'Données projet'!$E$18+1,1))</f>
        <v>#N/A</v>
      </c>
      <c r="HA125" s="60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5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2">
        <f t="shared" si="86"/>
        <v>18.965995379979955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8">
        <f t="shared" si="56"/>
        <v>443.33262528679836</v>
      </c>
      <c r="I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3.4106051316484809E-13</v>
      </c>
      <c r="O126" s="14">
        <f>N126*VLOOKUP('Données projet'!$B$9,Paramètres!$A$1:$I$89,3,0)*VLOOKUP('Données projet'!$B$9,Paramètres!$A$1:$I$89,5,0)</f>
        <v>1.5961632016114892E-13</v>
      </c>
      <c r="P126" s="14">
        <f t="shared" si="87"/>
        <v>2.2708641912150958E-12</v>
      </c>
      <c r="Q126" s="22">
        <f t="shared" si="107"/>
        <v>4.2330868906469593E-12</v>
      </c>
      <c r="R126" s="60">
        <f t="shared" si="55"/>
        <v>293.33333333333752</v>
      </c>
      <c r="S126" s="60">
        <f ca="1">AVERAGE(OFFSET($R$3,0,0,'Données projet'!$E$9+1,1))-AVERAGE(OFFSET($H$3,0,0,'Données projet'!$E$9+1,1))</f>
        <v>146.40889017442277</v>
      </c>
      <c r="T126" s="60">
        <f t="shared" si="88"/>
        <v>70.859031694091868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4.2</v>
      </c>
      <c r="AI126" s="14">
        <f>IF('Données projet'!$A$62&gt;35,AI125+AH126-AQ125,IF(A126&lt;'Données projet'!$A$62,$AF$205^A126,IF(A126='Données projet'!$A$62,'Données projet'!$B$62,AI125+AH126-AQ125)))</f>
        <v>364.59999999999985</v>
      </c>
      <c r="AJ126" s="14">
        <f>AI126*VLOOKUP('Données projet'!$B$10,Paramètres!$A$1:$I$89,3,0)*VLOOKUP('Données projet'!$B$10,Paramètres!$A$1:$I$89,5,0)</f>
        <v>329.89007999999984</v>
      </c>
      <c r="AK126" s="14">
        <f t="shared" si="89"/>
        <v>77.407517509546452</v>
      </c>
      <c r="AL126" s="22">
        <f t="shared" si="58"/>
        <v>709.37664899579306</v>
      </c>
      <c r="AM126" s="60">
        <f t="shared" si="59"/>
        <v>1002.7099823291264</v>
      </c>
      <c r="AN126" s="60">
        <f ca="1">AVERAGE(OFFSET($AM$3,0,0,'Données projet'!$E$10+1,1))-AVERAGE(OFFSET($H$3,0,0,'Données projet'!$E$10+1,1))</f>
        <v>404.14319681142746</v>
      </c>
      <c r="AO126" s="60">
        <f t="shared" si="90"/>
        <v>203.5274665601915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3.2</v>
      </c>
      <c r="BD126" s="13">
        <f>IF('Données projet'!$A$88&gt;35,BD125+BC126-BL125,IF(A126&lt;'Données projet'!$A$88,$BA$205^A126,IF(A126='Données projet'!$A$88,'Données projet'!$B$88,BD125+BC126-BL125)))</f>
        <v>277.59999999999945</v>
      </c>
      <c r="BE126" s="14">
        <f>BD126*VLOOKUP('Données projet'!$B$11,Paramètres!$A$1:$I$89,3,0)*VLOOKUP('Données projet'!$B$11,Paramètres!$A$1:$I$89,5,0)</f>
        <v>281.48639999999949</v>
      </c>
      <c r="BF126" s="14">
        <f t="shared" si="91"/>
        <v>67.281031071373235</v>
      </c>
      <c r="BG126" s="22">
        <f t="shared" si="61"/>
        <v>607.43660911597419</v>
      </c>
      <c r="BH126" s="60">
        <f t="shared" si="62"/>
        <v>900.76994244930756</v>
      </c>
      <c r="BI126" s="60">
        <f ca="1">AVERAGE(OFFSET($BH$3,0,0,'Données projet'!$E$11+1,1))-AVERAGE(OFFSET($H$3,0,0,'Données projet'!$E$11+1,1))</f>
        <v>350.3652766444938</v>
      </c>
      <c r="BJ126" s="60">
        <f t="shared" si="92"/>
        <v>197.04549436738586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3.2</v>
      </c>
      <c r="BY126" s="13">
        <f>IF('Données projet'!$A$114&gt;35,BY125+BX126-CG125,IF(A126&lt;'Données projet'!$A$114,$BV$205^A126,IF(A126='Données projet'!$A$114,'Données projet'!$B$114,BY125+BX126-CG125)))</f>
        <v>277.59999999999945</v>
      </c>
      <c r="BZ126" s="14">
        <f>BY126*VLOOKUP('Données projet'!$B$12,Paramètres!$A$1:$I$89,3,0)*VLOOKUP('Données projet'!$B$12,Paramètres!$A$1:$I$89,5,0)</f>
        <v>268.49471999999946</v>
      </c>
      <c r="CA126" s="14">
        <f t="shared" si="93"/>
        <v>64.529707010294615</v>
      </c>
      <c r="CB126" s="22">
        <f t="shared" si="64"/>
        <v>580.01754370959543</v>
      </c>
      <c r="CC126" s="60">
        <f t="shared" si="65"/>
        <v>873.35087704292869</v>
      </c>
      <c r="CD126" s="60">
        <f ca="1">AVERAGE(OFFSET($CC$3,0,0,'Données projet'!$E$12+1,1))-AVERAGE(OFFSET($H$3,0,0,'Données projet'!$E$12+1,1))</f>
        <v>330.39429528665841</v>
      </c>
      <c r="CE126" s="60">
        <f t="shared" si="94"/>
        <v>186.45728006007261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3.2</v>
      </c>
      <c r="CT126" s="13">
        <f>IF('Données projet'!$A$140&gt;35,CT125+CS126-DB125,IF(A126&lt;'Données projet'!$A$140,$CQ$205^A126,IF(A126='Données projet'!$A$140,'Données projet'!$B$140,CT125+CS126-DB125)))</f>
        <v>277.59999999999945</v>
      </c>
      <c r="CU126" s="18">
        <f>CT126*VLOOKUP('Données projet'!$B$13,Paramètres!$A$1:$I$89,3,0)*VLOOKUP('Données projet'!$B$13,Paramètres!$A$1:$I$89,5,0)</f>
        <v>298.8086399999994</v>
      </c>
      <c r="CV126" s="14">
        <f t="shared" si="95"/>
        <v>70.926650849267929</v>
      </c>
      <c r="CW126" s="22">
        <f t="shared" si="67"/>
        <v>643.95563156247397</v>
      </c>
      <c r="CX126" s="60">
        <f t="shared" si="68"/>
        <v>937.28896489580734</v>
      </c>
      <c r="CY126" s="60">
        <f ca="1">AVERAGE(OFFSET($CX$3,0,0,'Données projet'!$E$13+1,1))-AVERAGE(OFFSET($H$3,0,0,'Données projet'!$E$13+1,1))</f>
        <v>376.96388721258387</v>
      </c>
      <c r="CZ126" s="60">
        <f t="shared" si="96"/>
        <v>211.14628470344377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1.7053025658242404E-13</v>
      </c>
      <c r="DP126" s="18">
        <f>DO126*VLOOKUP('Données projet'!$B$14,Paramètres!$A$1:$I$89,3,0)*VLOOKUP('Données projet'!$B$14,Paramètres!$A$1:$I$89,5,0)</f>
        <v>1.1439169611549005E-13</v>
      </c>
      <c r="DQ126" s="14">
        <f t="shared" si="97"/>
        <v>1.6918016515029816E-12</v>
      </c>
      <c r="DR126" s="22">
        <f t="shared" si="70"/>
        <v>3.1457867471021712E-12</v>
      </c>
      <c r="DS126" s="60">
        <f t="shared" si="71"/>
        <v>293.33333333333644</v>
      </c>
      <c r="DT126" s="60">
        <f ca="1">AVERAGE(OFFSET($DS$3,0,0,'Données projet'!$E$14+1,1))-AVERAGE(OFFSET($H$3,0,0,'Données projet'!$E$14+1,1))</f>
        <v>212.33913923444732</v>
      </c>
      <c r="DU126" s="60">
        <f t="shared" si="98"/>
        <v>183.51194426094372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0" t="e">
        <f t="shared" si="74"/>
        <v>#N/A</v>
      </c>
      <c r="EO126" s="60" t="e">
        <f ca="1">AVERAGE(OFFSET($EN$3,0,0,'Données projet'!$E$15+1,1))-AVERAGE(OFFSET($H$3,0,0,'Données projet'!$E$15+1,1))</f>
        <v>#N/A</v>
      </c>
      <c r="EP126" s="60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0" t="e">
        <f t="shared" si="77"/>
        <v>#N/A</v>
      </c>
      <c r="FJ126" s="60" t="e">
        <f ca="1">AVERAGE(OFFSET($FI$3,0,0,'Données projet'!$E$16+1,1))-AVERAGE(OFFSET($H$3,0,0,'Données projet'!$E$16+1,1))</f>
        <v>#N/A</v>
      </c>
      <c r="FK126" s="60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0" t="e">
        <f t="shared" si="80"/>
        <v>#N/A</v>
      </c>
      <c r="GE126" s="60" t="e">
        <f ca="1">AVERAGE(OFFSET($GD$3,0,0,'Données projet'!$E$17+1,1))-AVERAGE(OFFSET($H$3,0,0,'Données projet'!$E$17+1,1))</f>
        <v>#N/A</v>
      </c>
      <c r="GF126" s="60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0" t="e">
        <f t="shared" si="83"/>
        <v>#N/A</v>
      </c>
      <c r="GZ126" s="60" t="e">
        <f ca="1">AVERAGE(OFFSET($GY$3,0,0,'Données projet'!$E$18+1,1))-AVERAGE(OFFSET($H$3,0,0,'Données projet'!$E$18+1,1))</f>
        <v>#N/A</v>
      </c>
      <c r="HA126" s="60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5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2">
        <f t="shared" si="86"/>
        <v>19.102177882771514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8">
        <f t="shared" si="56"/>
        <v>444.52075981249368</v>
      </c>
      <c r="I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3.4106051316484809E-13</v>
      </c>
      <c r="O127" s="14">
        <f>N127*VLOOKUP('Données projet'!$B$9,Paramètres!$A$1:$I$89,3,0)*VLOOKUP('Données projet'!$B$9,Paramètres!$A$1:$I$89,5,0)</f>
        <v>1.5961632016114892E-13</v>
      </c>
      <c r="P127" s="14">
        <f t="shared" si="87"/>
        <v>2.2708641912150958E-12</v>
      </c>
      <c r="Q127" s="22">
        <f t="shared" si="107"/>
        <v>4.2330868906469593E-12</v>
      </c>
      <c r="R127" s="60">
        <f t="shared" si="55"/>
        <v>293.33333333333752</v>
      </c>
      <c r="S127" s="60">
        <f ca="1">AVERAGE(OFFSET($R$3,0,0,'Données projet'!$E$9+1,1))-AVERAGE(OFFSET($H$3,0,0,'Données projet'!$E$9+1,1))</f>
        <v>146.40889017442277</v>
      </c>
      <c r="T127" s="60">
        <f t="shared" si="88"/>
        <v>70.859031694091868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4.2</v>
      </c>
      <c r="AI127" s="14">
        <f>IF('Données projet'!$A$62&gt;35,AI126+AH127-AQ126,IF(A127&lt;'Données projet'!$A$62,$AF$205^A127,IF(A127='Données projet'!$A$62,'Données projet'!$B$62,AI126+AH127-AQ126)))</f>
        <v>368.79999999999984</v>
      </c>
      <c r="AJ127" s="14">
        <f>AI127*VLOOKUP('Données projet'!$B$10,Paramètres!$A$1:$I$89,3,0)*VLOOKUP('Données projet'!$B$10,Paramètres!$A$1:$I$89,5,0)</f>
        <v>333.69023999999985</v>
      </c>
      <c r="AK127" s="14">
        <f t="shared" si="89"/>
        <v>78.194892201133555</v>
      </c>
      <c r="AL127" s="22">
        <f t="shared" si="58"/>
        <v>717.36660525030732</v>
      </c>
      <c r="AM127" s="60">
        <f t="shared" si="59"/>
        <v>1010.6999385836407</v>
      </c>
      <c r="AN127" s="60">
        <f ca="1">AVERAGE(OFFSET($AM$3,0,0,'Données projet'!$E$10+1,1))-AVERAGE(OFFSET($H$3,0,0,'Données projet'!$E$10+1,1))</f>
        <v>404.14319681142746</v>
      </c>
      <c r="AO127" s="60">
        <f t="shared" si="90"/>
        <v>203.5274665601915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3.2</v>
      </c>
      <c r="BD127" s="13">
        <f>IF('Données projet'!$A$88&gt;35,BD126+BC127-BL126,IF(A127&lt;'Données projet'!$A$88,$BA$205^A127,IF(A127='Données projet'!$A$88,'Données projet'!$B$88,BD126+BC127-BL126)))</f>
        <v>280.79999999999944</v>
      </c>
      <c r="BE127" s="14">
        <f>BD127*VLOOKUP('Données projet'!$B$11,Paramètres!$A$1:$I$89,3,0)*VLOOKUP('Données projet'!$B$11,Paramètres!$A$1:$I$89,5,0)</f>
        <v>284.73119999999943</v>
      </c>
      <c r="BF127" s="14">
        <f t="shared" si="91"/>
        <v>67.965870320050826</v>
      </c>
      <c r="BG127" s="22">
        <f t="shared" si="61"/>
        <v>614.28073080742081</v>
      </c>
      <c r="BH127" s="60">
        <f t="shared" si="62"/>
        <v>907.61406414075418</v>
      </c>
      <c r="BI127" s="60">
        <f ca="1">AVERAGE(OFFSET($BH$3,0,0,'Données projet'!$E$11+1,1))-AVERAGE(OFFSET($H$3,0,0,'Données projet'!$E$11+1,1))</f>
        <v>350.3652766444938</v>
      </c>
      <c r="BJ127" s="60">
        <f t="shared" si="92"/>
        <v>197.04549436738586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3.2</v>
      </c>
      <c r="BY127" s="13">
        <f>IF('Données projet'!$A$114&gt;35,BY126+BX127-CG126,IF(A127&lt;'Données projet'!$A$114,$BV$205^A127,IF(A127='Données projet'!$A$114,'Données projet'!$B$114,BY126+BX127-CG126)))</f>
        <v>280.79999999999944</v>
      </c>
      <c r="BZ127" s="14">
        <f>BY127*VLOOKUP('Données projet'!$B$12,Paramètres!$A$1:$I$89,3,0)*VLOOKUP('Données projet'!$B$12,Paramètres!$A$1:$I$89,5,0)</f>
        <v>271.5897599999995</v>
      </c>
      <c r="CA127" s="14">
        <f t="shared" si="93"/>
        <v>65.186541118848012</v>
      </c>
      <c r="CB127" s="22">
        <f t="shared" si="64"/>
        <v>586.55205778199274</v>
      </c>
      <c r="CC127" s="60">
        <f t="shared" si="65"/>
        <v>879.885391115326</v>
      </c>
      <c r="CD127" s="60">
        <f ca="1">AVERAGE(OFFSET($CC$3,0,0,'Données projet'!$E$12+1,1))-AVERAGE(OFFSET($H$3,0,0,'Données projet'!$E$12+1,1))</f>
        <v>330.39429528665841</v>
      </c>
      <c r="CE127" s="60">
        <f t="shared" si="94"/>
        <v>186.45728006007261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3.2</v>
      </c>
      <c r="CT127" s="13">
        <f>IF('Données projet'!$A$140&gt;35,CT126+CS127-DB126,IF(A127&lt;'Données projet'!$A$140,$CQ$205^A127,IF(A127='Données projet'!$A$140,'Données projet'!$B$140,CT126+CS127-DB126)))</f>
        <v>280.79999999999944</v>
      </c>
      <c r="CU127" s="18">
        <f>CT127*VLOOKUP('Données projet'!$B$13,Paramètres!$A$1:$I$89,3,0)*VLOOKUP('Données projet'!$B$13,Paramètres!$A$1:$I$89,5,0)</f>
        <v>302.2531199999994</v>
      </c>
      <c r="CV127" s="14">
        <f t="shared" si="95"/>
        <v>71.648598083211283</v>
      </c>
      <c r="CW127" s="22">
        <f t="shared" si="67"/>
        <v>651.21215899492529</v>
      </c>
      <c r="CX127" s="60">
        <f t="shared" si="68"/>
        <v>944.54549232825866</v>
      </c>
      <c r="CY127" s="60">
        <f ca="1">AVERAGE(OFFSET($CX$3,0,0,'Données projet'!$E$13+1,1))-AVERAGE(OFFSET($H$3,0,0,'Données projet'!$E$13+1,1))</f>
        <v>376.96388721258387</v>
      </c>
      <c r="CZ127" s="60">
        <f t="shared" si="96"/>
        <v>211.14628470344377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1.7053025658242404E-13</v>
      </c>
      <c r="DP127" s="18">
        <f>DO127*VLOOKUP('Données projet'!$B$14,Paramètres!$A$1:$I$89,3,0)*VLOOKUP('Données projet'!$B$14,Paramètres!$A$1:$I$89,5,0)</f>
        <v>1.1439169611549005E-13</v>
      </c>
      <c r="DQ127" s="14">
        <f t="shared" si="97"/>
        <v>1.6918016515029816E-12</v>
      </c>
      <c r="DR127" s="22">
        <f t="shared" si="70"/>
        <v>3.1457867471021712E-12</v>
      </c>
      <c r="DS127" s="60">
        <f t="shared" si="71"/>
        <v>293.33333333333644</v>
      </c>
      <c r="DT127" s="60">
        <f ca="1">AVERAGE(OFFSET($DS$3,0,0,'Données projet'!$E$14+1,1))-AVERAGE(OFFSET($H$3,0,0,'Données projet'!$E$14+1,1))</f>
        <v>212.33913923444732</v>
      </c>
      <c r="DU127" s="60">
        <f t="shared" si="98"/>
        <v>183.51194426094372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0" t="e">
        <f t="shared" si="74"/>
        <v>#N/A</v>
      </c>
      <c r="EO127" s="60" t="e">
        <f ca="1">AVERAGE(OFFSET($EN$3,0,0,'Données projet'!$E$15+1,1))-AVERAGE(OFFSET($H$3,0,0,'Données projet'!$E$15+1,1))</f>
        <v>#N/A</v>
      </c>
      <c r="EP127" s="60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0" t="e">
        <f t="shared" si="77"/>
        <v>#N/A</v>
      </c>
      <c r="FJ127" s="60" t="e">
        <f ca="1">AVERAGE(OFFSET($FI$3,0,0,'Données projet'!$E$16+1,1))-AVERAGE(OFFSET($H$3,0,0,'Données projet'!$E$16+1,1))</f>
        <v>#N/A</v>
      </c>
      <c r="FK127" s="60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0" t="e">
        <f t="shared" si="80"/>
        <v>#N/A</v>
      </c>
      <c r="GE127" s="60" t="e">
        <f ca="1">AVERAGE(OFFSET($GD$3,0,0,'Données projet'!$E$17+1,1))-AVERAGE(OFFSET($H$3,0,0,'Données projet'!$E$17+1,1))</f>
        <v>#N/A</v>
      </c>
      <c r="GF127" s="60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0" t="e">
        <f t="shared" si="83"/>
        <v>#N/A</v>
      </c>
      <c r="GZ127" s="60" t="e">
        <f ca="1">AVERAGE(OFFSET($GY$3,0,0,'Données projet'!$E$18+1,1))-AVERAGE(OFFSET($H$3,0,0,'Données projet'!$E$18+1,1))</f>
        <v>#N/A</v>
      </c>
      <c r="HA127" s="60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5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2">
        <f t="shared" si="86"/>
        <v>19.238232608246435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8">
        <f t="shared" si="56"/>
        <v>445.70867179269578</v>
      </c>
      <c r="I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3.4106051316484809E-13</v>
      </c>
      <c r="O128" s="14">
        <f>N128*VLOOKUP('Données projet'!$B$9,Paramètres!$A$1:$I$89,3,0)*VLOOKUP('Données projet'!$B$9,Paramètres!$A$1:$I$89,5,0)</f>
        <v>1.5961632016114892E-13</v>
      </c>
      <c r="P128" s="14">
        <f t="shared" si="87"/>
        <v>2.2708641912150958E-12</v>
      </c>
      <c r="Q128" s="22">
        <f t="shared" si="107"/>
        <v>4.2330868906469593E-12</v>
      </c>
      <c r="R128" s="60">
        <f t="shared" si="55"/>
        <v>293.33333333333752</v>
      </c>
      <c r="S128" s="60">
        <f ca="1">AVERAGE(OFFSET($R$3,0,0,'Données projet'!$E$9+1,1))-AVERAGE(OFFSET($H$3,0,0,'Données projet'!$E$9+1,1))</f>
        <v>146.40889017442277</v>
      </c>
      <c r="T128" s="60">
        <f t="shared" si="88"/>
        <v>70.859031694091868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4.2</v>
      </c>
      <c r="AI128" s="14">
        <f>IF('Données projet'!$A$62&gt;35,AI127+AH128-AQ127,IF(A128&lt;'Données projet'!$A$62,$AF$205^A128,IF(A128='Données projet'!$A$62,'Données projet'!$B$62,AI127+AH128-AQ127)))</f>
        <v>372.99999999999983</v>
      </c>
      <c r="AJ128" s="14">
        <f>AI128*VLOOKUP('Données projet'!$B$10,Paramètres!$A$1:$I$89,3,0)*VLOOKUP('Données projet'!$B$10,Paramètres!$A$1:$I$89,5,0)</f>
        <v>337.49039999999985</v>
      </c>
      <c r="AK128" s="14">
        <f t="shared" si="89"/>
        <v>78.981223819202711</v>
      </c>
      <c r="AL128" s="22">
        <f t="shared" si="58"/>
        <v>725.35474481844449</v>
      </c>
      <c r="AM128" s="60">
        <f t="shared" si="59"/>
        <v>1018.6880781517777</v>
      </c>
      <c r="AN128" s="60">
        <f ca="1">AVERAGE(OFFSET($AM$3,0,0,'Données projet'!$E$10+1,1))-AVERAGE(OFFSET($H$3,0,0,'Données projet'!$E$10+1,1))</f>
        <v>404.14319681142746</v>
      </c>
      <c r="AO128" s="60">
        <f t="shared" si="90"/>
        <v>203.5274665601915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3.2</v>
      </c>
      <c r="BD128" s="13">
        <f>IF('Données projet'!$A$88&gt;35,BD127+BC128-BL127,IF(A128&lt;'Données projet'!$A$88,$BA$205^A128,IF(A128='Données projet'!$A$88,'Données projet'!$B$88,BD127+BC128-BL127)))</f>
        <v>283.99999999999943</v>
      </c>
      <c r="BE128" s="14">
        <f>BD128*VLOOKUP('Données projet'!$B$11,Paramètres!$A$1:$I$89,3,0)*VLOOKUP('Données projet'!$B$11,Paramètres!$A$1:$I$89,5,0)</f>
        <v>287.97599999999943</v>
      </c>
      <c r="BF128" s="14">
        <f t="shared" si="91"/>
        <v>68.649801713863027</v>
      </c>
      <c r="BG128" s="22">
        <f t="shared" si="61"/>
        <v>621.12327131831046</v>
      </c>
      <c r="BH128" s="60">
        <f t="shared" si="62"/>
        <v>914.45660465164383</v>
      </c>
      <c r="BI128" s="60">
        <f ca="1">AVERAGE(OFFSET($BH$3,0,0,'Données projet'!$E$11+1,1))-AVERAGE(OFFSET($H$3,0,0,'Données projet'!$E$11+1,1))</f>
        <v>350.3652766444938</v>
      </c>
      <c r="BJ128" s="60">
        <f t="shared" si="92"/>
        <v>197.04549436738586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3.2</v>
      </c>
      <c r="BY128" s="13">
        <f>IF('Données projet'!$A$114&gt;35,BY127+BX128-CG127,IF(A128&lt;'Données projet'!$A$114,$BV$205^A128,IF(A128='Données projet'!$A$114,'Données projet'!$B$114,BY127+BX128-CG127)))</f>
        <v>283.99999999999943</v>
      </c>
      <c r="BZ128" s="14">
        <f>BY128*VLOOKUP('Données projet'!$B$12,Paramètres!$A$1:$I$89,3,0)*VLOOKUP('Données projet'!$B$12,Paramètres!$A$1:$I$89,5,0)</f>
        <v>274.68479999999943</v>
      </c>
      <c r="CA128" s="14">
        <f t="shared" si="93"/>
        <v>65.842504497456545</v>
      </c>
      <c r="CB128" s="22">
        <f t="shared" si="64"/>
        <v>593.08505533306914</v>
      </c>
      <c r="CC128" s="60">
        <f t="shared" si="65"/>
        <v>886.41838866640251</v>
      </c>
      <c r="CD128" s="60">
        <f ca="1">AVERAGE(OFFSET($CC$3,0,0,'Données projet'!$E$12+1,1))-AVERAGE(OFFSET($H$3,0,0,'Données projet'!$E$12+1,1))</f>
        <v>330.39429528665841</v>
      </c>
      <c r="CE128" s="60">
        <f t="shared" si="94"/>
        <v>186.45728006007261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3.2</v>
      </c>
      <c r="CT128" s="13">
        <f>IF('Données projet'!$A$140&gt;35,CT127+CS128-DB127,IF(A128&lt;'Données projet'!$A$140,$CQ$205^A128,IF(A128='Données projet'!$A$140,'Données projet'!$B$140,CT127+CS128-DB127)))</f>
        <v>283.99999999999943</v>
      </c>
      <c r="CU128" s="18">
        <f>CT128*VLOOKUP('Données projet'!$B$13,Paramètres!$A$1:$I$89,3,0)*VLOOKUP('Données projet'!$B$13,Paramètres!$A$1:$I$89,5,0)</f>
        <v>305.69759999999934</v>
      </c>
      <c r="CV128" s="14">
        <f t="shared" si="95"/>
        <v>72.369588270212233</v>
      </c>
      <c r="CW128" s="22">
        <f t="shared" si="67"/>
        <v>658.46701957061839</v>
      </c>
      <c r="CX128" s="60">
        <f t="shared" si="68"/>
        <v>951.80035290395176</v>
      </c>
      <c r="CY128" s="60">
        <f ca="1">AVERAGE(OFFSET($CX$3,0,0,'Données projet'!$E$13+1,1))-AVERAGE(OFFSET($H$3,0,0,'Données projet'!$E$13+1,1))</f>
        <v>376.96388721258387</v>
      </c>
      <c r="CZ128" s="60">
        <f t="shared" si="96"/>
        <v>211.14628470344377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1.7053025658242404E-13</v>
      </c>
      <c r="DP128" s="18">
        <f>DO128*VLOOKUP('Données projet'!$B$14,Paramètres!$A$1:$I$89,3,0)*VLOOKUP('Données projet'!$B$14,Paramètres!$A$1:$I$89,5,0)</f>
        <v>1.1439169611549005E-13</v>
      </c>
      <c r="DQ128" s="14">
        <f t="shared" si="97"/>
        <v>1.6918016515029816E-12</v>
      </c>
      <c r="DR128" s="22">
        <f t="shared" si="70"/>
        <v>3.1457867471021712E-12</v>
      </c>
      <c r="DS128" s="60">
        <f t="shared" si="71"/>
        <v>293.33333333333644</v>
      </c>
      <c r="DT128" s="60">
        <f ca="1">AVERAGE(OFFSET($DS$3,0,0,'Données projet'!$E$14+1,1))-AVERAGE(OFFSET($H$3,0,0,'Données projet'!$E$14+1,1))</f>
        <v>212.33913923444732</v>
      </c>
      <c r="DU128" s="60">
        <f t="shared" si="98"/>
        <v>183.51194426094372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0" t="e">
        <f t="shared" si="74"/>
        <v>#N/A</v>
      </c>
      <c r="EO128" s="60" t="e">
        <f ca="1">AVERAGE(OFFSET($EN$3,0,0,'Données projet'!$E$15+1,1))-AVERAGE(OFFSET($H$3,0,0,'Données projet'!$E$15+1,1))</f>
        <v>#N/A</v>
      </c>
      <c r="EP128" s="60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0" t="e">
        <f t="shared" si="77"/>
        <v>#N/A</v>
      </c>
      <c r="FJ128" s="60" t="e">
        <f ca="1">AVERAGE(OFFSET($FI$3,0,0,'Données projet'!$E$16+1,1))-AVERAGE(OFFSET($H$3,0,0,'Données projet'!$E$16+1,1))</f>
        <v>#N/A</v>
      </c>
      <c r="FK128" s="60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0" t="e">
        <f t="shared" si="80"/>
        <v>#N/A</v>
      </c>
      <c r="GE128" s="60" t="e">
        <f ca="1">AVERAGE(OFFSET($GD$3,0,0,'Données projet'!$E$17+1,1))-AVERAGE(OFFSET($H$3,0,0,'Données projet'!$E$17+1,1))</f>
        <v>#N/A</v>
      </c>
      <c r="GF128" s="60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0" t="e">
        <f t="shared" si="83"/>
        <v>#N/A</v>
      </c>
      <c r="GZ128" s="60" t="e">
        <f ca="1">AVERAGE(OFFSET($GY$3,0,0,'Données projet'!$E$18+1,1))-AVERAGE(OFFSET($H$3,0,0,'Données projet'!$E$18+1,1))</f>
        <v>#N/A</v>
      </c>
      <c r="HA128" s="60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5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2">
        <f t="shared" si="86"/>
        <v>19.374160697102734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8">
        <f t="shared" si="56"/>
        <v>446.89636321412058</v>
      </c>
      <c r="I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3.4106051316484809E-13</v>
      </c>
      <c r="O129" s="14">
        <f>N129*VLOOKUP('Données projet'!$B$9,Paramètres!$A$1:$I$89,3,0)*VLOOKUP('Données projet'!$B$9,Paramètres!$A$1:$I$89,5,0)</f>
        <v>1.5961632016114892E-13</v>
      </c>
      <c r="P129" s="14">
        <f t="shared" si="87"/>
        <v>2.2708641912150958E-12</v>
      </c>
      <c r="Q129" s="22">
        <f t="shared" si="107"/>
        <v>4.2330868906469593E-12</v>
      </c>
      <c r="R129" s="60">
        <f t="shared" si="55"/>
        <v>293.33333333333752</v>
      </c>
      <c r="S129" s="60">
        <f ca="1">AVERAGE(OFFSET($R$3,0,0,'Données projet'!$E$9+1,1))-AVERAGE(OFFSET($H$3,0,0,'Données projet'!$E$9+1,1))</f>
        <v>146.40889017442277</v>
      </c>
      <c r="T129" s="60">
        <f t="shared" si="88"/>
        <v>70.859031694091868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4.2</v>
      </c>
      <c r="AI129" s="14">
        <f>IF('Données projet'!$A$62&gt;35,AI128+AH129-AQ128,IF(A129&lt;'Données projet'!$A$62,$AF$205^A129,IF(A129='Données projet'!$A$62,'Données projet'!$B$62,AI128+AH129-AQ128)))</f>
        <v>377.19999999999982</v>
      </c>
      <c r="AJ129" s="14">
        <f>AI129*VLOOKUP('Données projet'!$B$10,Paramètres!$A$1:$I$89,3,0)*VLOOKUP('Données projet'!$B$10,Paramètres!$A$1:$I$89,5,0)</f>
        <v>341.2905599999998</v>
      </c>
      <c r="AK129" s="14">
        <f t="shared" si="89"/>
        <v>79.766525467910597</v>
      </c>
      <c r="AL129" s="22">
        <f t="shared" si="58"/>
        <v>733.34109052327722</v>
      </c>
      <c r="AM129" s="60">
        <f t="shared" si="59"/>
        <v>1026.6744238566105</v>
      </c>
      <c r="AN129" s="60">
        <f ca="1">AVERAGE(OFFSET($AM$3,0,0,'Données projet'!$E$10+1,1))-AVERAGE(OFFSET($H$3,0,0,'Données projet'!$E$10+1,1))</f>
        <v>404.14319681142746</v>
      </c>
      <c r="AO129" s="60">
        <f t="shared" si="90"/>
        <v>203.5274665601915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3.2</v>
      </c>
      <c r="BD129" s="13">
        <f>IF('Données projet'!$A$88&gt;35,BD128+BC129-BL128,IF(A129&lt;'Données projet'!$A$88,$BA$205^A129,IF(A129='Données projet'!$A$88,'Données projet'!$B$88,BD128+BC129-BL128)))</f>
        <v>287.19999999999942</v>
      </c>
      <c r="BE129" s="14">
        <f>BD129*VLOOKUP('Données projet'!$B$11,Paramètres!$A$1:$I$89,3,0)*VLOOKUP('Données projet'!$B$11,Paramètres!$A$1:$I$89,5,0)</f>
        <v>291.22079999999943</v>
      </c>
      <c r="BF129" s="14">
        <f t="shared" si="91"/>
        <v>69.33283666585649</v>
      </c>
      <c r="BG129" s="22">
        <f t="shared" si="61"/>
        <v>627.96425052636573</v>
      </c>
      <c r="BH129" s="60">
        <f t="shared" si="62"/>
        <v>921.29758385969899</v>
      </c>
      <c r="BI129" s="60">
        <f ca="1">AVERAGE(OFFSET($BH$3,0,0,'Données projet'!$E$11+1,1))-AVERAGE(OFFSET($H$3,0,0,'Données projet'!$E$11+1,1))</f>
        <v>350.3652766444938</v>
      </c>
      <c r="BJ129" s="60">
        <f t="shared" si="92"/>
        <v>197.04549436738586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3.2</v>
      </c>
      <c r="BY129" s="13">
        <f>IF('Données projet'!$A$114&gt;35,BY128+BX129-CG128,IF(A129&lt;'Données projet'!$A$114,$BV$205^A129,IF(A129='Données projet'!$A$114,'Données projet'!$B$114,BY128+BX129-CG128)))</f>
        <v>287.19999999999942</v>
      </c>
      <c r="BZ129" s="14">
        <f>BY129*VLOOKUP('Données projet'!$B$12,Paramètres!$A$1:$I$89,3,0)*VLOOKUP('Données projet'!$B$12,Paramètres!$A$1:$I$89,5,0)</f>
        <v>277.77983999999947</v>
      </c>
      <c r="CA129" s="14">
        <f t="shared" si="93"/>
        <v>66.497608092453063</v>
      </c>
      <c r="CB129" s="22">
        <f t="shared" si="64"/>
        <v>599.61655542768813</v>
      </c>
      <c r="CC129" s="60">
        <f t="shared" si="65"/>
        <v>892.94988876102138</v>
      </c>
      <c r="CD129" s="60">
        <f ca="1">AVERAGE(OFFSET($CC$3,0,0,'Données projet'!$E$12+1,1))-AVERAGE(OFFSET($H$3,0,0,'Données projet'!$E$12+1,1))</f>
        <v>330.39429528665841</v>
      </c>
      <c r="CE129" s="60">
        <f t="shared" si="94"/>
        <v>186.45728006007261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3.2</v>
      </c>
      <c r="CT129" s="13">
        <f>IF('Données projet'!$A$140&gt;35,CT128+CS129-DB128,IF(A129&lt;'Données projet'!$A$140,$CQ$205^A129,IF(A129='Données projet'!$A$140,'Données projet'!$B$140,CT128+CS129-DB128)))</f>
        <v>287.19999999999942</v>
      </c>
      <c r="CU129" s="18">
        <f>CT129*VLOOKUP('Données projet'!$B$13,Paramètres!$A$1:$I$89,3,0)*VLOOKUP('Données projet'!$B$13,Paramètres!$A$1:$I$89,5,0)</f>
        <v>309.14207999999934</v>
      </c>
      <c r="CV129" s="14">
        <f t="shared" si="95"/>
        <v>73.089633441733085</v>
      </c>
      <c r="CW129" s="22">
        <f t="shared" si="67"/>
        <v>665.72023424435065</v>
      </c>
      <c r="CX129" s="60">
        <f t="shared" si="68"/>
        <v>959.05356757768391</v>
      </c>
      <c r="CY129" s="60">
        <f ca="1">AVERAGE(OFFSET($CX$3,0,0,'Données projet'!$E$13+1,1))-AVERAGE(OFFSET($H$3,0,0,'Données projet'!$E$13+1,1))</f>
        <v>376.96388721258387</v>
      </c>
      <c r="CZ129" s="60">
        <f t="shared" si="96"/>
        <v>211.14628470344377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1.7053025658242404E-13</v>
      </c>
      <c r="DP129" s="18">
        <f>DO129*VLOOKUP('Données projet'!$B$14,Paramètres!$A$1:$I$89,3,0)*VLOOKUP('Données projet'!$B$14,Paramètres!$A$1:$I$89,5,0)</f>
        <v>1.1439169611549005E-13</v>
      </c>
      <c r="DQ129" s="14">
        <f t="shared" si="97"/>
        <v>1.6918016515029816E-12</v>
      </c>
      <c r="DR129" s="22">
        <f t="shared" si="70"/>
        <v>3.1457867471021712E-12</v>
      </c>
      <c r="DS129" s="60">
        <f t="shared" si="71"/>
        <v>293.33333333333644</v>
      </c>
      <c r="DT129" s="60">
        <f ca="1">AVERAGE(OFFSET($DS$3,0,0,'Données projet'!$E$14+1,1))-AVERAGE(OFFSET($H$3,0,0,'Données projet'!$E$14+1,1))</f>
        <v>212.33913923444732</v>
      </c>
      <c r="DU129" s="60">
        <f t="shared" si="98"/>
        <v>183.51194426094372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0" t="e">
        <f t="shared" si="74"/>
        <v>#N/A</v>
      </c>
      <c r="EO129" s="60" t="e">
        <f ca="1">AVERAGE(OFFSET($EN$3,0,0,'Données projet'!$E$15+1,1))-AVERAGE(OFFSET($H$3,0,0,'Données projet'!$E$15+1,1))</f>
        <v>#N/A</v>
      </c>
      <c r="EP129" s="60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0" t="e">
        <f t="shared" si="77"/>
        <v>#N/A</v>
      </c>
      <c r="FJ129" s="60" t="e">
        <f ca="1">AVERAGE(OFFSET($FI$3,0,0,'Données projet'!$E$16+1,1))-AVERAGE(OFFSET($H$3,0,0,'Données projet'!$E$16+1,1))</f>
        <v>#N/A</v>
      </c>
      <c r="FK129" s="60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0" t="e">
        <f t="shared" si="80"/>
        <v>#N/A</v>
      </c>
      <c r="GE129" s="60" t="e">
        <f ca="1">AVERAGE(OFFSET($GD$3,0,0,'Données projet'!$E$17+1,1))-AVERAGE(OFFSET($H$3,0,0,'Données projet'!$E$17+1,1))</f>
        <v>#N/A</v>
      </c>
      <c r="GF129" s="60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0" t="e">
        <f t="shared" si="83"/>
        <v>#N/A</v>
      </c>
      <c r="GZ129" s="60" t="e">
        <f ca="1">AVERAGE(OFFSET($GY$3,0,0,'Données projet'!$E$18+1,1))-AVERAGE(OFFSET($H$3,0,0,'Données projet'!$E$18+1,1))</f>
        <v>#N/A</v>
      </c>
      <c r="HA129" s="60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5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2">
        <f t="shared" si="86"/>
        <v>19.509963270886551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8">
        <f t="shared" si="56"/>
        <v>448.08383603012737</v>
      </c>
      <c r="I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3.4106051316484809E-13</v>
      </c>
      <c r="O130" s="14">
        <f>N130*VLOOKUP('Données projet'!$B$9,Paramètres!$A$1:$I$89,3,0)*VLOOKUP('Données projet'!$B$9,Paramètres!$A$1:$I$89,5,0)</f>
        <v>1.5961632016114892E-13</v>
      </c>
      <c r="P130" s="14">
        <f t="shared" si="87"/>
        <v>2.2708641912150958E-12</v>
      </c>
      <c r="Q130" s="22">
        <f t="shared" si="107"/>
        <v>4.2330868906469593E-12</v>
      </c>
      <c r="R130" s="60">
        <f t="shared" si="55"/>
        <v>293.33333333333752</v>
      </c>
      <c r="S130" s="60">
        <f ca="1">AVERAGE(OFFSET($R$3,0,0,'Données projet'!$E$9+1,1))-AVERAGE(OFFSET($H$3,0,0,'Données projet'!$E$9+1,1))</f>
        <v>146.40889017442277</v>
      </c>
      <c r="T130" s="60">
        <f t="shared" si="88"/>
        <v>70.859031694091868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4.2</v>
      </c>
      <c r="AI130" s="14">
        <f>IF('Données projet'!$A$62&gt;35,AI129+AH130-AQ129,IF(A130&lt;'Données projet'!$A$62,$AF$205^A130,IF(A130='Données projet'!$A$62,'Données projet'!$B$62,AI129+AH130-AQ129)))</f>
        <v>381.39999999999981</v>
      </c>
      <c r="AJ130" s="14">
        <f>AI130*VLOOKUP('Données projet'!$B$10,Paramètres!$A$1:$I$89,3,0)*VLOOKUP('Données projet'!$B$10,Paramètres!$A$1:$I$89,5,0)</f>
        <v>345.09071999999981</v>
      </c>
      <c r="AK130" s="14">
        <f t="shared" si="89"/>
        <v>80.550809942790039</v>
      </c>
      <c r="AL130" s="22">
        <f t="shared" si="58"/>
        <v>741.32566465035904</v>
      </c>
      <c r="AM130" s="60">
        <f t="shared" si="59"/>
        <v>1034.6589979836924</v>
      </c>
      <c r="AN130" s="60">
        <f ca="1">AVERAGE(OFFSET($AM$3,0,0,'Données projet'!$E$10+1,1))-AVERAGE(OFFSET($H$3,0,0,'Données projet'!$E$10+1,1))</f>
        <v>404.14319681142746</v>
      </c>
      <c r="AO130" s="60">
        <f t="shared" si="90"/>
        <v>203.5274665601915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3.2</v>
      </c>
      <c r="BD130" s="13">
        <f>IF('Données projet'!$A$88&gt;35,BD129+BC130-BL129,IF(A130&lt;'Données projet'!$A$88,$BA$205^A130,IF(A130='Données projet'!$A$88,'Données projet'!$B$88,BD129+BC130-BL129)))</f>
        <v>290.39999999999941</v>
      </c>
      <c r="BE130" s="14">
        <f>BD130*VLOOKUP('Données projet'!$B$11,Paramètres!$A$1:$I$89,3,0)*VLOOKUP('Données projet'!$B$11,Paramètres!$A$1:$I$89,5,0)</f>
        <v>294.46559999999943</v>
      </c>
      <c r="BF130" s="14">
        <f t="shared" si="91"/>
        <v>70.0149863201041</v>
      </c>
      <c r="BG130" s="22">
        <f t="shared" si="61"/>
        <v>634.80368784084692</v>
      </c>
      <c r="BH130" s="60">
        <f t="shared" si="62"/>
        <v>928.13702117418029</v>
      </c>
      <c r="BI130" s="60">
        <f ca="1">AVERAGE(OFFSET($BH$3,0,0,'Données projet'!$E$11+1,1))-AVERAGE(OFFSET($H$3,0,0,'Données projet'!$E$11+1,1))</f>
        <v>350.3652766444938</v>
      </c>
      <c r="BJ130" s="60">
        <f t="shared" si="92"/>
        <v>197.04549436738586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3.2</v>
      </c>
      <c r="BY130" s="13">
        <f>IF('Données projet'!$A$114&gt;35,BY129+BX130-CG129,IF(A130&lt;'Données projet'!$A$114,$BV$205^A130,IF(A130='Données projet'!$A$114,'Données projet'!$B$114,BY129+BX130-CG129)))</f>
        <v>290.39999999999941</v>
      </c>
      <c r="BZ130" s="14">
        <f>BY130*VLOOKUP('Données projet'!$B$12,Paramètres!$A$1:$I$89,3,0)*VLOOKUP('Données projet'!$B$12,Paramètres!$A$1:$I$89,5,0)</f>
        <v>280.87487999999945</v>
      </c>
      <c r="CA130" s="14">
        <f t="shared" si="93"/>
        <v>67.151862592195727</v>
      </c>
      <c r="CB130" s="22">
        <f t="shared" si="64"/>
        <v>606.1465766814066</v>
      </c>
      <c r="CC130" s="60">
        <f t="shared" si="65"/>
        <v>899.47991001473997</v>
      </c>
      <c r="CD130" s="60">
        <f ca="1">AVERAGE(OFFSET($CC$3,0,0,'Données projet'!$E$12+1,1))-AVERAGE(OFFSET($H$3,0,0,'Données projet'!$E$12+1,1))</f>
        <v>330.39429528665841</v>
      </c>
      <c r="CE130" s="60">
        <f t="shared" si="94"/>
        <v>186.45728006007261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3.2</v>
      </c>
      <c r="CT130" s="13">
        <f>IF('Données projet'!$A$140&gt;35,CT129+CS130-DB129,IF(A130&lt;'Données projet'!$A$140,$CQ$205^A130,IF(A130='Données projet'!$A$140,'Données projet'!$B$140,CT129+CS130-DB129)))</f>
        <v>290.39999999999941</v>
      </c>
      <c r="CU130" s="18">
        <f>CT130*VLOOKUP('Données projet'!$B$13,Paramètres!$A$1:$I$89,3,0)*VLOOKUP('Données projet'!$B$13,Paramètres!$A$1:$I$89,5,0)</f>
        <v>312.58655999999934</v>
      </c>
      <c r="CV130" s="14">
        <f t="shared" si="95"/>
        <v>73.808745345687839</v>
      </c>
      <c r="CW130" s="22">
        <f t="shared" si="67"/>
        <v>672.97182347707178</v>
      </c>
      <c r="CX130" s="60">
        <f t="shared" si="68"/>
        <v>966.30515681040515</v>
      </c>
      <c r="CY130" s="60">
        <f ca="1">AVERAGE(OFFSET($CX$3,0,0,'Données projet'!$E$13+1,1))-AVERAGE(OFFSET($H$3,0,0,'Données projet'!$E$13+1,1))</f>
        <v>376.96388721258387</v>
      </c>
      <c r="CZ130" s="60">
        <f t="shared" si="96"/>
        <v>211.14628470344377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1.7053025658242404E-13</v>
      </c>
      <c r="DP130" s="18">
        <f>DO130*VLOOKUP('Données projet'!$B$14,Paramètres!$A$1:$I$89,3,0)*VLOOKUP('Données projet'!$B$14,Paramètres!$A$1:$I$89,5,0)</f>
        <v>1.1439169611549005E-13</v>
      </c>
      <c r="DQ130" s="14">
        <f t="shared" si="97"/>
        <v>1.6918016515029816E-12</v>
      </c>
      <c r="DR130" s="22">
        <f t="shared" si="70"/>
        <v>3.1457867471021712E-12</v>
      </c>
      <c r="DS130" s="60">
        <f t="shared" si="71"/>
        <v>293.33333333333644</v>
      </c>
      <c r="DT130" s="60">
        <f ca="1">AVERAGE(OFFSET($DS$3,0,0,'Données projet'!$E$14+1,1))-AVERAGE(OFFSET($H$3,0,0,'Données projet'!$E$14+1,1))</f>
        <v>212.33913923444732</v>
      </c>
      <c r="DU130" s="60">
        <f t="shared" si="98"/>
        <v>183.51194426094372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0" t="e">
        <f t="shared" si="74"/>
        <v>#N/A</v>
      </c>
      <c r="EO130" s="60" t="e">
        <f ca="1">AVERAGE(OFFSET($EN$3,0,0,'Données projet'!$E$15+1,1))-AVERAGE(OFFSET($H$3,0,0,'Données projet'!$E$15+1,1))</f>
        <v>#N/A</v>
      </c>
      <c r="EP130" s="60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0" t="e">
        <f t="shared" si="77"/>
        <v>#N/A</v>
      </c>
      <c r="FJ130" s="60" t="e">
        <f ca="1">AVERAGE(OFFSET($FI$3,0,0,'Données projet'!$E$16+1,1))-AVERAGE(OFFSET($H$3,0,0,'Données projet'!$E$16+1,1))</f>
        <v>#N/A</v>
      </c>
      <c r="FK130" s="60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0" t="e">
        <f t="shared" si="80"/>
        <v>#N/A</v>
      </c>
      <c r="GE130" s="60" t="e">
        <f ca="1">AVERAGE(OFFSET($GD$3,0,0,'Données projet'!$E$17+1,1))-AVERAGE(OFFSET($H$3,0,0,'Données projet'!$E$17+1,1))</f>
        <v>#N/A</v>
      </c>
      <c r="GF130" s="60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0" t="e">
        <f t="shared" si="83"/>
        <v>#N/A</v>
      </c>
      <c r="GZ130" s="60" t="e">
        <f ca="1">AVERAGE(OFFSET($GY$3,0,0,'Données projet'!$E$18+1,1))-AVERAGE(OFFSET($H$3,0,0,'Données projet'!$E$18+1,1))</f>
        <v>#N/A</v>
      </c>
      <c r="HA130" s="60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5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2">
        <f t="shared" si="86"/>
        <v>19.645641432461961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8">
        <f t="shared" si="56"/>
        <v>449.27109216153792</v>
      </c>
      <c r="I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3.4106051316484809E-13</v>
      </c>
      <c r="O131" s="14">
        <f>N131*VLOOKUP('Données projet'!$B$9,Paramètres!$A$1:$I$89,3,0)*VLOOKUP('Données projet'!$B$9,Paramètres!$A$1:$I$89,5,0)</f>
        <v>1.5961632016114892E-13</v>
      </c>
      <c r="P131" s="14">
        <f t="shared" si="87"/>
        <v>2.2708641912150958E-12</v>
      </c>
      <c r="Q131" s="22">
        <f t="shared" ref="Q131:Q153" si="108">(O131+P131)*0.475*44/12</f>
        <v>4.2330868906469593E-12</v>
      </c>
      <c r="R131" s="60">
        <f t="shared" ref="R131:R194" si="109">Q131+(I131+J131)*44/12</f>
        <v>293.33333333333752</v>
      </c>
      <c r="S131" s="60">
        <f ca="1">AVERAGE(OFFSET($R$3,0,0,'Données projet'!$E$9+1,1))-AVERAGE(OFFSET($H$3,0,0,'Données projet'!$E$9+1,1))</f>
        <v>146.40889017442277</v>
      </c>
      <c r="T131" s="60">
        <f t="shared" si="88"/>
        <v>70.859031694091868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4.2</v>
      </c>
      <c r="AI131" s="14">
        <f>IF('Données projet'!$A$62&gt;35,AI130+AH131-AQ130,IF(A131&lt;'Données projet'!$A$62,$AF$205^A131,IF(A131='Données projet'!$A$62,'Données projet'!$B$62,AI130+AH131-AQ130)))</f>
        <v>385.5999999999998</v>
      </c>
      <c r="AJ131" s="14">
        <f>AI131*VLOOKUP('Données projet'!$B$10,Paramètres!$A$1:$I$89,3,0)*VLOOKUP('Données projet'!$B$10,Paramètres!$A$1:$I$89,5,0)</f>
        <v>348.89087999999981</v>
      </c>
      <c r="AK131" s="14">
        <f t="shared" si="89"/>
        <v>81.33408974133495</v>
      </c>
      <c r="AL131" s="22">
        <f t="shared" si="58"/>
        <v>749.30848896615805</v>
      </c>
      <c r="AM131" s="60">
        <f t="shared" si="59"/>
        <v>1042.6418222994914</v>
      </c>
      <c r="AN131" s="60">
        <f ca="1">AVERAGE(OFFSET($AM$3,0,0,'Données projet'!$E$10+1,1))-AVERAGE(OFFSET($H$3,0,0,'Données projet'!$E$10+1,1))</f>
        <v>404.14319681142746</v>
      </c>
      <c r="AO131" s="60">
        <f t="shared" si="90"/>
        <v>203.5274665601915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3.2</v>
      </c>
      <c r="BD131" s="13">
        <f>IF('Données projet'!$A$88&gt;35,BD130+BC131-BL130,IF(A131&lt;'Données projet'!$A$88,$BA$205^A131,IF(A131='Données projet'!$A$88,'Données projet'!$B$88,BD130+BC131-BL130)))</f>
        <v>293.5999999999994</v>
      </c>
      <c r="BE131" s="14">
        <f>BD131*VLOOKUP('Données projet'!$B$11,Paramètres!$A$1:$I$89,3,0)*VLOOKUP('Données projet'!$B$11,Paramètres!$A$1:$I$89,5,0)</f>
        <v>297.71039999999937</v>
      </c>
      <c r="BF131" s="14">
        <f t="shared" si="91"/>
        <v>70.696261560936534</v>
      </c>
      <c r="BG131" s="22">
        <f t="shared" si="61"/>
        <v>641.64160221862994</v>
      </c>
      <c r="BH131" s="60">
        <f t="shared" si="62"/>
        <v>934.9749355519632</v>
      </c>
      <c r="BI131" s="60">
        <f ca="1">AVERAGE(OFFSET($BH$3,0,0,'Données projet'!$E$11+1,1))-AVERAGE(OFFSET($H$3,0,0,'Données projet'!$E$11+1,1))</f>
        <v>350.3652766444938</v>
      </c>
      <c r="BJ131" s="60">
        <f t="shared" si="92"/>
        <v>197.04549436738586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3.2</v>
      </c>
      <c r="BY131" s="13">
        <f>IF('Données projet'!$A$114&gt;35,BY130+BX131-CG130,IF(A131&lt;'Données projet'!$A$114,$BV$205^A131,IF(A131='Données projet'!$A$114,'Données projet'!$B$114,BY130+BX131-CG130)))</f>
        <v>293.5999999999994</v>
      </c>
      <c r="BZ131" s="14">
        <f>BY131*VLOOKUP('Données projet'!$B$12,Paramètres!$A$1:$I$89,3,0)*VLOOKUP('Données projet'!$B$12,Paramètres!$A$1:$I$89,5,0)</f>
        <v>283.96991999999943</v>
      </c>
      <c r="CA131" s="14">
        <f t="shared" si="93"/>
        <v>67.805278435922148</v>
      </c>
      <c r="CB131" s="22">
        <f t="shared" si="64"/>
        <v>612.67513727589676</v>
      </c>
      <c r="CC131" s="60">
        <f t="shared" si="65"/>
        <v>906.00847060923002</v>
      </c>
      <c r="CD131" s="60">
        <f ca="1">AVERAGE(OFFSET($CC$3,0,0,'Données projet'!$E$12+1,1))-AVERAGE(OFFSET($H$3,0,0,'Données projet'!$E$12+1,1))</f>
        <v>330.39429528665841</v>
      </c>
      <c r="CE131" s="60">
        <f t="shared" si="94"/>
        <v>186.45728006007261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3.2</v>
      </c>
      <c r="CT131" s="13">
        <f>IF('Données projet'!$A$140&gt;35,CT130+CS131-DB130,IF(A131&lt;'Données projet'!$A$140,$CQ$205^A131,IF(A131='Données projet'!$A$140,'Données projet'!$B$140,CT130+CS131-DB130)))</f>
        <v>293.5999999999994</v>
      </c>
      <c r="CU131" s="18">
        <f>CT131*VLOOKUP('Données projet'!$B$13,Paramètres!$A$1:$I$89,3,0)*VLOOKUP('Données projet'!$B$13,Paramètres!$A$1:$I$89,5,0)</f>
        <v>316.03103999999934</v>
      </c>
      <c r="CV131" s="14">
        <f t="shared" si="95"/>
        <v>74.526935456174002</v>
      </c>
      <c r="CW131" s="22">
        <f t="shared" si="67"/>
        <v>680.22180725283522</v>
      </c>
      <c r="CX131" s="60">
        <f t="shared" si="68"/>
        <v>973.55514058616859</v>
      </c>
      <c r="CY131" s="60">
        <f ca="1">AVERAGE(OFFSET($CX$3,0,0,'Données projet'!$E$13+1,1))-AVERAGE(OFFSET($H$3,0,0,'Données projet'!$E$13+1,1))</f>
        <v>376.96388721258387</v>
      </c>
      <c r="CZ131" s="60">
        <f t="shared" si="96"/>
        <v>211.14628470344377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1.7053025658242404E-13</v>
      </c>
      <c r="DP131" s="18">
        <f>DO131*VLOOKUP('Données projet'!$B$14,Paramètres!$A$1:$I$89,3,0)*VLOOKUP('Données projet'!$B$14,Paramètres!$A$1:$I$89,5,0)</f>
        <v>1.1439169611549005E-13</v>
      </c>
      <c r="DQ131" s="14">
        <f t="shared" si="97"/>
        <v>1.6918016515029816E-12</v>
      </c>
      <c r="DR131" s="22">
        <f t="shared" si="70"/>
        <v>3.1457867471021712E-12</v>
      </c>
      <c r="DS131" s="60">
        <f t="shared" si="71"/>
        <v>293.33333333333644</v>
      </c>
      <c r="DT131" s="60">
        <f ca="1">AVERAGE(OFFSET($DS$3,0,0,'Données projet'!$E$14+1,1))-AVERAGE(OFFSET($H$3,0,0,'Données projet'!$E$14+1,1))</f>
        <v>212.33913923444732</v>
      </c>
      <c r="DU131" s="60">
        <f t="shared" si="98"/>
        <v>183.51194426094372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0" t="e">
        <f t="shared" si="74"/>
        <v>#N/A</v>
      </c>
      <c r="EO131" s="60" t="e">
        <f ca="1">AVERAGE(OFFSET($EN$3,0,0,'Données projet'!$E$15+1,1))-AVERAGE(OFFSET($H$3,0,0,'Données projet'!$E$15+1,1))</f>
        <v>#N/A</v>
      </c>
      <c r="EP131" s="60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0" t="e">
        <f t="shared" si="77"/>
        <v>#N/A</v>
      </c>
      <c r="FJ131" s="60" t="e">
        <f ca="1">AVERAGE(OFFSET($FI$3,0,0,'Données projet'!$E$16+1,1))-AVERAGE(OFFSET($H$3,0,0,'Données projet'!$E$16+1,1))</f>
        <v>#N/A</v>
      </c>
      <c r="FK131" s="60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0" t="e">
        <f t="shared" si="80"/>
        <v>#N/A</v>
      </c>
      <c r="GE131" s="60" t="e">
        <f ca="1">AVERAGE(OFFSET($GD$3,0,0,'Données projet'!$E$17+1,1))-AVERAGE(OFFSET($H$3,0,0,'Données projet'!$E$17+1,1))</f>
        <v>#N/A</v>
      </c>
      <c r="GF131" s="60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0" t="e">
        <f t="shared" si="83"/>
        <v>#N/A</v>
      </c>
      <c r="GZ131" s="60" t="e">
        <f ca="1">AVERAGE(OFFSET($GY$3,0,0,'Données projet'!$E$18+1,1))-AVERAGE(OFFSET($H$3,0,0,'Données projet'!$E$18+1,1))</f>
        <v>#N/A</v>
      </c>
      <c r="HA131" s="60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5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2">
        <f t="shared" si="86"/>
        <v>19.78119626646561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8">
        <f t="shared" ref="H132:H195" si="110">(B132+E132+F132)*44/12+(C132+D132)*0.475*44/12</f>
        <v>450.45813349742764</v>
      </c>
      <c r="I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3.4106051316484809E-13</v>
      </c>
      <c r="O132" s="14">
        <f>N132*VLOOKUP('Données projet'!$B$9,Paramètres!$A$1:$I$89,3,0)*VLOOKUP('Données projet'!$B$9,Paramètres!$A$1:$I$89,5,0)</f>
        <v>1.5961632016114892E-13</v>
      </c>
      <c r="P132" s="14">
        <f t="shared" si="87"/>
        <v>2.2708641912150958E-12</v>
      </c>
      <c r="Q132" s="22">
        <f t="shared" si="108"/>
        <v>4.2330868906469593E-12</v>
      </c>
      <c r="R132" s="60">
        <f t="shared" si="109"/>
        <v>293.33333333333752</v>
      </c>
      <c r="S132" s="60">
        <f ca="1">AVERAGE(OFFSET($R$3,0,0,'Données projet'!$E$9+1,1))-AVERAGE(OFFSET($H$3,0,0,'Données projet'!$E$9+1,1))</f>
        <v>146.40889017442277</v>
      </c>
      <c r="T132" s="60">
        <f t="shared" si="88"/>
        <v>70.859031694091868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4.2</v>
      </c>
      <c r="AI132" s="14">
        <f>IF('Données projet'!$A$62&gt;35,AI131+AH132-AQ131,IF(A132&lt;'Données projet'!$A$62,$AF$205^A132,IF(A132='Données projet'!$A$62,'Données projet'!$B$62,AI131+AH132-AQ131)))</f>
        <v>389.79999999999978</v>
      </c>
      <c r="AJ132" s="14">
        <f>AI132*VLOOKUP('Données projet'!$B$10,Paramètres!$A$1:$I$89,3,0)*VLOOKUP('Données projet'!$B$10,Paramètres!$A$1:$I$89,5,0)</f>
        <v>352.69103999999982</v>
      </c>
      <c r="AK132" s="14">
        <f t="shared" si="89"/>
        <v>82.116377073111735</v>
      </c>
      <c r="AL132" s="22">
        <f t="shared" ref="AL132:AL153" si="112">(AJ132+AK132)*0.475*44/12</f>
        <v>757.28958473566934</v>
      </c>
      <c r="AM132" s="60">
        <f t="shared" ref="AM132:AM195" si="113">AL132+(AD132+AE132)*44/12</f>
        <v>1050.6229180690027</v>
      </c>
      <c r="AN132" s="60">
        <f ca="1">AVERAGE(OFFSET($AM$3,0,0,'Données projet'!$E$10+1,1))-AVERAGE(OFFSET($H$3,0,0,'Données projet'!$E$10+1,1))</f>
        <v>404.14319681142746</v>
      </c>
      <c r="AO132" s="60">
        <f t="shared" si="90"/>
        <v>203.5274665601915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3.2</v>
      </c>
      <c r="BD132" s="13">
        <f>IF('Données projet'!$A$88&gt;35,BD131+BC132-BL131,IF(A132&lt;'Données projet'!$A$88,$BA$205^A132,IF(A132='Données projet'!$A$88,'Données projet'!$B$88,BD131+BC132-BL131)))</f>
        <v>296.79999999999939</v>
      </c>
      <c r="BE132" s="14">
        <f>BD132*VLOOKUP('Données projet'!$B$11,Paramètres!$A$1:$I$89,3,0)*VLOOKUP('Données projet'!$B$11,Paramètres!$A$1:$I$89,5,0)</f>
        <v>300.95519999999942</v>
      </c>
      <c r="BF132" s="14">
        <f t="shared" si="91"/>
        <v>71.376673021759657</v>
      </c>
      <c r="BG132" s="22">
        <f t="shared" ref="BG132:BG153" si="115">(BE132+BF132)*0.475*44/12</f>
        <v>648.47801217956373</v>
      </c>
      <c r="BH132" s="60">
        <f t="shared" ref="BH132:BH195" si="116">BG132+(AY132+AZ132)*44/12</f>
        <v>941.81134551289711</v>
      </c>
      <c r="BI132" s="60">
        <f ca="1">AVERAGE(OFFSET($BH$3,0,0,'Données projet'!$E$11+1,1))-AVERAGE(OFFSET($H$3,0,0,'Données projet'!$E$11+1,1))</f>
        <v>350.3652766444938</v>
      </c>
      <c r="BJ132" s="60">
        <f t="shared" si="92"/>
        <v>197.04549436738586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3.2</v>
      </c>
      <c r="BY132" s="13">
        <f>IF('Données projet'!$A$114&gt;35,BY131+BX132-CG131,IF(A132&lt;'Données projet'!$A$114,$BV$205^A132,IF(A132='Données projet'!$A$114,'Données projet'!$B$114,BY131+BX132-CG131)))</f>
        <v>296.79999999999939</v>
      </c>
      <c r="BZ132" s="14">
        <f>BY132*VLOOKUP('Données projet'!$B$12,Paramètres!$A$1:$I$89,3,0)*VLOOKUP('Données projet'!$B$12,Paramètres!$A$1:$I$89,5,0)</f>
        <v>287.06495999999942</v>
      </c>
      <c r="CA132" s="14">
        <f t="shared" si="93"/>
        <v>68.457865822206202</v>
      </c>
      <c r="CB132" s="22">
        <f t="shared" ref="CB132:CB153" si="118">(BZ132+CA132)*0.475*44/12</f>
        <v>619.20225497367471</v>
      </c>
      <c r="CC132" s="60">
        <f t="shared" ref="CC132:CC195" si="119">CB132+(BT132+BU132)*44/12</f>
        <v>912.53558830700808</v>
      </c>
      <c r="CD132" s="60">
        <f ca="1">AVERAGE(OFFSET($CC$3,0,0,'Données projet'!$E$12+1,1))-AVERAGE(OFFSET($H$3,0,0,'Données projet'!$E$12+1,1))</f>
        <v>330.39429528665841</v>
      </c>
      <c r="CE132" s="60">
        <f t="shared" si="94"/>
        <v>186.45728006007261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3.2</v>
      </c>
      <c r="CT132" s="13">
        <f>IF('Données projet'!$A$140&gt;35,CT131+CS132-DB131,IF(A132&lt;'Données projet'!$A$140,$CQ$205^A132,IF(A132='Données projet'!$A$140,'Données projet'!$B$140,CT131+CS132-DB131)))</f>
        <v>296.79999999999939</v>
      </c>
      <c r="CU132" s="18">
        <f>CT132*VLOOKUP('Données projet'!$B$13,Paramètres!$A$1:$I$89,3,0)*VLOOKUP('Données projet'!$B$13,Paramètres!$A$1:$I$89,5,0)</f>
        <v>319.47551999999928</v>
      </c>
      <c r="CV132" s="14">
        <f t="shared" si="95"/>
        <v>75.244214982768113</v>
      </c>
      <c r="CW132" s="22">
        <f t="shared" ref="CW132:CW153" si="121">(CU132+CV132)*0.475*44/12</f>
        <v>687.47020509498645</v>
      </c>
      <c r="CX132" s="60">
        <f t="shared" ref="CX132:CX195" si="122">CW132+(CO132+CP132)*44/12</f>
        <v>980.80353842831983</v>
      </c>
      <c r="CY132" s="60">
        <f ca="1">AVERAGE(OFFSET($CX$3,0,0,'Données projet'!$E$13+1,1))-AVERAGE(OFFSET($H$3,0,0,'Données projet'!$E$13+1,1))</f>
        <v>376.96388721258387</v>
      </c>
      <c r="CZ132" s="60">
        <f t="shared" si="96"/>
        <v>211.14628470344377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1.7053025658242404E-13</v>
      </c>
      <c r="DP132" s="18">
        <f>DO132*VLOOKUP('Données projet'!$B$14,Paramètres!$A$1:$I$89,3,0)*VLOOKUP('Données projet'!$B$14,Paramètres!$A$1:$I$89,5,0)</f>
        <v>1.1439169611549005E-13</v>
      </c>
      <c r="DQ132" s="14">
        <f t="shared" si="97"/>
        <v>1.6918016515029816E-12</v>
      </c>
      <c r="DR132" s="22">
        <f t="shared" ref="DR132:DR153" si="124">(DP132+DQ132)*0.475*44/12</f>
        <v>3.1457867471021712E-12</v>
      </c>
      <c r="DS132" s="60">
        <f t="shared" ref="DS132:DS195" si="125">DR132+(DJ132+DK132)*44/12</f>
        <v>293.33333333333644</v>
      </c>
      <c r="DT132" s="60">
        <f ca="1">AVERAGE(OFFSET($DS$3,0,0,'Données projet'!$E$14+1,1))-AVERAGE(OFFSET($H$3,0,0,'Données projet'!$E$14+1,1))</f>
        <v>212.33913923444732</v>
      </c>
      <c r="DU132" s="60">
        <f t="shared" si="98"/>
        <v>183.51194426094372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0" t="e">
        <f t="shared" ref="EN132:EN195" si="128">EM132+(EE132+EF132)*44/12</f>
        <v>#N/A</v>
      </c>
      <c r="EO132" s="60" t="e">
        <f ca="1">AVERAGE(OFFSET($EN$3,0,0,'Données projet'!$E$15+1,1))-AVERAGE(OFFSET($H$3,0,0,'Données projet'!$E$15+1,1))</f>
        <v>#N/A</v>
      </c>
      <c r="EP132" s="60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0" t="e">
        <f t="shared" ref="FI132:FI195" si="131">FH132+(EZ132+FA132)*44/12</f>
        <v>#N/A</v>
      </c>
      <c r="FJ132" s="60" t="e">
        <f ca="1">AVERAGE(OFFSET($FI$3,0,0,'Données projet'!$E$16+1,1))-AVERAGE(OFFSET($H$3,0,0,'Données projet'!$E$16+1,1))</f>
        <v>#N/A</v>
      </c>
      <c r="FK132" s="60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0" t="e">
        <f t="shared" ref="GD132:GD195" si="134">GC132+(FU132+FV132)*44/12</f>
        <v>#N/A</v>
      </c>
      <c r="GE132" s="60" t="e">
        <f ca="1">AVERAGE(OFFSET($GD$3,0,0,'Données projet'!$E$17+1,1))-AVERAGE(OFFSET($H$3,0,0,'Données projet'!$E$17+1,1))</f>
        <v>#N/A</v>
      </c>
      <c r="GF132" s="60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0" t="e">
        <f t="shared" ref="GY132:GY195" si="137">GX132+(GP132+GQ132)*44/12</f>
        <v>#N/A</v>
      </c>
      <c r="GZ132" s="60" t="e">
        <f ca="1">AVERAGE(OFFSET($GY$3,0,0,'Données projet'!$E$18+1,1))-AVERAGE(OFFSET($H$3,0,0,'Données projet'!$E$18+1,1))</f>
        <v>#N/A</v>
      </c>
      <c r="HA132" s="60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5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2">
        <f t="shared" ref="D133:D196" si="140">IFERROR(EXP(-1.0587+0.8836*LN(C133)+0.284),0)</f>
        <v>19.916628839746853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8">
        <f t="shared" si="110"/>
        <v>451.64496189589244</v>
      </c>
      <c r="I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3.4106051316484809E-13</v>
      </c>
      <c r="O133" s="14">
        <f>N133*VLOOKUP('Données projet'!$B$9,Paramètres!$A$1:$I$89,3,0)*VLOOKUP('Données projet'!$B$9,Paramètres!$A$1:$I$89,5,0)</f>
        <v>1.5961632016114892E-13</v>
      </c>
      <c r="P133" s="14">
        <f t="shared" ref="P133:P196" si="141">EXP(-1.0587+0.8836*LN(O133)+0.284)</f>
        <v>2.2708641912150958E-12</v>
      </c>
      <c r="Q133" s="22">
        <f t="shared" si="108"/>
        <v>4.2330868906469593E-12</v>
      </c>
      <c r="R133" s="60">
        <f t="shared" si="109"/>
        <v>293.33333333333752</v>
      </c>
      <c r="S133" s="60">
        <f ca="1">AVERAGE(OFFSET($R$3,0,0,'Données projet'!$E$9+1,1))-AVERAGE(OFFSET($H$3,0,0,'Données projet'!$E$9+1,1))</f>
        <v>146.40889017442277</v>
      </c>
      <c r="T133" s="60">
        <f t="shared" ref="T133:T196" si="142">$T$3</f>
        <v>70.859031694091868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>
        <f>VLOOKUP(A133,'Données projet'!$A$61:$I$81,2,0)</f>
        <v>394</v>
      </c>
      <c r="AG133" s="13">
        <f>VLOOKUP(A133,'Données projet'!$A$61:$I$81,9,0)</f>
        <v>4.2</v>
      </c>
      <c r="AH133" s="13">
        <f t="array" ref="AH133">INDEX(AG:AG,MIN(IF(ISNUMBER(AG133:AG329),ROW(AG133:AG329),"")))</f>
        <v>4.2</v>
      </c>
      <c r="AI133" s="14">
        <f>IF('Données projet'!$A$62&gt;35,AI132+AH133-AQ132,IF(A133&lt;'Données projet'!$A$62,$AF$205^A133,IF(A133='Données projet'!$A$62,'Données projet'!$B$62,AI132+AH133-AQ132)))</f>
        <v>393.99999999999977</v>
      </c>
      <c r="AJ133" s="14">
        <f>AI133*VLOOKUP('Données projet'!$B$10,Paramètres!$A$1:$I$89,3,0)*VLOOKUP('Données projet'!$B$10,Paramètres!$A$1:$I$89,5,0)</f>
        <v>356.49119999999976</v>
      </c>
      <c r="AK133" s="14">
        <f t="shared" ref="AK133:AK153" si="143">EXP(-1.0587+0.8836*LN(AJ133)+0.284)</f>
        <v>82.897683869422281</v>
      </c>
      <c r="AL133" s="22">
        <f t="shared" si="112"/>
        <v>765.2689727392434</v>
      </c>
      <c r="AM133" s="60">
        <f t="shared" si="113"/>
        <v>1058.6023060725768</v>
      </c>
      <c r="AN133" s="60">
        <f ca="1">AVERAGE(OFFSET($AM$3,0,0,'Données projet'!$E$10+1,1))-AVERAGE(OFFSET($H$3,0,0,'Données projet'!$E$10+1,1))</f>
        <v>404.14319681142746</v>
      </c>
      <c r="AO133" s="60">
        <f t="shared" ref="AO133:AO196" si="144">$AO$3</f>
        <v>203.5274665601915</v>
      </c>
      <c r="AP133" s="16">
        <f>IF(ISNA(VLOOKUP(A133,'Données projet'!$A$61:$I$81,3,0)),0,VLOOKUP(A133,'Données projet'!$A$61:$I$81,3,0))</f>
        <v>9</v>
      </c>
      <c r="AQ133" s="16">
        <f>IF(ISNA(VLOOKUP(A133,'Données projet'!$A$61:$I$81,4,0)),0,VLOOKUP(A133,'Données projet'!$A$61:$I$81,4,0))</f>
        <v>91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>
        <f>VLOOKUP(A133,'Données projet'!$A$87:$I$107,2,0)</f>
        <v>300</v>
      </c>
      <c r="BB133" s="13">
        <f>VLOOKUP(A133,'Données projet'!$A$87:$I$107,9,0)</f>
        <v>3.2</v>
      </c>
      <c r="BC133" s="13">
        <f t="array" ref="BC133">INDEX(BB:BB,MIN(IF(ISNUMBER(BB133:BB329),ROW(BB133:BB329),"")))</f>
        <v>3.2</v>
      </c>
      <c r="BD133" s="13">
        <f>IF('Données projet'!$A$88&gt;35,BD132+BC133-BL132,IF(A133&lt;'Données projet'!$A$88,$BA$205^A133,IF(A133='Données projet'!$A$88,'Données projet'!$B$88,BD132+BC133-BL132)))</f>
        <v>299.99999999999937</v>
      </c>
      <c r="BE133" s="14">
        <f>BD133*VLOOKUP('Données projet'!$B$11,Paramètres!$A$1:$I$89,3,0)*VLOOKUP('Données projet'!$B$11,Paramètres!$A$1:$I$89,5,0)</f>
        <v>304.19999999999936</v>
      </c>
      <c r="BF133" s="14">
        <f t="shared" ref="BF133:BF153" si="145">EXP(-1.0587+0.8836*LN(BE133)+0.284)</f>
        <v>72.056231093480946</v>
      </c>
      <c r="BG133" s="22">
        <f t="shared" si="115"/>
        <v>655.31293582114483</v>
      </c>
      <c r="BH133" s="60">
        <f t="shared" si="116"/>
        <v>948.6462691544782</v>
      </c>
      <c r="BI133" s="60">
        <f ca="1">AVERAGE(OFFSET($BH$3,0,0,'Données projet'!$E$11+1,1))-AVERAGE(OFFSET($H$3,0,0,'Données projet'!$E$11+1,1))</f>
        <v>350.3652766444938</v>
      </c>
      <c r="BJ133" s="60">
        <f t="shared" ref="BJ133:BJ196" si="146">$BJ$3</f>
        <v>197.04549436738586</v>
      </c>
      <c r="BK133" s="16">
        <f>IF(ISNA(VLOOKUP(A133,'Données projet'!$A$87:$I$107,3,0)),0,VLOOKUP(A133,'Données projet'!$A$87:$I$107,3,0))</f>
        <v>11</v>
      </c>
      <c r="BL133" s="16">
        <f>IF(ISNA(VLOOKUP(A133,'Données projet'!$A$87:$I$107,4,0)),0,VLOOKUP(A133,'Données projet'!$A$87:$I$107,4,0))</f>
        <v>31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>
        <f>VLOOKUP(A133,'Données projet'!$A$113:$I$133,2,0)</f>
        <v>300</v>
      </c>
      <c r="BW133" s="13">
        <f>VLOOKUP(A133,'Données projet'!$A$113:$I$133,9,0)</f>
        <v>3.2</v>
      </c>
      <c r="BX133" s="13">
        <f t="array" ref="BX133">INDEX(BW:BW,MIN(IF(ISNUMBER(BW133:BW329),ROW(BW133:BW329),"")))</f>
        <v>3.2</v>
      </c>
      <c r="BY133" s="13">
        <f>IF('Données projet'!$A$114&gt;35,BY132+BX133-CG132,IF(A133&lt;'Données projet'!$A$114,$BV$205^A133,IF(A133='Données projet'!$A$114,'Données projet'!$B$114,BY132+BX133-CG132)))</f>
        <v>299.99999999999937</v>
      </c>
      <c r="BZ133" s="14">
        <f>BY133*VLOOKUP('Données projet'!$B$12,Paramètres!$A$1:$I$89,3,0)*VLOOKUP('Données projet'!$B$12,Paramètres!$A$1:$I$89,5,0)</f>
        <v>290.1599999999994</v>
      </c>
      <c r="CA133" s="14">
        <f t="shared" ref="CA133:CA153" si="147">EXP(-1.0587+0.8836*LN(BZ133)+0.284)</f>
        <v>69.10963471703981</v>
      </c>
      <c r="CB133" s="22">
        <f t="shared" si="118"/>
        <v>625.72794713217661</v>
      </c>
      <c r="CC133" s="60">
        <f t="shared" si="119"/>
        <v>919.06128046550998</v>
      </c>
      <c r="CD133" s="60">
        <f ca="1">AVERAGE(OFFSET($CC$3,0,0,'Données projet'!$E$12+1,1))-AVERAGE(OFFSET($H$3,0,0,'Données projet'!$E$12+1,1))</f>
        <v>330.39429528665841</v>
      </c>
      <c r="CE133" s="60">
        <f t="shared" ref="CE133:CE196" si="148">$CE$3</f>
        <v>186.45728006007261</v>
      </c>
      <c r="CF133" s="16">
        <f>IF(ISNA(VLOOKUP(A133,'Données projet'!$A$113:$I$133,3,0)),0,VLOOKUP(A133,'Données projet'!$A$113:$I$133,3,0))</f>
        <v>11</v>
      </c>
      <c r="CG133" s="16">
        <f>IF(ISNA(VLOOKUP(A133,'Données projet'!$A$113:$I$133,4,0)),0,VLOOKUP(A133,'Données projet'!$A$113:$I$133,4,0))</f>
        <v>31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>
        <f>VLOOKUP(A133,'Données projet'!$A$139:$I$159,2,0)</f>
        <v>300</v>
      </c>
      <c r="CR133" s="13">
        <f>VLOOKUP(A133,'Données projet'!$A$139:$I$159,9,0)</f>
        <v>3.2</v>
      </c>
      <c r="CS133" s="13">
        <f t="array" ref="CS133">INDEX(CR:CR,MIN(IF(ISNUMBER(CR133:CR329),ROW(CR133:CR329),"")))</f>
        <v>3.2</v>
      </c>
      <c r="CT133" s="13">
        <f>IF('Données projet'!$A$140&gt;35,CT132+CS133-DB132,IF(A133&lt;'Données projet'!$A$140,$CQ$205^A133,IF(A133='Données projet'!$A$140,'Données projet'!$B$140,CT132+CS133-DB132)))</f>
        <v>299.99999999999937</v>
      </c>
      <c r="CU133" s="18">
        <f>CT133*VLOOKUP('Données projet'!$B$13,Paramètres!$A$1:$I$89,3,0)*VLOOKUP('Données projet'!$B$13,Paramètres!$A$1:$I$89,5,0)</f>
        <v>322.91999999999928</v>
      </c>
      <c r="CV133" s="14">
        <f t="shared" ref="CV133:CV153" si="149">EXP(-1.0587+0.8836*LN(CU133)+0.284)</f>
        <v>75.960594879408617</v>
      </c>
      <c r="CW133" s="22">
        <f t="shared" si="121"/>
        <v>694.71703608163534</v>
      </c>
      <c r="CX133" s="60">
        <f t="shared" si="122"/>
        <v>988.0503694149686</v>
      </c>
      <c r="CY133" s="60">
        <f ca="1">AVERAGE(OFFSET($CX$3,0,0,'Données projet'!$E$13+1,1))-AVERAGE(OFFSET($H$3,0,0,'Données projet'!$E$13+1,1))</f>
        <v>376.96388721258387</v>
      </c>
      <c r="CZ133" s="60">
        <f t="shared" ref="CZ133:CZ196" si="150">$CZ$3</f>
        <v>211.14628470344377</v>
      </c>
      <c r="DA133" s="16">
        <f>IF(ISNA(VLOOKUP(A133,'Données projet'!$A$139:$I$159,3,0)),0,VLOOKUP(A133,'Données projet'!$A$139:$I$159,3,0))</f>
        <v>11</v>
      </c>
      <c r="DB133" s="16">
        <f>IF(ISNA(VLOOKUP(A133,'Données projet'!$A$139:$I$159,4,0)),0,VLOOKUP(A133,'Données projet'!$A$139:$I$159,4,0))</f>
        <v>31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1.7053025658242404E-13</v>
      </c>
      <c r="DP133" s="18">
        <f>DO133*VLOOKUP('Données projet'!$B$14,Paramètres!$A$1:$I$89,3,0)*VLOOKUP('Données projet'!$B$14,Paramètres!$A$1:$I$89,5,0)</f>
        <v>1.1439169611549005E-13</v>
      </c>
      <c r="DQ133" s="14">
        <f t="shared" ref="DQ133:DQ153" si="151">EXP(-1.0587+0.8836*LN(DP133)+0.284)</f>
        <v>1.6918016515029816E-12</v>
      </c>
      <c r="DR133" s="22">
        <f t="shared" si="124"/>
        <v>3.1457867471021712E-12</v>
      </c>
      <c r="DS133" s="60">
        <f t="shared" si="125"/>
        <v>293.33333333333644</v>
      </c>
      <c r="DT133" s="60">
        <f ca="1">AVERAGE(OFFSET($DS$3,0,0,'Données projet'!$E$14+1,1))-AVERAGE(OFFSET($H$3,0,0,'Données projet'!$E$14+1,1))</f>
        <v>212.33913923444732</v>
      </c>
      <c r="DU133" s="60">
        <f t="shared" ref="DU133:DU196" si="152">$DU$3</f>
        <v>183.51194426094372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0" t="e">
        <f t="shared" si="128"/>
        <v>#N/A</v>
      </c>
      <c r="EO133" s="60" t="e">
        <f ca="1">AVERAGE(OFFSET($EN$3,0,0,'Données projet'!$E$15+1,1))-AVERAGE(OFFSET($H$3,0,0,'Données projet'!$E$15+1,1))</f>
        <v>#N/A</v>
      </c>
      <c r="EP133" s="60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0" t="e">
        <f t="shared" si="131"/>
        <v>#N/A</v>
      </c>
      <c r="FJ133" s="60" t="e">
        <f ca="1">AVERAGE(OFFSET($FI$3,0,0,'Données projet'!$E$16+1,1))-AVERAGE(OFFSET($H$3,0,0,'Données projet'!$E$16+1,1))</f>
        <v>#N/A</v>
      </c>
      <c r="FK133" s="60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0" t="e">
        <f t="shared" si="134"/>
        <v>#N/A</v>
      </c>
      <c r="GE133" s="60" t="e">
        <f ca="1">AVERAGE(OFFSET($GD$3,0,0,'Données projet'!$E$17+1,1))-AVERAGE(OFFSET($H$3,0,0,'Données projet'!$E$17+1,1))</f>
        <v>#N/A</v>
      </c>
      <c r="GF133" s="60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0" t="e">
        <f t="shared" si="137"/>
        <v>#N/A</v>
      </c>
      <c r="GZ133" s="60" t="e">
        <f ca="1">AVERAGE(OFFSET($GY$3,0,0,'Données projet'!$E$18+1,1))-AVERAGE(OFFSET($H$3,0,0,'Données projet'!$E$18+1,1))</f>
        <v>#N/A</v>
      </c>
      <c r="HA133" s="60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5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2">
        <f t="shared" si="140"/>
        <v>20.051940201794032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8">
        <f t="shared" si="110"/>
        <v>452.83157918479128</v>
      </c>
      <c r="I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3.4106051316484809E-13</v>
      </c>
      <c r="O134" s="14">
        <f>N134*VLOOKUP('Données projet'!$B$9,Paramètres!$A$1:$I$89,3,0)*VLOOKUP('Données projet'!$B$9,Paramètres!$A$1:$I$89,5,0)</f>
        <v>1.5961632016114892E-13</v>
      </c>
      <c r="P134" s="14">
        <f t="shared" si="141"/>
        <v>2.2708641912150958E-12</v>
      </c>
      <c r="Q134" s="22">
        <f t="shared" si="108"/>
        <v>4.2330868906469593E-12</v>
      </c>
      <c r="R134" s="60">
        <f t="shared" si="109"/>
        <v>293.33333333333752</v>
      </c>
      <c r="S134" s="60">
        <f ca="1">AVERAGE(OFFSET($R$3,0,0,'Données projet'!$E$9+1,1))-AVERAGE(OFFSET($H$3,0,0,'Données projet'!$E$9+1,1))</f>
        <v>146.40889017442277</v>
      </c>
      <c r="T134" s="60">
        <f t="shared" si="142"/>
        <v>70.859031694091868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3.8</v>
      </c>
      <c r="AI134" s="14">
        <f>IF('Données projet'!$A$62&gt;35,AI133+AH134-AQ133,IF(A134&lt;'Données projet'!$A$62,$AF$205^A134,IF(A134='Données projet'!$A$62,'Données projet'!$B$62,AI133+AH134-AQ133)))</f>
        <v>306.79999999999978</v>
      </c>
      <c r="AJ134" s="14">
        <f>AI134*VLOOKUP('Données projet'!$B$10,Paramètres!$A$1:$I$89,3,0)*VLOOKUP('Données projet'!$B$10,Paramètres!$A$1:$I$89,5,0)</f>
        <v>277.59263999999979</v>
      </c>
      <c r="AK134" s="14">
        <f t="shared" si="143"/>
        <v>66.458009122425523</v>
      </c>
      <c r="AL134" s="22">
        <f t="shared" si="112"/>
        <v>599.22154722155733</v>
      </c>
      <c r="AM134" s="60">
        <f t="shared" si="113"/>
        <v>892.55488055489059</v>
      </c>
      <c r="AN134" s="60">
        <f ca="1">AVERAGE(OFFSET($AM$3,0,0,'Données projet'!$E$10+1,1))-AVERAGE(OFFSET($H$3,0,0,'Données projet'!$E$10+1,1))</f>
        <v>404.14319681142746</v>
      </c>
      <c r="AO134" s="60">
        <f t="shared" si="144"/>
        <v>203.5274665601915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2.7</v>
      </c>
      <c r="BD134" s="13">
        <f>IF('Données projet'!$A$88&gt;35,BD133+BC134-BL133,IF(A134&lt;'Données projet'!$A$88,$BA$205^A134,IF(A134='Données projet'!$A$88,'Données projet'!$B$88,BD133+BC134-BL133)))</f>
        <v>271.69999999999936</v>
      </c>
      <c r="BE134" s="14">
        <f>BD134*VLOOKUP('Données projet'!$B$11,Paramètres!$A$1:$I$89,3,0)*VLOOKUP('Données projet'!$B$11,Paramètres!$A$1:$I$89,5,0)</f>
        <v>275.50379999999939</v>
      </c>
      <c r="BF134" s="14">
        <f t="shared" si="145"/>
        <v>66.015939215007748</v>
      </c>
      <c r="BG134" s="22">
        <f t="shared" si="115"/>
        <v>594.81354579947072</v>
      </c>
      <c r="BH134" s="60">
        <f t="shared" si="116"/>
        <v>888.14687913280409</v>
      </c>
      <c r="BI134" s="60">
        <f ca="1">AVERAGE(OFFSET($BH$3,0,0,'Données projet'!$E$11+1,1))-AVERAGE(OFFSET($H$3,0,0,'Données projet'!$E$11+1,1))</f>
        <v>350.3652766444938</v>
      </c>
      <c r="BJ134" s="60">
        <f t="shared" si="146"/>
        <v>197.04549436738586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2.7</v>
      </c>
      <c r="BY134" s="13">
        <f>IF('Données projet'!$A$114&gt;35,BY133+BX134-CG133,IF(A134&lt;'Données projet'!$A$114,$BV$205^A134,IF(A134='Données projet'!$A$114,'Données projet'!$B$114,BY133+BX134-CG133)))</f>
        <v>271.69999999999936</v>
      </c>
      <c r="BZ134" s="14">
        <f>BY134*VLOOKUP('Données projet'!$B$12,Paramètres!$A$1:$I$89,3,0)*VLOOKUP('Données projet'!$B$12,Paramètres!$A$1:$I$89,5,0)</f>
        <v>262.7882399999994</v>
      </c>
      <c r="CA134" s="14">
        <f t="shared" si="147"/>
        <v>63.316348571334714</v>
      </c>
      <c r="CB134" s="22">
        <f t="shared" si="118"/>
        <v>567.96549176174028</v>
      </c>
      <c r="CC134" s="60">
        <f t="shared" si="119"/>
        <v>861.29882509507365</v>
      </c>
      <c r="CD134" s="60">
        <f ca="1">AVERAGE(OFFSET($CC$3,0,0,'Données projet'!$E$12+1,1))-AVERAGE(OFFSET($H$3,0,0,'Données projet'!$E$12+1,1))</f>
        <v>330.39429528665841</v>
      </c>
      <c r="CE134" s="60">
        <f t="shared" si="148"/>
        <v>186.45728006007261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2.7</v>
      </c>
      <c r="CT134" s="13">
        <f>IF('Données projet'!$A$140&gt;35,CT133+CS134-DB133,IF(A134&lt;'Données projet'!$A$140,$CQ$205^A134,IF(A134='Données projet'!$A$140,'Données projet'!$B$140,CT133+CS134-DB133)))</f>
        <v>271.69999999999936</v>
      </c>
      <c r="CU134" s="18">
        <f>CT134*VLOOKUP('Données projet'!$B$13,Paramètres!$A$1:$I$89,3,0)*VLOOKUP('Données projet'!$B$13,Paramètres!$A$1:$I$89,5,0)</f>
        <v>292.45787999999931</v>
      </c>
      <c r="CV134" s="14">
        <f t="shared" si="149"/>
        <v>69.59301004501954</v>
      </c>
      <c r="CW134" s="22">
        <f t="shared" si="121"/>
        <v>630.57196682840777</v>
      </c>
      <c r="CX134" s="60">
        <f t="shared" si="122"/>
        <v>923.90530016174102</v>
      </c>
      <c r="CY134" s="60">
        <f ca="1">AVERAGE(OFFSET($CX$3,0,0,'Données projet'!$E$13+1,1))-AVERAGE(OFFSET($H$3,0,0,'Données projet'!$E$13+1,1))</f>
        <v>376.96388721258387</v>
      </c>
      <c r="CZ134" s="60">
        <f t="shared" si="150"/>
        <v>211.14628470344377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1.7053025658242404E-13</v>
      </c>
      <c r="DP134" s="18">
        <f>DO134*VLOOKUP('Données projet'!$B$14,Paramètres!$A$1:$I$89,3,0)*VLOOKUP('Données projet'!$B$14,Paramètres!$A$1:$I$89,5,0)</f>
        <v>1.1439169611549005E-13</v>
      </c>
      <c r="DQ134" s="14">
        <f t="shared" si="151"/>
        <v>1.6918016515029816E-12</v>
      </c>
      <c r="DR134" s="22">
        <f t="shared" si="124"/>
        <v>3.1457867471021712E-12</v>
      </c>
      <c r="DS134" s="60">
        <f t="shared" si="125"/>
        <v>293.33333333333644</v>
      </c>
      <c r="DT134" s="60">
        <f ca="1">AVERAGE(OFFSET($DS$3,0,0,'Données projet'!$E$14+1,1))-AVERAGE(OFFSET($H$3,0,0,'Données projet'!$E$14+1,1))</f>
        <v>212.33913923444732</v>
      </c>
      <c r="DU134" s="60">
        <f t="shared" si="152"/>
        <v>183.51194426094372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0" t="e">
        <f t="shared" si="128"/>
        <v>#N/A</v>
      </c>
      <c r="EO134" s="60" t="e">
        <f ca="1">AVERAGE(OFFSET($EN$3,0,0,'Données projet'!$E$15+1,1))-AVERAGE(OFFSET($H$3,0,0,'Données projet'!$E$15+1,1))</f>
        <v>#N/A</v>
      </c>
      <c r="EP134" s="60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0" t="e">
        <f t="shared" si="131"/>
        <v>#N/A</v>
      </c>
      <c r="FJ134" s="60" t="e">
        <f ca="1">AVERAGE(OFFSET($FI$3,0,0,'Données projet'!$E$16+1,1))-AVERAGE(OFFSET($H$3,0,0,'Données projet'!$E$16+1,1))</f>
        <v>#N/A</v>
      </c>
      <c r="FK134" s="60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0" t="e">
        <f t="shared" si="134"/>
        <v>#N/A</v>
      </c>
      <c r="GE134" s="60" t="e">
        <f ca="1">AVERAGE(OFFSET($GD$3,0,0,'Données projet'!$E$17+1,1))-AVERAGE(OFFSET($H$3,0,0,'Données projet'!$E$17+1,1))</f>
        <v>#N/A</v>
      </c>
      <c r="GF134" s="60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0" t="e">
        <f t="shared" si="137"/>
        <v>#N/A</v>
      </c>
      <c r="GZ134" s="60" t="e">
        <f ca="1">AVERAGE(OFFSET($GY$3,0,0,'Données projet'!$E$18+1,1))-AVERAGE(OFFSET($H$3,0,0,'Données projet'!$E$18+1,1))</f>
        <v>#N/A</v>
      </c>
      <c r="HA134" s="60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5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2">
        <f t="shared" si="140"/>
        <v>20.187131385147271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8">
        <f t="shared" si="110"/>
        <v>454.01798716246486</v>
      </c>
      <c r="I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3.4106051316484809E-13</v>
      </c>
      <c r="O135" s="14">
        <f>N135*VLOOKUP('Données projet'!$B$9,Paramètres!$A$1:$I$89,3,0)*VLOOKUP('Données projet'!$B$9,Paramètres!$A$1:$I$89,5,0)</f>
        <v>1.5961632016114892E-13</v>
      </c>
      <c r="P135" s="14">
        <f t="shared" si="141"/>
        <v>2.2708641912150958E-12</v>
      </c>
      <c r="Q135" s="22">
        <f t="shared" si="108"/>
        <v>4.2330868906469593E-12</v>
      </c>
      <c r="R135" s="60">
        <f t="shared" si="109"/>
        <v>293.33333333333752</v>
      </c>
      <c r="S135" s="60">
        <f ca="1">AVERAGE(OFFSET($R$3,0,0,'Données projet'!$E$9+1,1))-AVERAGE(OFFSET($H$3,0,0,'Données projet'!$E$9+1,1))</f>
        <v>146.40889017442277</v>
      </c>
      <c r="T135" s="60">
        <f t="shared" si="142"/>
        <v>70.859031694091868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3.8</v>
      </c>
      <c r="AI135" s="14">
        <f>IF('Données projet'!$A$62&gt;35,AI134+AH135-AQ134,IF(A135&lt;'Données projet'!$A$62,$AF$205^A135,IF(A135='Données projet'!$A$62,'Données projet'!$B$62,AI134+AH135-AQ134)))</f>
        <v>310.5999999999998</v>
      </c>
      <c r="AJ135" s="14">
        <f>AI135*VLOOKUP('Données projet'!$B$10,Paramètres!$A$1:$I$89,3,0)*VLOOKUP('Données projet'!$B$10,Paramètres!$A$1:$I$89,5,0)</f>
        <v>281.03087999999985</v>
      </c>
      <c r="AK135" s="14">
        <f t="shared" si="143"/>
        <v>67.184816842275467</v>
      </c>
      <c r="AL135" s="22">
        <f t="shared" si="112"/>
        <v>606.47567200029607</v>
      </c>
      <c r="AM135" s="60">
        <f t="shared" si="113"/>
        <v>899.80900533362933</v>
      </c>
      <c r="AN135" s="60">
        <f ca="1">AVERAGE(OFFSET($AM$3,0,0,'Données projet'!$E$10+1,1))-AVERAGE(OFFSET($H$3,0,0,'Données projet'!$E$10+1,1))</f>
        <v>404.14319681142746</v>
      </c>
      <c r="AO135" s="60">
        <f t="shared" si="144"/>
        <v>203.5274665601915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2.7</v>
      </c>
      <c r="BD135" s="13">
        <f>IF('Données projet'!$A$88&gt;35,BD134+BC135-BL134,IF(A135&lt;'Données projet'!$A$88,$BA$205^A135,IF(A135='Données projet'!$A$88,'Données projet'!$B$88,BD134+BC135-BL134)))</f>
        <v>274.39999999999935</v>
      </c>
      <c r="BE135" s="14">
        <f>BD135*VLOOKUP('Données projet'!$B$11,Paramètres!$A$1:$I$89,3,0)*VLOOKUP('Données projet'!$B$11,Paramètres!$A$1:$I$89,5,0)</f>
        <v>278.24159999999938</v>
      </c>
      <c r="BF135" s="14">
        <f t="shared" si="145"/>
        <v>66.595272276139625</v>
      </c>
      <c r="BG135" s="22">
        <f t="shared" si="115"/>
        <v>600.59088588094198</v>
      </c>
      <c r="BH135" s="60">
        <f t="shared" si="116"/>
        <v>893.92421921427535</v>
      </c>
      <c r="BI135" s="60">
        <f ca="1">AVERAGE(OFFSET($BH$3,0,0,'Données projet'!$E$11+1,1))-AVERAGE(OFFSET($H$3,0,0,'Données projet'!$E$11+1,1))</f>
        <v>350.3652766444938</v>
      </c>
      <c r="BJ135" s="60">
        <f t="shared" si="146"/>
        <v>197.04549436738586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2.7</v>
      </c>
      <c r="BY135" s="13">
        <f>IF('Données projet'!$A$114&gt;35,BY134+BX135-CG134,IF(A135&lt;'Données projet'!$A$114,$BV$205^A135,IF(A135='Données projet'!$A$114,'Données projet'!$B$114,BY134+BX135-CG134)))</f>
        <v>274.39999999999935</v>
      </c>
      <c r="BZ135" s="14">
        <f>BY135*VLOOKUP('Données projet'!$B$12,Paramètres!$A$1:$I$89,3,0)*VLOOKUP('Données projet'!$B$12,Paramètres!$A$1:$I$89,5,0)</f>
        <v>265.39967999999936</v>
      </c>
      <c r="CA135" s="14">
        <f t="shared" si="147"/>
        <v>63.87199095821434</v>
      </c>
      <c r="CB135" s="22">
        <f t="shared" si="118"/>
        <v>573.48149358555554</v>
      </c>
      <c r="CC135" s="60">
        <f t="shared" si="119"/>
        <v>866.81482691888891</v>
      </c>
      <c r="CD135" s="60">
        <f ca="1">AVERAGE(OFFSET($CC$3,0,0,'Données projet'!$E$12+1,1))-AVERAGE(OFFSET($H$3,0,0,'Données projet'!$E$12+1,1))</f>
        <v>330.39429528665841</v>
      </c>
      <c r="CE135" s="60">
        <f t="shared" si="148"/>
        <v>186.45728006007261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2.7</v>
      </c>
      <c r="CT135" s="13">
        <f>IF('Données projet'!$A$140&gt;35,CT134+CS135-DB134,IF(A135&lt;'Données projet'!$A$140,$CQ$205^A135,IF(A135='Données projet'!$A$140,'Données projet'!$B$140,CT134+CS135-DB134)))</f>
        <v>274.39999999999935</v>
      </c>
      <c r="CU135" s="18">
        <f>CT135*VLOOKUP('Données projet'!$B$13,Paramètres!$A$1:$I$89,3,0)*VLOOKUP('Données projet'!$B$13,Paramètres!$A$1:$I$89,5,0)</f>
        <v>295.36415999999929</v>
      </c>
      <c r="CV135" s="14">
        <f t="shared" si="149"/>
        <v>70.203734243177976</v>
      </c>
      <c r="CW135" s="22">
        <f t="shared" si="121"/>
        <v>636.69741580686696</v>
      </c>
      <c r="CX135" s="60">
        <f t="shared" si="122"/>
        <v>930.03074914020021</v>
      </c>
      <c r="CY135" s="60">
        <f ca="1">AVERAGE(OFFSET($CX$3,0,0,'Données projet'!$E$13+1,1))-AVERAGE(OFFSET($H$3,0,0,'Données projet'!$E$13+1,1))</f>
        <v>376.96388721258387</v>
      </c>
      <c r="CZ135" s="60">
        <f t="shared" si="150"/>
        <v>211.14628470344377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1.7053025658242404E-13</v>
      </c>
      <c r="DP135" s="18">
        <f>DO135*VLOOKUP('Données projet'!$B$14,Paramètres!$A$1:$I$89,3,0)*VLOOKUP('Données projet'!$B$14,Paramètres!$A$1:$I$89,5,0)</f>
        <v>1.1439169611549005E-13</v>
      </c>
      <c r="DQ135" s="14">
        <f t="shared" si="151"/>
        <v>1.6918016515029816E-12</v>
      </c>
      <c r="DR135" s="22">
        <f t="shared" si="124"/>
        <v>3.1457867471021712E-12</v>
      </c>
      <c r="DS135" s="60">
        <f t="shared" si="125"/>
        <v>293.33333333333644</v>
      </c>
      <c r="DT135" s="60">
        <f ca="1">AVERAGE(OFFSET($DS$3,0,0,'Données projet'!$E$14+1,1))-AVERAGE(OFFSET($H$3,0,0,'Données projet'!$E$14+1,1))</f>
        <v>212.33913923444732</v>
      </c>
      <c r="DU135" s="60">
        <f t="shared" si="152"/>
        <v>183.51194426094372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0" t="e">
        <f t="shared" si="128"/>
        <v>#N/A</v>
      </c>
      <c r="EO135" s="60" t="e">
        <f ca="1">AVERAGE(OFFSET($EN$3,0,0,'Données projet'!$E$15+1,1))-AVERAGE(OFFSET($H$3,0,0,'Données projet'!$E$15+1,1))</f>
        <v>#N/A</v>
      </c>
      <c r="EP135" s="60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0" t="e">
        <f t="shared" si="131"/>
        <v>#N/A</v>
      </c>
      <c r="FJ135" s="60" t="e">
        <f ca="1">AVERAGE(OFFSET($FI$3,0,0,'Données projet'!$E$16+1,1))-AVERAGE(OFFSET($H$3,0,0,'Données projet'!$E$16+1,1))</f>
        <v>#N/A</v>
      </c>
      <c r="FK135" s="60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0" t="e">
        <f t="shared" si="134"/>
        <v>#N/A</v>
      </c>
      <c r="GE135" s="60" t="e">
        <f ca="1">AVERAGE(OFFSET($GD$3,0,0,'Données projet'!$E$17+1,1))-AVERAGE(OFFSET($H$3,0,0,'Données projet'!$E$17+1,1))</f>
        <v>#N/A</v>
      </c>
      <c r="GF135" s="60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0" t="e">
        <f t="shared" si="137"/>
        <v>#N/A</v>
      </c>
      <c r="GZ135" s="60" t="e">
        <f ca="1">AVERAGE(OFFSET($GY$3,0,0,'Données projet'!$E$18+1,1))-AVERAGE(OFFSET($H$3,0,0,'Données projet'!$E$18+1,1))</f>
        <v>#N/A</v>
      </c>
      <c r="HA135" s="60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5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2">
        <f t="shared" si="140"/>
        <v>20.322203405798462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8">
        <f t="shared" si="110"/>
        <v>455.20418759843233</v>
      </c>
      <c r="I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3.4106051316484809E-13</v>
      </c>
      <c r="O136" s="14">
        <f>N136*VLOOKUP('Données projet'!$B$9,Paramètres!$A$1:$I$89,3,0)*VLOOKUP('Données projet'!$B$9,Paramètres!$A$1:$I$89,5,0)</f>
        <v>1.5961632016114892E-13</v>
      </c>
      <c r="P136" s="14">
        <f t="shared" si="141"/>
        <v>2.2708641912150958E-12</v>
      </c>
      <c r="Q136" s="22">
        <f t="shared" si="108"/>
        <v>4.2330868906469593E-12</v>
      </c>
      <c r="R136" s="60">
        <f t="shared" si="109"/>
        <v>293.33333333333752</v>
      </c>
      <c r="S136" s="60">
        <f ca="1">AVERAGE(OFFSET($R$3,0,0,'Données projet'!$E$9+1,1))-AVERAGE(OFFSET($H$3,0,0,'Données projet'!$E$9+1,1))</f>
        <v>146.40889017442277</v>
      </c>
      <c r="T136" s="60">
        <f t="shared" si="142"/>
        <v>70.859031694091868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3.8</v>
      </c>
      <c r="AI136" s="14">
        <f>IF('Données projet'!$A$62&gt;35,AI135+AH136-AQ135,IF(A136&lt;'Données projet'!$A$62,$AF$205^A136,IF(A136='Données projet'!$A$62,'Données projet'!$B$62,AI135+AH136-AQ135)))</f>
        <v>314.39999999999981</v>
      </c>
      <c r="AJ136" s="14">
        <f>AI136*VLOOKUP('Données projet'!$B$10,Paramètres!$A$1:$I$89,3,0)*VLOOKUP('Données projet'!$B$10,Paramètres!$A$1:$I$89,5,0)</f>
        <v>284.4691199999998</v>
      </c>
      <c r="AK136" s="14">
        <f t="shared" si="143"/>
        <v>67.910590237378983</v>
      </c>
      <c r="AL136" s="22">
        <f t="shared" si="112"/>
        <v>613.72799533010129</v>
      </c>
      <c r="AM136" s="60">
        <f t="shared" si="113"/>
        <v>907.06132866343455</v>
      </c>
      <c r="AN136" s="60">
        <f ca="1">AVERAGE(OFFSET($AM$3,0,0,'Données projet'!$E$10+1,1))-AVERAGE(OFFSET($H$3,0,0,'Données projet'!$E$10+1,1))</f>
        <v>404.14319681142746</v>
      </c>
      <c r="AO136" s="60">
        <f t="shared" si="144"/>
        <v>203.5274665601915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2.7</v>
      </c>
      <c r="BD136" s="13">
        <f>IF('Données projet'!$A$88&gt;35,BD135+BC136-BL135,IF(A136&lt;'Données projet'!$A$88,$BA$205^A136,IF(A136='Données projet'!$A$88,'Données projet'!$B$88,BD135+BC136-BL135)))</f>
        <v>277.09999999999934</v>
      </c>
      <c r="BE136" s="14">
        <f>BD136*VLOOKUP('Données projet'!$B$11,Paramètres!$A$1:$I$89,3,0)*VLOOKUP('Données projet'!$B$11,Paramètres!$A$1:$I$89,5,0)</f>
        <v>280.97939999999937</v>
      </c>
      <c r="BF136" s="14">
        <f t="shared" si="145"/>
        <v>67.173942175199301</v>
      </c>
      <c r="BG136" s="22">
        <f t="shared" si="115"/>
        <v>606.36707095513759</v>
      </c>
      <c r="BH136" s="60">
        <f t="shared" si="116"/>
        <v>899.70040428847096</v>
      </c>
      <c r="BI136" s="60">
        <f ca="1">AVERAGE(OFFSET($BH$3,0,0,'Données projet'!$E$11+1,1))-AVERAGE(OFFSET($H$3,0,0,'Données projet'!$E$11+1,1))</f>
        <v>350.3652766444938</v>
      </c>
      <c r="BJ136" s="60">
        <f t="shared" si="146"/>
        <v>197.04549436738586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2.7</v>
      </c>
      <c r="BY136" s="13">
        <f>IF('Données projet'!$A$114&gt;35,BY135+BX136-CG135,IF(A136&lt;'Données projet'!$A$114,$BV$205^A136,IF(A136='Données projet'!$A$114,'Données projet'!$B$114,BY135+BX136-CG135)))</f>
        <v>277.09999999999934</v>
      </c>
      <c r="BZ136" s="14">
        <f>BY136*VLOOKUP('Données projet'!$B$12,Paramètres!$A$1:$I$89,3,0)*VLOOKUP('Données projet'!$B$12,Paramètres!$A$1:$I$89,5,0)</f>
        <v>268.01111999999938</v>
      </c>
      <c r="CA136" s="14">
        <f t="shared" si="147"/>
        <v>64.426997301716739</v>
      </c>
      <c r="CB136" s="22">
        <f t="shared" si="118"/>
        <v>578.99638763382234</v>
      </c>
      <c r="CC136" s="60">
        <f t="shared" si="119"/>
        <v>872.32972096715571</v>
      </c>
      <c r="CD136" s="60">
        <f ca="1">AVERAGE(OFFSET($CC$3,0,0,'Données projet'!$E$12+1,1))-AVERAGE(OFFSET($H$3,0,0,'Données projet'!$E$12+1,1))</f>
        <v>330.39429528665841</v>
      </c>
      <c r="CE136" s="60">
        <f t="shared" si="148"/>
        <v>186.45728006007261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2.7</v>
      </c>
      <c r="CT136" s="13">
        <f>IF('Données projet'!$A$140&gt;35,CT135+CS136-DB135,IF(A136&lt;'Données projet'!$A$140,$CQ$205^A136,IF(A136='Données projet'!$A$140,'Données projet'!$B$140,CT135+CS136-DB135)))</f>
        <v>277.09999999999934</v>
      </c>
      <c r="CU136" s="18">
        <f>CT136*VLOOKUP('Données projet'!$B$13,Paramètres!$A$1:$I$89,3,0)*VLOOKUP('Données projet'!$B$13,Paramètres!$A$1:$I$89,5,0)</f>
        <v>298.27043999999927</v>
      </c>
      <c r="CV136" s="14">
        <f t="shared" si="149"/>
        <v>70.813759345855843</v>
      </c>
      <c r="CW136" s="22">
        <f t="shared" si="121"/>
        <v>642.8216471940309</v>
      </c>
      <c r="CX136" s="60">
        <f t="shared" si="122"/>
        <v>936.15498052736416</v>
      </c>
      <c r="CY136" s="60">
        <f ca="1">AVERAGE(OFFSET($CX$3,0,0,'Données projet'!$E$13+1,1))-AVERAGE(OFFSET($H$3,0,0,'Données projet'!$E$13+1,1))</f>
        <v>376.96388721258387</v>
      </c>
      <c r="CZ136" s="60">
        <f t="shared" si="150"/>
        <v>211.14628470344377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1.7053025658242404E-13</v>
      </c>
      <c r="DP136" s="18">
        <f>DO136*VLOOKUP('Données projet'!$B$14,Paramètres!$A$1:$I$89,3,0)*VLOOKUP('Données projet'!$B$14,Paramètres!$A$1:$I$89,5,0)</f>
        <v>1.1439169611549005E-13</v>
      </c>
      <c r="DQ136" s="14">
        <f t="shared" si="151"/>
        <v>1.6918016515029816E-12</v>
      </c>
      <c r="DR136" s="22">
        <f t="shared" si="124"/>
        <v>3.1457867471021712E-12</v>
      </c>
      <c r="DS136" s="60">
        <f t="shared" si="125"/>
        <v>293.33333333333644</v>
      </c>
      <c r="DT136" s="60">
        <f ca="1">AVERAGE(OFFSET($DS$3,0,0,'Données projet'!$E$14+1,1))-AVERAGE(OFFSET($H$3,0,0,'Données projet'!$E$14+1,1))</f>
        <v>212.33913923444732</v>
      </c>
      <c r="DU136" s="60">
        <f t="shared" si="152"/>
        <v>183.51194426094372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0" t="e">
        <f t="shared" si="128"/>
        <v>#N/A</v>
      </c>
      <c r="EO136" s="60" t="e">
        <f ca="1">AVERAGE(OFFSET($EN$3,0,0,'Données projet'!$E$15+1,1))-AVERAGE(OFFSET($H$3,0,0,'Données projet'!$E$15+1,1))</f>
        <v>#N/A</v>
      </c>
      <c r="EP136" s="60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0" t="e">
        <f t="shared" si="131"/>
        <v>#N/A</v>
      </c>
      <c r="FJ136" s="60" t="e">
        <f ca="1">AVERAGE(OFFSET($FI$3,0,0,'Données projet'!$E$16+1,1))-AVERAGE(OFFSET($H$3,0,0,'Données projet'!$E$16+1,1))</f>
        <v>#N/A</v>
      </c>
      <c r="FK136" s="60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0" t="e">
        <f t="shared" si="134"/>
        <v>#N/A</v>
      </c>
      <c r="GE136" s="60" t="e">
        <f ca="1">AVERAGE(OFFSET($GD$3,0,0,'Données projet'!$E$17+1,1))-AVERAGE(OFFSET($H$3,0,0,'Données projet'!$E$17+1,1))</f>
        <v>#N/A</v>
      </c>
      <c r="GF136" s="60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0" t="e">
        <f t="shared" si="137"/>
        <v>#N/A</v>
      </c>
      <c r="GZ136" s="60" t="e">
        <f ca="1">AVERAGE(OFFSET($GY$3,0,0,'Données projet'!$E$18+1,1))-AVERAGE(OFFSET($H$3,0,0,'Données projet'!$E$18+1,1))</f>
        <v>#N/A</v>
      </c>
      <c r="HA136" s="60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5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2">
        <f t="shared" si="140"/>
        <v>20.457157263578868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8">
        <f t="shared" si="110"/>
        <v>456.39018223406657</v>
      </c>
      <c r="I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3.4106051316484809E-13</v>
      </c>
      <c r="O137" s="14">
        <f>N137*VLOOKUP('Données projet'!$B$9,Paramètres!$A$1:$I$89,3,0)*VLOOKUP('Données projet'!$B$9,Paramètres!$A$1:$I$89,5,0)</f>
        <v>1.5961632016114892E-13</v>
      </c>
      <c r="P137" s="14">
        <f t="shared" si="141"/>
        <v>2.2708641912150958E-12</v>
      </c>
      <c r="Q137" s="22">
        <f t="shared" si="108"/>
        <v>4.2330868906469593E-12</v>
      </c>
      <c r="R137" s="60">
        <f t="shared" si="109"/>
        <v>293.33333333333752</v>
      </c>
      <c r="S137" s="60">
        <f ca="1">AVERAGE(OFFSET($R$3,0,0,'Données projet'!$E$9+1,1))-AVERAGE(OFFSET($H$3,0,0,'Données projet'!$E$9+1,1))</f>
        <v>146.40889017442277</v>
      </c>
      <c r="T137" s="60">
        <f t="shared" si="142"/>
        <v>70.859031694091868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3.8</v>
      </c>
      <c r="AI137" s="14">
        <f>IF('Données projet'!$A$62&gt;35,AI136+AH137-AQ136,IF(A137&lt;'Données projet'!$A$62,$AF$205^A137,IF(A137='Données projet'!$A$62,'Données projet'!$B$62,AI136+AH137-AQ136)))</f>
        <v>318.19999999999982</v>
      </c>
      <c r="AJ137" s="14">
        <f>AI137*VLOOKUP('Données projet'!$B$10,Paramètres!$A$1:$I$89,3,0)*VLOOKUP('Données projet'!$B$10,Paramètres!$A$1:$I$89,5,0)</f>
        <v>287.90735999999981</v>
      </c>
      <c r="AK137" s="14">
        <f t="shared" si="143"/>
        <v>68.635343255147305</v>
      </c>
      <c r="AL137" s="22">
        <f t="shared" si="112"/>
        <v>620.97854150271451</v>
      </c>
      <c r="AM137" s="60">
        <f t="shared" si="113"/>
        <v>914.31187483604776</v>
      </c>
      <c r="AN137" s="60">
        <f ca="1">AVERAGE(OFFSET($AM$3,0,0,'Données projet'!$E$10+1,1))-AVERAGE(OFFSET($H$3,0,0,'Données projet'!$E$10+1,1))</f>
        <v>404.14319681142746</v>
      </c>
      <c r="AO137" s="60">
        <f t="shared" si="144"/>
        <v>203.5274665601915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2.7</v>
      </c>
      <c r="BD137" s="13">
        <f>IF('Données projet'!$A$88&gt;35,BD136+BC137-BL136,IF(A137&lt;'Données projet'!$A$88,$BA$205^A137,IF(A137='Données projet'!$A$88,'Données projet'!$B$88,BD136+BC137-BL136)))</f>
        <v>279.79999999999933</v>
      </c>
      <c r="BE137" s="14">
        <f>BD137*VLOOKUP('Données projet'!$B$11,Paramètres!$A$1:$I$89,3,0)*VLOOKUP('Données projet'!$B$11,Paramètres!$A$1:$I$89,5,0)</f>
        <v>283.71719999999937</v>
      </c>
      <c r="BF137" s="14">
        <f t="shared" si="145"/>
        <v>67.751956122170526</v>
      </c>
      <c r="BG137" s="22">
        <f t="shared" si="115"/>
        <v>612.14211357944589</v>
      </c>
      <c r="BH137" s="60">
        <f t="shared" si="116"/>
        <v>905.47544691277926</v>
      </c>
      <c r="BI137" s="60">
        <f ca="1">AVERAGE(OFFSET($BH$3,0,0,'Données projet'!$E$11+1,1))-AVERAGE(OFFSET($H$3,0,0,'Données projet'!$E$11+1,1))</f>
        <v>350.3652766444938</v>
      </c>
      <c r="BJ137" s="60">
        <f t="shared" si="146"/>
        <v>197.04549436738586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2.7</v>
      </c>
      <c r="BY137" s="13">
        <f>IF('Données projet'!$A$114&gt;35,BY136+BX137-CG136,IF(A137&lt;'Données projet'!$A$114,$BV$205^A137,IF(A137='Données projet'!$A$114,'Données projet'!$B$114,BY136+BX137-CG136)))</f>
        <v>279.79999999999933</v>
      </c>
      <c r="BZ137" s="14">
        <f>BY137*VLOOKUP('Données projet'!$B$12,Paramètres!$A$1:$I$89,3,0)*VLOOKUP('Données projet'!$B$12,Paramètres!$A$1:$I$89,5,0)</f>
        <v>270.62255999999934</v>
      </c>
      <c r="CA137" s="14">
        <f t="shared" si="147"/>
        <v>64.981374516987898</v>
      </c>
      <c r="CB137" s="22">
        <f t="shared" si="118"/>
        <v>584.51018595041944</v>
      </c>
      <c r="CC137" s="60">
        <f t="shared" si="119"/>
        <v>877.84351928375281</v>
      </c>
      <c r="CD137" s="60">
        <f ca="1">AVERAGE(OFFSET($CC$3,0,0,'Données projet'!$E$12+1,1))-AVERAGE(OFFSET($H$3,0,0,'Données projet'!$E$12+1,1))</f>
        <v>330.39429528665841</v>
      </c>
      <c r="CE137" s="60">
        <f t="shared" si="148"/>
        <v>186.45728006007261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2.7</v>
      </c>
      <c r="CT137" s="13">
        <f>IF('Données projet'!$A$140&gt;35,CT136+CS137-DB136,IF(A137&lt;'Données projet'!$A$140,$CQ$205^A137,IF(A137='Données projet'!$A$140,'Données projet'!$B$140,CT136+CS137-DB136)))</f>
        <v>279.79999999999933</v>
      </c>
      <c r="CU137" s="18">
        <f>CT137*VLOOKUP('Données projet'!$B$13,Paramètres!$A$1:$I$89,3,0)*VLOOKUP('Données projet'!$B$13,Paramètres!$A$1:$I$89,5,0)</f>
        <v>301.17671999999925</v>
      </c>
      <c r="CV137" s="14">
        <f t="shared" si="149"/>
        <v>71.423092953709514</v>
      </c>
      <c r="CW137" s="22">
        <f t="shared" si="121"/>
        <v>648.94467422770936</v>
      </c>
      <c r="CX137" s="60">
        <f t="shared" si="122"/>
        <v>942.27800756104261</v>
      </c>
      <c r="CY137" s="60">
        <f ca="1">AVERAGE(OFFSET($CX$3,0,0,'Données projet'!$E$13+1,1))-AVERAGE(OFFSET($H$3,0,0,'Données projet'!$E$13+1,1))</f>
        <v>376.96388721258387</v>
      </c>
      <c r="CZ137" s="60">
        <f t="shared" si="150"/>
        <v>211.14628470344377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1.7053025658242404E-13</v>
      </c>
      <c r="DP137" s="18">
        <f>DO137*VLOOKUP('Données projet'!$B$14,Paramètres!$A$1:$I$89,3,0)*VLOOKUP('Données projet'!$B$14,Paramètres!$A$1:$I$89,5,0)</f>
        <v>1.1439169611549005E-13</v>
      </c>
      <c r="DQ137" s="14">
        <f t="shared" si="151"/>
        <v>1.6918016515029816E-12</v>
      </c>
      <c r="DR137" s="22">
        <f t="shared" si="124"/>
        <v>3.1457867471021712E-12</v>
      </c>
      <c r="DS137" s="60">
        <f t="shared" si="125"/>
        <v>293.33333333333644</v>
      </c>
      <c r="DT137" s="60">
        <f ca="1">AVERAGE(OFFSET($DS$3,0,0,'Données projet'!$E$14+1,1))-AVERAGE(OFFSET($H$3,0,0,'Données projet'!$E$14+1,1))</f>
        <v>212.33913923444732</v>
      </c>
      <c r="DU137" s="60">
        <f t="shared" si="152"/>
        <v>183.51194426094372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0" t="e">
        <f t="shared" si="128"/>
        <v>#N/A</v>
      </c>
      <c r="EO137" s="60" t="e">
        <f ca="1">AVERAGE(OFFSET($EN$3,0,0,'Données projet'!$E$15+1,1))-AVERAGE(OFFSET($H$3,0,0,'Données projet'!$E$15+1,1))</f>
        <v>#N/A</v>
      </c>
      <c r="EP137" s="60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0" t="e">
        <f t="shared" si="131"/>
        <v>#N/A</v>
      </c>
      <c r="FJ137" s="60" t="e">
        <f ca="1">AVERAGE(OFFSET($FI$3,0,0,'Données projet'!$E$16+1,1))-AVERAGE(OFFSET($H$3,0,0,'Données projet'!$E$16+1,1))</f>
        <v>#N/A</v>
      </c>
      <c r="FK137" s="60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0" t="e">
        <f t="shared" si="134"/>
        <v>#N/A</v>
      </c>
      <c r="GE137" s="60" t="e">
        <f ca="1">AVERAGE(OFFSET($GD$3,0,0,'Données projet'!$E$17+1,1))-AVERAGE(OFFSET($H$3,0,0,'Données projet'!$E$17+1,1))</f>
        <v>#N/A</v>
      </c>
      <c r="GF137" s="60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0" t="e">
        <f t="shared" si="137"/>
        <v>#N/A</v>
      </c>
      <c r="GZ137" s="60" t="e">
        <f ca="1">AVERAGE(OFFSET($GY$3,0,0,'Données projet'!$E$18+1,1))-AVERAGE(OFFSET($H$3,0,0,'Données projet'!$E$18+1,1))</f>
        <v>#N/A</v>
      </c>
      <c r="HA137" s="60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5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2">
        <f t="shared" si="140"/>
        <v>20.591993942534774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8">
        <f t="shared" si="110"/>
        <v>457.57597278324812</v>
      </c>
      <c r="I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3.4106051316484809E-13</v>
      </c>
      <c r="O138" s="14">
        <f>N138*VLOOKUP('Données projet'!$B$9,Paramètres!$A$1:$I$89,3,0)*VLOOKUP('Données projet'!$B$9,Paramètres!$A$1:$I$89,5,0)</f>
        <v>1.5961632016114892E-13</v>
      </c>
      <c r="P138" s="14">
        <f t="shared" si="141"/>
        <v>2.2708641912150958E-12</v>
      </c>
      <c r="Q138" s="22">
        <f t="shared" si="108"/>
        <v>4.2330868906469593E-12</v>
      </c>
      <c r="R138" s="60">
        <f t="shared" si="109"/>
        <v>293.33333333333752</v>
      </c>
      <c r="S138" s="60">
        <f ca="1">AVERAGE(OFFSET($R$3,0,0,'Données projet'!$E$9+1,1))-AVERAGE(OFFSET($H$3,0,0,'Données projet'!$E$9+1,1))</f>
        <v>146.40889017442277</v>
      </c>
      <c r="T138" s="60">
        <f t="shared" si="142"/>
        <v>70.859031694091868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3.8</v>
      </c>
      <c r="AI138" s="14">
        <f>IF('Données projet'!$A$62&gt;35,AI137+AH138-AQ137,IF(A138&lt;'Données projet'!$A$62,$AF$205^A138,IF(A138='Données projet'!$A$62,'Données projet'!$B$62,AI137+AH138-AQ137)))</f>
        <v>321.99999999999983</v>
      </c>
      <c r="AJ138" s="14">
        <f>AI138*VLOOKUP('Données projet'!$B$10,Paramètres!$A$1:$I$89,3,0)*VLOOKUP('Données projet'!$B$10,Paramètres!$A$1:$I$89,5,0)</f>
        <v>291.34559999999982</v>
      </c>
      <c r="AK138" s="14">
        <f t="shared" si="143"/>
        <v>69.359089490698651</v>
      </c>
      <c r="AL138" s="22">
        <f t="shared" si="112"/>
        <v>628.22733419629969</v>
      </c>
      <c r="AM138" s="60">
        <f t="shared" si="113"/>
        <v>921.56066752963306</v>
      </c>
      <c r="AN138" s="60">
        <f ca="1">AVERAGE(OFFSET($AM$3,0,0,'Données projet'!$E$10+1,1))-AVERAGE(OFFSET($H$3,0,0,'Données projet'!$E$10+1,1))</f>
        <v>404.14319681142746</v>
      </c>
      <c r="AO138" s="60">
        <f t="shared" si="144"/>
        <v>203.5274665601915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2.7</v>
      </c>
      <c r="BD138" s="13">
        <f>IF('Données projet'!$A$88&gt;35,BD137+BC138-BL137,IF(A138&lt;'Données projet'!$A$88,$BA$205^A138,IF(A138='Données projet'!$A$88,'Données projet'!$B$88,BD137+BC138-BL137)))</f>
        <v>282.49999999999932</v>
      </c>
      <c r="BE138" s="14">
        <f>BD138*VLOOKUP('Données projet'!$B$11,Paramètres!$A$1:$I$89,3,0)*VLOOKUP('Données projet'!$B$11,Paramètres!$A$1:$I$89,5,0)</f>
        <v>286.45499999999936</v>
      </c>
      <c r="BF138" s="14">
        <f t="shared" si="145"/>
        <v>68.329321179865531</v>
      </c>
      <c r="BG138" s="22">
        <f t="shared" si="115"/>
        <v>617.91602605493142</v>
      </c>
      <c r="BH138" s="60">
        <f t="shared" si="116"/>
        <v>911.24935938826479</v>
      </c>
      <c r="BI138" s="60">
        <f ca="1">AVERAGE(OFFSET($BH$3,0,0,'Données projet'!$E$11+1,1))-AVERAGE(OFFSET($H$3,0,0,'Données projet'!$E$11+1,1))</f>
        <v>350.3652766444938</v>
      </c>
      <c r="BJ138" s="60">
        <f t="shared" si="146"/>
        <v>197.04549436738586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2.7</v>
      </c>
      <c r="BY138" s="13">
        <f>IF('Données projet'!$A$114&gt;35,BY137+BX138-CG137,IF(A138&lt;'Données projet'!$A$114,$BV$205^A138,IF(A138='Données projet'!$A$114,'Données projet'!$B$114,BY137+BX138-CG137)))</f>
        <v>282.49999999999932</v>
      </c>
      <c r="BZ138" s="14">
        <f>BY138*VLOOKUP('Données projet'!$B$12,Paramètres!$A$1:$I$89,3,0)*VLOOKUP('Données projet'!$B$12,Paramètres!$A$1:$I$89,5,0)</f>
        <v>273.23399999999936</v>
      </c>
      <c r="CA138" s="14">
        <f t="shared" si="147"/>
        <v>65.535129378020301</v>
      </c>
      <c r="CB138" s="22">
        <f t="shared" si="118"/>
        <v>590.0229003333842</v>
      </c>
      <c r="CC138" s="60">
        <f t="shared" si="119"/>
        <v>883.35623366671757</v>
      </c>
      <c r="CD138" s="60">
        <f ca="1">AVERAGE(OFFSET($CC$3,0,0,'Données projet'!$E$12+1,1))-AVERAGE(OFFSET($H$3,0,0,'Données projet'!$E$12+1,1))</f>
        <v>330.39429528665841</v>
      </c>
      <c r="CE138" s="60">
        <f t="shared" si="148"/>
        <v>186.45728006007261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2.7</v>
      </c>
      <c r="CT138" s="13">
        <f>IF('Données projet'!$A$140&gt;35,CT137+CS138-DB137,IF(A138&lt;'Données projet'!$A$140,$CQ$205^A138,IF(A138='Données projet'!$A$140,'Données projet'!$B$140,CT137+CS138-DB137)))</f>
        <v>282.49999999999932</v>
      </c>
      <c r="CU138" s="18">
        <f>CT138*VLOOKUP('Données projet'!$B$13,Paramètres!$A$1:$I$89,3,0)*VLOOKUP('Données projet'!$B$13,Paramètres!$A$1:$I$89,5,0)</f>
        <v>304.08299999999929</v>
      </c>
      <c r="CV138" s="14">
        <f t="shared" si="149"/>
        <v>72.031742512249494</v>
      </c>
      <c r="CW138" s="22">
        <f t="shared" si="121"/>
        <v>655.06650987549995</v>
      </c>
      <c r="CX138" s="60">
        <f t="shared" si="122"/>
        <v>948.39984320883332</v>
      </c>
      <c r="CY138" s="60">
        <f ca="1">AVERAGE(OFFSET($CX$3,0,0,'Données projet'!$E$13+1,1))-AVERAGE(OFFSET($H$3,0,0,'Données projet'!$E$13+1,1))</f>
        <v>376.96388721258387</v>
      </c>
      <c r="CZ138" s="60">
        <f t="shared" si="150"/>
        <v>211.14628470344377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1.7053025658242404E-13</v>
      </c>
      <c r="DP138" s="18">
        <f>DO138*VLOOKUP('Données projet'!$B$14,Paramètres!$A$1:$I$89,3,0)*VLOOKUP('Données projet'!$B$14,Paramètres!$A$1:$I$89,5,0)</f>
        <v>1.1439169611549005E-13</v>
      </c>
      <c r="DQ138" s="14">
        <f t="shared" si="151"/>
        <v>1.6918016515029816E-12</v>
      </c>
      <c r="DR138" s="22">
        <f t="shared" si="124"/>
        <v>3.1457867471021712E-12</v>
      </c>
      <c r="DS138" s="60">
        <f t="shared" si="125"/>
        <v>293.33333333333644</v>
      </c>
      <c r="DT138" s="60">
        <f ca="1">AVERAGE(OFFSET($DS$3,0,0,'Données projet'!$E$14+1,1))-AVERAGE(OFFSET($H$3,0,0,'Données projet'!$E$14+1,1))</f>
        <v>212.33913923444732</v>
      </c>
      <c r="DU138" s="60">
        <f t="shared" si="152"/>
        <v>183.51194426094372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0" t="e">
        <f t="shared" si="128"/>
        <v>#N/A</v>
      </c>
      <c r="EO138" s="60" t="e">
        <f ca="1">AVERAGE(OFFSET($EN$3,0,0,'Données projet'!$E$15+1,1))-AVERAGE(OFFSET($H$3,0,0,'Données projet'!$E$15+1,1))</f>
        <v>#N/A</v>
      </c>
      <c r="EP138" s="60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0" t="e">
        <f t="shared" si="131"/>
        <v>#N/A</v>
      </c>
      <c r="FJ138" s="60" t="e">
        <f ca="1">AVERAGE(OFFSET($FI$3,0,0,'Données projet'!$E$16+1,1))-AVERAGE(OFFSET($H$3,0,0,'Données projet'!$E$16+1,1))</f>
        <v>#N/A</v>
      </c>
      <c r="FK138" s="60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0" t="e">
        <f t="shared" si="134"/>
        <v>#N/A</v>
      </c>
      <c r="GE138" s="60" t="e">
        <f ca="1">AVERAGE(OFFSET($GD$3,0,0,'Données projet'!$E$17+1,1))-AVERAGE(OFFSET($H$3,0,0,'Données projet'!$E$17+1,1))</f>
        <v>#N/A</v>
      </c>
      <c r="GF138" s="60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0" t="e">
        <f t="shared" si="137"/>
        <v>#N/A</v>
      </c>
      <c r="GZ138" s="60" t="e">
        <f ca="1">AVERAGE(OFFSET($GY$3,0,0,'Données projet'!$E$18+1,1))-AVERAGE(OFFSET($H$3,0,0,'Données projet'!$E$18+1,1))</f>
        <v>#N/A</v>
      </c>
      <c r="HA138" s="60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5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2">
        <f t="shared" si="140"/>
        <v>20.726714411291841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8">
        <f t="shared" si="110"/>
        <v>458.76156093300006</v>
      </c>
      <c r="I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3.4106051316484809E-13</v>
      </c>
      <c r="O139" s="14">
        <f>N139*VLOOKUP('Données projet'!$B$9,Paramètres!$A$1:$I$89,3,0)*VLOOKUP('Données projet'!$B$9,Paramètres!$A$1:$I$89,5,0)</f>
        <v>1.5961632016114892E-13</v>
      </c>
      <c r="P139" s="14">
        <f t="shared" si="141"/>
        <v>2.2708641912150958E-12</v>
      </c>
      <c r="Q139" s="22">
        <f t="shared" si="108"/>
        <v>4.2330868906469593E-12</v>
      </c>
      <c r="R139" s="60">
        <f t="shared" si="109"/>
        <v>293.33333333333752</v>
      </c>
      <c r="S139" s="60">
        <f ca="1">AVERAGE(OFFSET($R$3,0,0,'Données projet'!$E$9+1,1))-AVERAGE(OFFSET($H$3,0,0,'Données projet'!$E$9+1,1))</f>
        <v>146.40889017442277</v>
      </c>
      <c r="T139" s="60">
        <f t="shared" si="142"/>
        <v>70.859031694091868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3.8</v>
      </c>
      <c r="AI139" s="14">
        <f>IF('Données projet'!$A$62&gt;35,AI138+AH139-AQ138,IF(A139&lt;'Données projet'!$A$62,$AF$205^A139,IF(A139='Données projet'!$A$62,'Données projet'!$B$62,AI138+AH139-AQ138)))</f>
        <v>325.79999999999984</v>
      </c>
      <c r="AJ139" s="14">
        <f>AI139*VLOOKUP('Données projet'!$B$10,Paramètres!$A$1:$I$89,3,0)*VLOOKUP('Données projet'!$B$10,Paramètres!$A$1:$I$89,5,0)</f>
        <v>294.78383999999983</v>
      </c>
      <c r="AK139" s="14">
        <f t="shared" si="143"/>
        <v>70.081842199807596</v>
      </c>
      <c r="AL139" s="22">
        <f t="shared" si="112"/>
        <v>635.47439649799799</v>
      </c>
      <c r="AM139" s="60">
        <f t="shared" si="113"/>
        <v>928.80772983133124</v>
      </c>
      <c r="AN139" s="60">
        <f ca="1">AVERAGE(OFFSET($AM$3,0,0,'Données projet'!$E$10+1,1))-AVERAGE(OFFSET($H$3,0,0,'Données projet'!$E$10+1,1))</f>
        <v>404.14319681142746</v>
      </c>
      <c r="AO139" s="60">
        <f t="shared" si="144"/>
        <v>203.5274665601915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2.7</v>
      </c>
      <c r="BD139" s="13">
        <f>IF('Données projet'!$A$88&gt;35,BD138+BC139-BL138,IF(A139&lt;'Données projet'!$A$88,$BA$205^A139,IF(A139='Données projet'!$A$88,'Données projet'!$B$88,BD138+BC139-BL138)))</f>
        <v>285.19999999999931</v>
      </c>
      <c r="BE139" s="14">
        <f>BD139*VLOOKUP('Données projet'!$B$11,Paramètres!$A$1:$I$89,3,0)*VLOOKUP('Données projet'!$B$11,Paramètres!$A$1:$I$89,5,0)</f>
        <v>289.19279999999935</v>
      </c>
      <c r="BF139" s="14">
        <f t="shared" si="145"/>
        <v>68.906044268306161</v>
      </c>
      <c r="BG139" s="22">
        <f t="shared" si="115"/>
        <v>623.68882043396547</v>
      </c>
      <c r="BH139" s="60">
        <f t="shared" si="116"/>
        <v>917.02215376729873</v>
      </c>
      <c r="BI139" s="60">
        <f ca="1">AVERAGE(OFFSET($BH$3,0,0,'Données projet'!$E$11+1,1))-AVERAGE(OFFSET($H$3,0,0,'Données projet'!$E$11+1,1))</f>
        <v>350.3652766444938</v>
      </c>
      <c r="BJ139" s="60">
        <f t="shared" si="146"/>
        <v>197.04549436738586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2.7</v>
      </c>
      <c r="BY139" s="13">
        <f>IF('Données projet'!$A$114&gt;35,BY138+BX139-CG138,IF(A139&lt;'Données projet'!$A$114,$BV$205^A139,IF(A139='Données projet'!$A$114,'Données projet'!$B$114,BY138+BX139-CG138)))</f>
        <v>285.19999999999931</v>
      </c>
      <c r="BZ139" s="14">
        <f>BY139*VLOOKUP('Données projet'!$B$12,Paramètres!$A$1:$I$89,3,0)*VLOOKUP('Données projet'!$B$12,Paramètres!$A$1:$I$89,5,0)</f>
        <v>275.84543999999931</v>
      </c>
      <c r="CA139" s="14">
        <f t="shared" si="147"/>
        <v>66.088268521855113</v>
      </c>
      <c r="CB139" s="22">
        <f t="shared" si="118"/>
        <v>595.53454234222977</v>
      </c>
      <c r="CC139" s="60">
        <f t="shared" si="119"/>
        <v>888.86787567556303</v>
      </c>
      <c r="CD139" s="60">
        <f ca="1">AVERAGE(OFFSET($CC$3,0,0,'Données projet'!$E$12+1,1))-AVERAGE(OFFSET($H$3,0,0,'Données projet'!$E$12+1,1))</f>
        <v>330.39429528665841</v>
      </c>
      <c r="CE139" s="60">
        <f t="shared" si="148"/>
        <v>186.45728006007261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2.7</v>
      </c>
      <c r="CT139" s="13">
        <f>IF('Données projet'!$A$140&gt;35,CT138+CS139-DB138,IF(A139&lt;'Données projet'!$A$140,$CQ$205^A139,IF(A139='Données projet'!$A$140,'Données projet'!$B$140,CT138+CS139-DB138)))</f>
        <v>285.19999999999931</v>
      </c>
      <c r="CU139" s="18">
        <f>CT139*VLOOKUP('Données projet'!$B$13,Paramètres!$A$1:$I$89,3,0)*VLOOKUP('Données projet'!$B$13,Paramètres!$A$1:$I$89,5,0)</f>
        <v>306.98927999999921</v>
      </c>
      <c r="CV139" s="14">
        <f t="shared" si="149"/>
        <v>72.639715316458506</v>
      </c>
      <c r="CW139" s="22">
        <f t="shared" si="121"/>
        <v>661.18716684283038</v>
      </c>
      <c r="CX139" s="60">
        <f t="shared" si="122"/>
        <v>954.52050017616375</v>
      </c>
      <c r="CY139" s="60">
        <f ca="1">AVERAGE(OFFSET($CX$3,0,0,'Données projet'!$E$13+1,1))-AVERAGE(OFFSET($H$3,0,0,'Données projet'!$E$13+1,1))</f>
        <v>376.96388721258387</v>
      </c>
      <c r="CZ139" s="60">
        <f t="shared" si="150"/>
        <v>211.14628470344377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1.7053025658242404E-13</v>
      </c>
      <c r="DP139" s="18">
        <f>DO139*VLOOKUP('Données projet'!$B$14,Paramètres!$A$1:$I$89,3,0)*VLOOKUP('Données projet'!$B$14,Paramètres!$A$1:$I$89,5,0)</f>
        <v>1.1439169611549005E-13</v>
      </c>
      <c r="DQ139" s="14">
        <f t="shared" si="151"/>
        <v>1.6918016515029816E-12</v>
      </c>
      <c r="DR139" s="22">
        <f t="shared" si="124"/>
        <v>3.1457867471021712E-12</v>
      </c>
      <c r="DS139" s="60">
        <f t="shared" si="125"/>
        <v>293.33333333333644</v>
      </c>
      <c r="DT139" s="60">
        <f ca="1">AVERAGE(OFFSET($DS$3,0,0,'Données projet'!$E$14+1,1))-AVERAGE(OFFSET($H$3,0,0,'Données projet'!$E$14+1,1))</f>
        <v>212.33913923444732</v>
      </c>
      <c r="DU139" s="60">
        <f t="shared" si="152"/>
        <v>183.51194426094372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0" t="e">
        <f t="shared" si="128"/>
        <v>#N/A</v>
      </c>
      <c r="EO139" s="60" t="e">
        <f ca="1">AVERAGE(OFFSET($EN$3,0,0,'Données projet'!$E$15+1,1))-AVERAGE(OFFSET($H$3,0,0,'Données projet'!$E$15+1,1))</f>
        <v>#N/A</v>
      </c>
      <c r="EP139" s="60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0" t="e">
        <f t="shared" si="131"/>
        <v>#N/A</v>
      </c>
      <c r="FJ139" s="60" t="e">
        <f ca="1">AVERAGE(OFFSET($FI$3,0,0,'Données projet'!$E$16+1,1))-AVERAGE(OFFSET($H$3,0,0,'Données projet'!$E$16+1,1))</f>
        <v>#N/A</v>
      </c>
      <c r="FK139" s="60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0" t="e">
        <f t="shared" si="134"/>
        <v>#N/A</v>
      </c>
      <c r="GE139" s="60" t="e">
        <f ca="1">AVERAGE(OFFSET($GD$3,0,0,'Données projet'!$E$17+1,1))-AVERAGE(OFFSET($H$3,0,0,'Données projet'!$E$17+1,1))</f>
        <v>#N/A</v>
      </c>
      <c r="GF139" s="60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0" t="e">
        <f t="shared" si="137"/>
        <v>#N/A</v>
      </c>
      <c r="GZ139" s="60" t="e">
        <f ca="1">AVERAGE(OFFSET($GY$3,0,0,'Données projet'!$E$18+1,1))-AVERAGE(OFFSET($H$3,0,0,'Données projet'!$E$18+1,1))</f>
        <v>#N/A</v>
      </c>
      <c r="HA139" s="60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5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2">
        <f t="shared" si="140"/>
        <v>20.861319623408168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8">
        <f t="shared" si="110"/>
        <v>459.94694834410268</v>
      </c>
      <c r="I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3.4106051316484809E-13</v>
      </c>
      <c r="O140" s="14">
        <f>N140*VLOOKUP('Données projet'!$B$9,Paramètres!$A$1:$I$89,3,0)*VLOOKUP('Données projet'!$B$9,Paramètres!$A$1:$I$89,5,0)</f>
        <v>1.5961632016114892E-13</v>
      </c>
      <c r="P140" s="14">
        <f t="shared" si="141"/>
        <v>2.2708641912150958E-12</v>
      </c>
      <c r="Q140" s="22">
        <f t="shared" si="108"/>
        <v>4.2330868906469593E-12</v>
      </c>
      <c r="R140" s="60">
        <f t="shared" si="109"/>
        <v>293.33333333333752</v>
      </c>
      <c r="S140" s="60">
        <f ca="1">AVERAGE(OFFSET($R$3,0,0,'Données projet'!$E$9+1,1))-AVERAGE(OFFSET($H$3,0,0,'Données projet'!$E$9+1,1))</f>
        <v>146.40889017442277</v>
      </c>
      <c r="T140" s="60">
        <f t="shared" si="142"/>
        <v>70.859031694091868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3.8</v>
      </c>
      <c r="AI140" s="14">
        <f>IF('Données projet'!$A$62&gt;35,AI139+AH140-AQ139,IF(A140&lt;'Données projet'!$A$62,$AF$205^A140,IF(A140='Données projet'!$A$62,'Données projet'!$B$62,AI139+AH140-AQ139)))</f>
        <v>329.59999999999985</v>
      </c>
      <c r="AJ140" s="14">
        <f>AI140*VLOOKUP('Données projet'!$B$10,Paramètres!$A$1:$I$89,3,0)*VLOOKUP('Données projet'!$B$10,Paramètres!$A$1:$I$89,5,0)</f>
        <v>298.22207999999983</v>
      </c>
      <c r="AK140" s="14">
        <f t="shared" si="143"/>
        <v>70.803614311231783</v>
      </c>
      <c r="AL140" s="22">
        <f t="shared" si="112"/>
        <v>642.71975092539503</v>
      </c>
      <c r="AM140" s="60">
        <f t="shared" si="113"/>
        <v>936.0530842587284</v>
      </c>
      <c r="AN140" s="60">
        <f ca="1">AVERAGE(OFFSET($AM$3,0,0,'Données projet'!$E$10+1,1))-AVERAGE(OFFSET($H$3,0,0,'Données projet'!$E$10+1,1))</f>
        <v>404.14319681142746</v>
      </c>
      <c r="AO140" s="60">
        <f t="shared" si="144"/>
        <v>203.5274665601915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2.7</v>
      </c>
      <c r="BD140" s="13">
        <f>IF('Données projet'!$A$88&gt;35,BD139+BC140-BL139,IF(A140&lt;'Données projet'!$A$88,$BA$205^A140,IF(A140='Données projet'!$A$88,'Données projet'!$B$88,BD139+BC140-BL139)))</f>
        <v>287.8999999999993</v>
      </c>
      <c r="BE140" s="14">
        <f>BD140*VLOOKUP('Données projet'!$B$11,Paramètres!$A$1:$I$89,3,0)*VLOOKUP('Données projet'!$B$11,Paramètres!$A$1:$I$89,5,0)</f>
        <v>291.93059999999929</v>
      </c>
      <c r="BF140" s="14">
        <f t="shared" si="145"/>
        <v>69.482132168934584</v>
      </c>
      <c r="BG140" s="22">
        <f t="shared" si="115"/>
        <v>629.4605085275598</v>
      </c>
      <c r="BH140" s="60">
        <f t="shared" si="116"/>
        <v>922.79384186089305</v>
      </c>
      <c r="BI140" s="60">
        <f ca="1">AVERAGE(OFFSET($BH$3,0,0,'Données projet'!$E$11+1,1))-AVERAGE(OFFSET($H$3,0,0,'Données projet'!$E$11+1,1))</f>
        <v>350.3652766444938</v>
      </c>
      <c r="BJ140" s="60">
        <f t="shared" si="146"/>
        <v>197.04549436738586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2.7</v>
      </c>
      <c r="BY140" s="13">
        <f>IF('Données projet'!$A$114&gt;35,BY139+BX140-CG139,IF(A140&lt;'Données projet'!$A$114,$BV$205^A140,IF(A140='Données projet'!$A$114,'Données projet'!$B$114,BY139+BX140-CG139)))</f>
        <v>287.8999999999993</v>
      </c>
      <c r="BZ140" s="14">
        <f>BY140*VLOOKUP('Données projet'!$B$12,Paramètres!$A$1:$I$89,3,0)*VLOOKUP('Données projet'!$B$12,Paramètres!$A$1:$I$89,5,0)</f>
        <v>278.45687999999933</v>
      </c>
      <c r="CA140" s="14">
        <f t="shared" si="147"/>
        <v>66.640798452620999</v>
      </c>
      <c r="CB140" s="22">
        <f t="shared" si="118"/>
        <v>601.04512330498039</v>
      </c>
      <c r="CC140" s="60">
        <f t="shared" si="119"/>
        <v>894.37845663831376</v>
      </c>
      <c r="CD140" s="60">
        <f ca="1">AVERAGE(OFFSET($CC$3,0,0,'Données projet'!$E$12+1,1))-AVERAGE(OFFSET($H$3,0,0,'Données projet'!$E$12+1,1))</f>
        <v>330.39429528665841</v>
      </c>
      <c r="CE140" s="60">
        <f t="shared" si="148"/>
        <v>186.45728006007261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2.7</v>
      </c>
      <c r="CT140" s="13">
        <f>IF('Données projet'!$A$140&gt;35,CT139+CS140-DB139,IF(A140&lt;'Données projet'!$A$140,$CQ$205^A140,IF(A140='Données projet'!$A$140,'Données projet'!$B$140,CT139+CS140-DB139)))</f>
        <v>287.8999999999993</v>
      </c>
      <c r="CU140" s="18">
        <f>CT140*VLOOKUP('Données projet'!$B$13,Paramètres!$A$1:$I$89,3,0)*VLOOKUP('Données projet'!$B$13,Paramètres!$A$1:$I$89,5,0)</f>
        <v>309.89555999999925</v>
      </c>
      <c r="CV140" s="14">
        <f t="shared" si="149"/>
        <v>73.247018515231034</v>
      </c>
      <c r="CW140" s="22">
        <f t="shared" si="121"/>
        <v>667.30665758069279</v>
      </c>
      <c r="CX140" s="60">
        <f t="shared" si="122"/>
        <v>960.63999091402616</v>
      </c>
      <c r="CY140" s="60">
        <f ca="1">AVERAGE(OFFSET($CX$3,0,0,'Données projet'!$E$13+1,1))-AVERAGE(OFFSET($H$3,0,0,'Données projet'!$E$13+1,1))</f>
        <v>376.96388721258387</v>
      </c>
      <c r="CZ140" s="60">
        <f t="shared" si="150"/>
        <v>211.14628470344377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1.7053025658242404E-13</v>
      </c>
      <c r="DP140" s="18">
        <f>DO140*VLOOKUP('Données projet'!$B$14,Paramètres!$A$1:$I$89,3,0)*VLOOKUP('Données projet'!$B$14,Paramètres!$A$1:$I$89,5,0)</f>
        <v>1.1439169611549005E-13</v>
      </c>
      <c r="DQ140" s="14">
        <f t="shared" si="151"/>
        <v>1.6918016515029816E-12</v>
      </c>
      <c r="DR140" s="22">
        <f t="shared" si="124"/>
        <v>3.1457867471021712E-12</v>
      </c>
      <c r="DS140" s="60">
        <f t="shared" si="125"/>
        <v>293.33333333333644</v>
      </c>
      <c r="DT140" s="60">
        <f ca="1">AVERAGE(OFFSET($DS$3,0,0,'Données projet'!$E$14+1,1))-AVERAGE(OFFSET($H$3,0,0,'Données projet'!$E$14+1,1))</f>
        <v>212.33913923444732</v>
      </c>
      <c r="DU140" s="60">
        <f t="shared" si="152"/>
        <v>183.51194426094372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0" t="e">
        <f t="shared" si="128"/>
        <v>#N/A</v>
      </c>
      <c r="EO140" s="60" t="e">
        <f ca="1">AVERAGE(OFFSET($EN$3,0,0,'Données projet'!$E$15+1,1))-AVERAGE(OFFSET($H$3,0,0,'Données projet'!$E$15+1,1))</f>
        <v>#N/A</v>
      </c>
      <c r="EP140" s="60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0" t="e">
        <f t="shared" si="131"/>
        <v>#N/A</v>
      </c>
      <c r="FJ140" s="60" t="e">
        <f ca="1">AVERAGE(OFFSET($FI$3,0,0,'Données projet'!$E$16+1,1))-AVERAGE(OFFSET($H$3,0,0,'Données projet'!$E$16+1,1))</f>
        <v>#N/A</v>
      </c>
      <c r="FK140" s="60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0" t="e">
        <f t="shared" si="134"/>
        <v>#N/A</v>
      </c>
      <c r="GE140" s="60" t="e">
        <f ca="1">AVERAGE(OFFSET($GD$3,0,0,'Données projet'!$E$17+1,1))-AVERAGE(OFFSET($H$3,0,0,'Données projet'!$E$17+1,1))</f>
        <v>#N/A</v>
      </c>
      <c r="GF140" s="60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0" t="e">
        <f t="shared" si="137"/>
        <v>#N/A</v>
      </c>
      <c r="GZ140" s="60" t="e">
        <f ca="1">AVERAGE(OFFSET($GY$3,0,0,'Données projet'!$E$18+1,1))-AVERAGE(OFFSET($H$3,0,0,'Données projet'!$E$18+1,1))</f>
        <v>#N/A</v>
      </c>
      <c r="HA140" s="60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5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2">
        <f t="shared" si="140"/>
        <v>20.995810517717057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8">
        <f t="shared" si="110"/>
        <v>461.13213665169064</v>
      </c>
      <c r="I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3.4106051316484809E-13</v>
      </c>
      <c r="O141" s="14">
        <f>N141*VLOOKUP('Données projet'!$B$9,Paramètres!$A$1:$I$89,3,0)*VLOOKUP('Données projet'!$B$9,Paramètres!$A$1:$I$89,5,0)</f>
        <v>1.5961632016114892E-13</v>
      </c>
      <c r="P141" s="14">
        <f t="shared" si="141"/>
        <v>2.2708641912150958E-12</v>
      </c>
      <c r="Q141" s="22">
        <f t="shared" si="108"/>
        <v>4.2330868906469593E-12</v>
      </c>
      <c r="R141" s="60">
        <f t="shared" si="109"/>
        <v>293.33333333333752</v>
      </c>
      <c r="S141" s="60">
        <f ca="1">AVERAGE(OFFSET($R$3,0,0,'Données projet'!$E$9+1,1))-AVERAGE(OFFSET($H$3,0,0,'Données projet'!$E$9+1,1))</f>
        <v>146.40889017442277</v>
      </c>
      <c r="T141" s="60">
        <f t="shared" si="142"/>
        <v>70.859031694091868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3.8</v>
      </c>
      <c r="AI141" s="14">
        <f>IF('Données projet'!$A$62&gt;35,AI140+AH141-AQ140,IF(A141&lt;'Données projet'!$A$62,$AF$205^A141,IF(A141='Données projet'!$A$62,'Données projet'!$B$62,AI140+AH141-AQ140)))</f>
        <v>333.39999999999986</v>
      </c>
      <c r="AJ141" s="14">
        <f>AI141*VLOOKUP('Données projet'!$B$10,Paramètres!$A$1:$I$89,3,0)*VLOOKUP('Données projet'!$B$10,Paramètres!$A$1:$I$89,5,0)</f>
        <v>301.66031999999984</v>
      </c>
      <c r="AK141" s="14">
        <f t="shared" si="143"/>
        <v>71.524418438455001</v>
      </c>
      <c r="AL141" s="22">
        <f t="shared" si="112"/>
        <v>649.96341944697554</v>
      </c>
      <c r="AM141" s="60">
        <f t="shared" si="113"/>
        <v>943.29675278030891</v>
      </c>
      <c r="AN141" s="60">
        <f ca="1">AVERAGE(OFFSET($AM$3,0,0,'Données projet'!$E$10+1,1))-AVERAGE(OFFSET($H$3,0,0,'Données projet'!$E$10+1,1))</f>
        <v>404.14319681142746</v>
      </c>
      <c r="AO141" s="60">
        <f t="shared" si="144"/>
        <v>203.5274665601915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2.7</v>
      </c>
      <c r="BD141" s="13">
        <f>IF('Données projet'!$A$88&gt;35,BD140+BC141-BL140,IF(A141&lt;'Données projet'!$A$88,$BA$205^A141,IF(A141='Données projet'!$A$88,'Données projet'!$B$88,BD140+BC141-BL140)))</f>
        <v>290.59999999999928</v>
      </c>
      <c r="BE141" s="14">
        <f>BD141*VLOOKUP('Données projet'!$B$11,Paramètres!$A$1:$I$89,3,0)*VLOOKUP('Données projet'!$B$11,Paramètres!$A$1:$I$89,5,0)</f>
        <v>294.66839999999928</v>
      </c>
      <c r="BF141" s="14">
        <f t="shared" si="145"/>
        <v>70.057591528661433</v>
      </c>
      <c r="BG141" s="22">
        <f t="shared" si="115"/>
        <v>635.23110191241733</v>
      </c>
      <c r="BH141" s="60">
        <f t="shared" si="116"/>
        <v>928.5644352457507</v>
      </c>
      <c r="BI141" s="60">
        <f ca="1">AVERAGE(OFFSET($BH$3,0,0,'Données projet'!$E$11+1,1))-AVERAGE(OFFSET($H$3,0,0,'Données projet'!$E$11+1,1))</f>
        <v>350.3652766444938</v>
      </c>
      <c r="BJ141" s="60">
        <f t="shared" si="146"/>
        <v>197.04549436738586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2.7</v>
      </c>
      <c r="BY141" s="13">
        <f>IF('Données projet'!$A$114&gt;35,BY140+BX141-CG140,IF(A141&lt;'Données projet'!$A$114,$BV$205^A141,IF(A141='Données projet'!$A$114,'Données projet'!$B$114,BY140+BX141-CG140)))</f>
        <v>290.59999999999928</v>
      </c>
      <c r="BZ141" s="14">
        <f>BY141*VLOOKUP('Données projet'!$B$12,Paramètres!$A$1:$I$89,3,0)*VLOOKUP('Données projet'!$B$12,Paramètres!$A$1:$I$89,5,0)</f>
        <v>281.06831999999929</v>
      </c>
      <c r="CA141" s="14">
        <f t="shared" si="147"/>
        <v>67.192725545416536</v>
      </c>
      <c r="CB141" s="22">
        <f t="shared" si="118"/>
        <v>606.55465432493247</v>
      </c>
      <c r="CC141" s="60">
        <f t="shared" si="119"/>
        <v>899.88798765826573</v>
      </c>
      <c r="CD141" s="60">
        <f ca="1">AVERAGE(OFFSET($CC$3,0,0,'Données projet'!$E$12+1,1))-AVERAGE(OFFSET($H$3,0,0,'Données projet'!$E$12+1,1))</f>
        <v>330.39429528665841</v>
      </c>
      <c r="CE141" s="60">
        <f t="shared" si="148"/>
        <v>186.45728006007261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2.7</v>
      </c>
      <c r="CT141" s="13">
        <f>IF('Données projet'!$A$140&gt;35,CT140+CS141-DB140,IF(A141&lt;'Données projet'!$A$140,$CQ$205^A141,IF(A141='Données projet'!$A$140,'Données projet'!$B$140,CT140+CS141-DB140)))</f>
        <v>290.59999999999928</v>
      </c>
      <c r="CU141" s="18">
        <f>CT141*VLOOKUP('Données projet'!$B$13,Paramètres!$A$1:$I$89,3,0)*VLOOKUP('Données projet'!$B$13,Paramètres!$A$1:$I$89,5,0)</f>
        <v>312.80183999999923</v>
      </c>
      <c r="CV141" s="14">
        <f t="shared" si="149"/>
        <v>73.853659115640255</v>
      </c>
      <c r="CW141" s="22">
        <f t="shared" si="121"/>
        <v>673.42499429307202</v>
      </c>
      <c r="CX141" s="60">
        <f t="shared" si="122"/>
        <v>966.75832762640539</v>
      </c>
      <c r="CY141" s="60">
        <f ca="1">AVERAGE(OFFSET($CX$3,0,0,'Données projet'!$E$13+1,1))-AVERAGE(OFFSET($H$3,0,0,'Données projet'!$E$13+1,1))</f>
        <v>376.96388721258387</v>
      </c>
      <c r="CZ141" s="60">
        <f t="shared" si="150"/>
        <v>211.14628470344377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1.7053025658242404E-13</v>
      </c>
      <c r="DP141" s="18">
        <f>DO141*VLOOKUP('Données projet'!$B$14,Paramètres!$A$1:$I$89,3,0)*VLOOKUP('Données projet'!$B$14,Paramètres!$A$1:$I$89,5,0)</f>
        <v>1.1439169611549005E-13</v>
      </c>
      <c r="DQ141" s="14">
        <f t="shared" si="151"/>
        <v>1.6918016515029816E-12</v>
      </c>
      <c r="DR141" s="22">
        <f t="shared" si="124"/>
        <v>3.1457867471021712E-12</v>
      </c>
      <c r="DS141" s="60">
        <f t="shared" si="125"/>
        <v>293.33333333333644</v>
      </c>
      <c r="DT141" s="60">
        <f ca="1">AVERAGE(OFFSET($DS$3,0,0,'Données projet'!$E$14+1,1))-AVERAGE(OFFSET($H$3,0,0,'Données projet'!$E$14+1,1))</f>
        <v>212.33913923444732</v>
      </c>
      <c r="DU141" s="60">
        <f t="shared" si="152"/>
        <v>183.51194426094372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0" t="e">
        <f t="shared" si="128"/>
        <v>#N/A</v>
      </c>
      <c r="EO141" s="60" t="e">
        <f ca="1">AVERAGE(OFFSET($EN$3,0,0,'Données projet'!$E$15+1,1))-AVERAGE(OFFSET($H$3,0,0,'Données projet'!$E$15+1,1))</f>
        <v>#N/A</v>
      </c>
      <c r="EP141" s="60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0" t="e">
        <f t="shared" si="131"/>
        <v>#N/A</v>
      </c>
      <c r="FJ141" s="60" t="e">
        <f ca="1">AVERAGE(OFFSET($FI$3,0,0,'Données projet'!$E$16+1,1))-AVERAGE(OFFSET($H$3,0,0,'Données projet'!$E$16+1,1))</f>
        <v>#N/A</v>
      </c>
      <c r="FK141" s="60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0" t="e">
        <f t="shared" si="134"/>
        <v>#N/A</v>
      </c>
      <c r="GE141" s="60" t="e">
        <f ca="1">AVERAGE(OFFSET($GD$3,0,0,'Données projet'!$E$17+1,1))-AVERAGE(OFFSET($H$3,0,0,'Données projet'!$E$17+1,1))</f>
        <v>#N/A</v>
      </c>
      <c r="GF141" s="60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0" t="e">
        <f t="shared" si="137"/>
        <v>#N/A</v>
      </c>
      <c r="GZ141" s="60" t="e">
        <f ca="1">AVERAGE(OFFSET($GY$3,0,0,'Données projet'!$E$18+1,1))-AVERAGE(OFFSET($H$3,0,0,'Données projet'!$E$18+1,1))</f>
        <v>#N/A</v>
      </c>
      <c r="HA141" s="60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5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2">
        <f t="shared" si="140"/>
        <v>21.130188018659304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8">
        <f t="shared" si="110"/>
        <v>462.31712746583173</v>
      </c>
      <c r="I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3.4106051316484809E-13</v>
      </c>
      <c r="O142" s="14">
        <f>N142*VLOOKUP('Données projet'!$B$9,Paramètres!$A$1:$I$89,3,0)*VLOOKUP('Données projet'!$B$9,Paramètres!$A$1:$I$89,5,0)</f>
        <v>1.5961632016114892E-13</v>
      </c>
      <c r="P142" s="14">
        <f t="shared" si="141"/>
        <v>2.2708641912150958E-12</v>
      </c>
      <c r="Q142" s="22">
        <f t="shared" si="108"/>
        <v>4.2330868906469593E-12</v>
      </c>
      <c r="R142" s="60">
        <f t="shared" si="109"/>
        <v>293.33333333333752</v>
      </c>
      <c r="S142" s="60">
        <f ca="1">AVERAGE(OFFSET($R$3,0,0,'Données projet'!$E$9+1,1))-AVERAGE(OFFSET($H$3,0,0,'Données projet'!$E$9+1,1))</f>
        <v>146.40889017442277</v>
      </c>
      <c r="T142" s="60">
        <f t="shared" si="142"/>
        <v>70.859031694091868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3.8</v>
      </c>
      <c r="AI142" s="14">
        <f>IF('Données projet'!$A$62&gt;35,AI141+AH142-AQ141,IF(A142&lt;'Données projet'!$A$62,$AF$205^A142,IF(A142='Données projet'!$A$62,'Données projet'!$B$62,AI141+AH142-AQ141)))</f>
        <v>337.19999999999987</v>
      </c>
      <c r="AJ142" s="14">
        <f>AI142*VLOOKUP('Données projet'!$B$10,Paramètres!$A$1:$I$89,3,0)*VLOOKUP('Données projet'!$B$10,Paramètres!$A$1:$I$89,5,0)</f>
        <v>305.09855999999985</v>
      </c>
      <c r="AK142" s="14">
        <f t="shared" si="143"/>
        <v>72.244266890878791</v>
      </c>
      <c r="AL142" s="22">
        <f t="shared" si="112"/>
        <v>657.20542350161361</v>
      </c>
      <c r="AM142" s="60">
        <f t="shared" si="113"/>
        <v>950.53875683494698</v>
      </c>
      <c r="AN142" s="60">
        <f ca="1">AVERAGE(OFFSET($AM$3,0,0,'Données projet'!$E$10+1,1))-AVERAGE(OFFSET($H$3,0,0,'Données projet'!$E$10+1,1))</f>
        <v>404.14319681142746</v>
      </c>
      <c r="AO142" s="60">
        <f t="shared" si="144"/>
        <v>203.5274665601915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2.7</v>
      </c>
      <c r="BD142" s="13">
        <f>IF('Données projet'!$A$88&gt;35,BD141+BC142-BL141,IF(A142&lt;'Données projet'!$A$88,$BA$205^A142,IF(A142='Données projet'!$A$88,'Données projet'!$B$88,BD141+BC142-BL141)))</f>
        <v>293.29999999999927</v>
      </c>
      <c r="BE142" s="14">
        <f>BD142*VLOOKUP('Données projet'!$B$11,Paramètres!$A$1:$I$89,3,0)*VLOOKUP('Données projet'!$B$11,Paramètres!$A$1:$I$89,5,0)</f>
        <v>297.40619999999927</v>
      </c>
      <c r="BF142" s="14">
        <f t="shared" si="145"/>
        <v>70.632428863759543</v>
      </c>
      <c r="BG142" s="22">
        <f t="shared" si="115"/>
        <v>641.0006119377133</v>
      </c>
      <c r="BH142" s="60">
        <f t="shared" si="116"/>
        <v>934.33394527104656</v>
      </c>
      <c r="BI142" s="60">
        <f ca="1">AVERAGE(OFFSET($BH$3,0,0,'Données projet'!$E$11+1,1))-AVERAGE(OFFSET($H$3,0,0,'Données projet'!$E$11+1,1))</f>
        <v>350.3652766444938</v>
      </c>
      <c r="BJ142" s="60">
        <f t="shared" si="146"/>
        <v>197.04549436738586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2.7</v>
      </c>
      <c r="BY142" s="13">
        <f>IF('Données projet'!$A$114&gt;35,BY141+BX142-CG141,IF(A142&lt;'Données projet'!$A$114,$BV$205^A142,IF(A142='Données projet'!$A$114,'Données projet'!$B$114,BY141+BX142-CG141)))</f>
        <v>293.29999999999927</v>
      </c>
      <c r="BZ142" s="14">
        <f>BY142*VLOOKUP('Données projet'!$B$12,Paramètres!$A$1:$I$89,3,0)*VLOOKUP('Données projet'!$B$12,Paramètres!$A$1:$I$89,5,0)</f>
        <v>283.67975999999931</v>
      </c>
      <c r="CA142" s="14">
        <f t="shared" si="147"/>
        <v>67.74405605004435</v>
      </c>
      <c r="CB142" s="22">
        <f t="shared" si="118"/>
        <v>612.06314628715938</v>
      </c>
      <c r="CC142" s="60">
        <f t="shared" si="119"/>
        <v>905.39647962049276</v>
      </c>
      <c r="CD142" s="60">
        <f ca="1">AVERAGE(OFFSET($CC$3,0,0,'Données projet'!$E$12+1,1))-AVERAGE(OFFSET($H$3,0,0,'Données projet'!$E$12+1,1))</f>
        <v>330.39429528665841</v>
      </c>
      <c r="CE142" s="60">
        <f t="shared" si="148"/>
        <v>186.45728006007261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2.7</v>
      </c>
      <c r="CT142" s="13">
        <f>IF('Données projet'!$A$140&gt;35,CT141+CS142-DB141,IF(A142&lt;'Données projet'!$A$140,$CQ$205^A142,IF(A142='Données projet'!$A$140,'Données projet'!$B$140,CT141+CS142-DB141)))</f>
        <v>293.29999999999927</v>
      </c>
      <c r="CU142" s="18">
        <f>CT142*VLOOKUP('Données projet'!$B$13,Paramètres!$A$1:$I$89,3,0)*VLOOKUP('Données projet'!$B$13,Paramètres!$A$1:$I$89,5,0)</f>
        <v>315.70811999999916</v>
      </c>
      <c r="CV142" s="14">
        <f t="shared" si="149"/>
        <v>74.459643987042966</v>
      </c>
      <c r="CW142" s="22">
        <f t="shared" si="121"/>
        <v>679.54218894409837</v>
      </c>
      <c r="CX142" s="60">
        <f t="shared" si="122"/>
        <v>972.87552227743163</v>
      </c>
      <c r="CY142" s="60">
        <f ca="1">AVERAGE(OFFSET($CX$3,0,0,'Données projet'!$E$13+1,1))-AVERAGE(OFFSET($H$3,0,0,'Données projet'!$E$13+1,1))</f>
        <v>376.96388721258387</v>
      </c>
      <c r="CZ142" s="60">
        <f t="shared" si="150"/>
        <v>211.14628470344377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1.7053025658242404E-13</v>
      </c>
      <c r="DP142" s="18">
        <f>DO142*VLOOKUP('Données projet'!$B$14,Paramètres!$A$1:$I$89,3,0)*VLOOKUP('Données projet'!$B$14,Paramètres!$A$1:$I$89,5,0)</f>
        <v>1.1439169611549005E-13</v>
      </c>
      <c r="DQ142" s="14">
        <f t="shared" si="151"/>
        <v>1.6918016515029816E-12</v>
      </c>
      <c r="DR142" s="22">
        <f t="shared" si="124"/>
        <v>3.1457867471021712E-12</v>
      </c>
      <c r="DS142" s="60">
        <f t="shared" si="125"/>
        <v>293.33333333333644</v>
      </c>
      <c r="DT142" s="60">
        <f ca="1">AVERAGE(OFFSET($DS$3,0,0,'Données projet'!$E$14+1,1))-AVERAGE(OFFSET($H$3,0,0,'Données projet'!$E$14+1,1))</f>
        <v>212.33913923444732</v>
      </c>
      <c r="DU142" s="60">
        <f t="shared" si="152"/>
        <v>183.51194426094372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0" t="e">
        <f t="shared" si="128"/>
        <v>#N/A</v>
      </c>
      <c r="EO142" s="60" t="e">
        <f ca="1">AVERAGE(OFFSET($EN$3,0,0,'Données projet'!$E$15+1,1))-AVERAGE(OFFSET($H$3,0,0,'Données projet'!$E$15+1,1))</f>
        <v>#N/A</v>
      </c>
      <c r="EP142" s="60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0" t="e">
        <f t="shared" si="131"/>
        <v>#N/A</v>
      </c>
      <c r="FJ142" s="60" t="e">
        <f ca="1">AVERAGE(OFFSET($FI$3,0,0,'Données projet'!$E$16+1,1))-AVERAGE(OFFSET($H$3,0,0,'Données projet'!$E$16+1,1))</f>
        <v>#N/A</v>
      </c>
      <c r="FK142" s="60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0" t="e">
        <f t="shared" si="134"/>
        <v>#N/A</v>
      </c>
      <c r="GE142" s="60" t="e">
        <f ca="1">AVERAGE(OFFSET($GD$3,0,0,'Données projet'!$E$17+1,1))-AVERAGE(OFFSET($H$3,0,0,'Données projet'!$E$17+1,1))</f>
        <v>#N/A</v>
      </c>
      <c r="GF142" s="60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0" t="e">
        <f t="shared" si="137"/>
        <v>#N/A</v>
      </c>
      <c r="GZ142" s="60" t="e">
        <f ca="1">AVERAGE(OFFSET($GY$3,0,0,'Données projet'!$E$18+1,1))-AVERAGE(OFFSET($H$3,0,0,'Données projet'!$E$18+1,1))</f>
        <v>#N/A</v>
      </c>
      <c r="HA142" s="60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5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2">
        <f t="shared" si="140"/>
        <v>21.264453036605797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8">
        <f t="shared" si="110"/>
        <v>463.50192237208853</v>
      </c>
      <c r="I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3.4106051316484809E-13</v>
      </c>
      <c r="O143" s="14">
        <f>N143*VLOOKUP('Données projet'!$B$9,Paramètres!$A$1:$I$89,3,0)*VLOOKUP('Données projet'!$B$9,Paramètres!$A$1:$I$89,5,0)</f>
        <v>1.5961632016114892E-13</v>
      </c>
      <c r="P143" s="14">
        <f t="shared" si="141"/>
        <v>2.2708641912150958E-12</v>
      </c>
      <c r="Q143" s="22">
        <f t="shared" si="108"/>
        <v>4.2330868906469593E-12</v>
      </c>
      <c r="R143" s="60">
        <f t="shared" si="109"/>
        <v>293.33333333333752</v>
      </c>
      <c r="S143" s="60">
        <f ca="1">AVERAGE(OFFSET($R$3,0,0,'Données projet'!$E$9+1,1))-AVERAGE(OFFSET($H$3,0,0,'Données projet'!$E$9+1,1))</f>
        <v>146.40889017442277</v>
      </c>
      <c r="T143" s="60">
        <f t="shared" si="142"/>
        <v>70.859031694091868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>
        <f>VLOOKUP(A143,'Données projet'!$A$61:$I$81,2,0)</f>
        <v>341</v>
      </c>
      <c r="AG143" s="13">
        <f>VLOOKUP(A143,'Données projet'!$A$61:$I$81,9,0)</f>
        <v>3.8</v>
      </c>
      <c r="AH143" s="13">
        <f t="array" ref="AH143">INDEX(AG:AG,MIN(IF(ISNUMBER(AG143:AG339),ROW(AG143:AG339),"")))</f>
        <v>3.8</v>
      </c>
      <c r="AI143" s="14">
        <f>IF('Données projet'!$A$62&gt;35,AI142+AH143-AQ142,IF(A143&lt;'Données projet'!$A$62,$AF$205^A143,IF(A143='Données projet'!$A$62,'Données projet'!$B$62,AI142+AH143-AQ142)))</f>
        <v>340.99999999999989</v>
      </c>
      <c r="AJ143" s="14">
        <f>AI143*VLOOKUP('Données projet'!$B$10,Paramètres!$A$1:$I$89,3,0)*VLOOKUP('Données projet'!$B$10,Paramètres!$A$1:$I$89,5,0)</f>
        <v>308.53679999999986</v>
      </c>
      <c r="AK143" s="14">
        <f t="shared" si="143"/>
        <v>72.963171684496103</v>
      </c>
      <c r="AL143" s="22">
        <f t="shared" si="112"/>
        <v>664.44578401716376</v>
      </c>
      <c r="AM143" s="60">
        <f t="shared" si="113"/>
        <v>957.77911735049702</v>
      </c>
      <c r="AN143" s="60">
        <f ca="1">AVERAGE(OFFSET($AM$3,0,0,'Données projet'!$E$10+1,1))-AVERAGE(OFFSET($H$3,0,0,'Données projet'!$E$10+1,1))</f>
        <v>404.14319681142746</v>
      </c>
      <c r="AO143" s="60">
        <f t="shared" si="144"/>
        <v>203.5274665601915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>
        <f>VLOOKUP(A143,'Données projet'!$A$87:$I$107,2,0)</f>
        <v>296</v>
      </c>
      <c r="BB143" s="13">
        <f>VLOOKUP(A143,'Données projet'!$A$87:$I$107,9,0)</f>
        <v>2.7</v>
      </c>
      <c r="BC143" s="13">
        <f t="array" ref="BC143">INDEX(BB:BB,MIN(IF(ISNUMBER(BB143:BB339),ROW(BB143:BB339),"")))</f>
        <v>2.7</v>
      </c>
      <c r="BD143" s="13">
        <f>IF('Données projet'!$A$88&gt;35,BD142+BC143-BL142,IF(A143&lt;'Données projet'!$A$88,$BA$205^A143,IF(A143='Données projet'!$A$88,'Données projet'!$B$88,BD142+BC143-BL142)))</f>
        <v>295.99999999999926</v>
      </c>
      <c r="BE143" s="14">
        <f>BD143*VLOOKUP('Données projet'!$B$11,Paramètres!$A$1:$I$89,3,0)*VLOOKUP('Données projet'!$B$11,Paramètres!$A$1:$I$89,5,0)</f>
        <v>300.14399999999927</v>
      </c>
      <c r="BF143" s="14">
        <f t="shared" si="145"/>
        <v>71.206650563609728</v>
      </c>
      <c r="BG143" s="22">
        <f t="shared" si="115"/>
        <v>646.76904973161891</v>
      </c>
      <c r="BH143" s="60">
        <f t="shared" si="116"/>
        <v>940.10238306495216</v>
      </c>
      <c r="BI143" s="60">
        <f ca="1">AVERAGE(OFFSET($BH$3,0,0,'Données projet'!$E$11+1,1))-AVERAGE(OFFSET($H$3,0,0,'Données projet'!$E$11+1,1))</f>
        <v>350.3652766444938</v>
      </c>
      <c r="BJ143" s="60">
        <f t="shared" si="146"/>
        <v>197.04549436738586</v>
      </c>
      <c r="BK143" s="16">
        <f>IF(ISNA(VLOOKUP(A143,'Données projet'!$A$87:$I$107,3,0)),0,VLOOKUP(A143,'Données projet'!$A$87:$I$107,3,0))</f>
        <v>12</v>
      </c>
      <c r="BL143" s="16">
        <f>IF(ISNA(VLOOKUP(A143,'Données projet'!$A$87:$I$107,4,0)),0,VLOOKUP(A143,'Données projet'!$A$87:$I$107,4,0))</f>
        <v>27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>
        <f>VLOOKUP(A143,'Données projet'!$A$113:$I$133,2,0)</f>
        <v>296</v>
      </c>
      <c r="BW143" s="13">
        <f>VLOOKUP(A143,'Données projet'!$A$113:$I$133,9,0)</f>
        <v>2.7</v>
      </c>
      <c r="BX143" s="13">
        <f t="array" ref="BX143">INDEX(BW:BW,MIN(IF(ISNUMBER(BW143:BW339),ROW(BW143:BW339),"")))</f>
        <v>2.7</v>
      </c>
      <c r="BY143" s="13">
        <f>IF('Données projet'!$A$114&gt;35,BY142+BX143-CG142,IF(A143&lt;'Données projet'!$A$114,$BV$205^A143,IF(A143='Données projet'!$A$114,'Données projet'!$B$114,BY142+BX143-CG142)))</f>
        <v>295.99999999999926</v>
      </c>
      <c r="BZ143" s="14">
        <f>BY143*VLOOKUP('Données projet'!$B$12,Paramètres!$A$1:$I$89,3,0)*VLOOKUP('Données projet'!$B$12,Paramètres!$A$1:$I$89,5,0)</f>
        <v>286.29119999999926</v>
      </c>
      <c r="CA143" s="14">
        <f t="shared" si="147"/>
        <v>68.294796094604223</v>
      </c>
      <c r="CB143" s="22">
        <f t="shared" si="118"/>
        <v>617.57060986476779</v>
      </c>
      <c r="CC143" s="60">
        <f t="shared" si="119"/>
        <v>910.90394319810116</v>
      </c>
      <c r="CD143" s="60">
        <f ca="1">AVERAGE(OFFSET($CC$3,0,0,'Données projet'!$E$12+1,1))-AVERAGE(OFFSET($H$3,0,0,'Données projet'!$E$12+1,1))</f>
        <v>330.39429528665841</v>
      </c>
      <c r="CE143" s="60">
        <f t="shared" si="148"/>
        <v>186.45728006007261</v>
      </c>
      <c r="CF143" s="16">
        <f>IF(ISNA(VLOOKUP(A143,'Données projet'!$A$113:$I$133,3,0)),0,VLOOKUP(A143,'Données projet'!$A$113:$I$133,3,0))</f>
        <v>12</v>
      </c>
      <c r="CG143" s="16">
        <f>IF(ISNA(VLOOKUP(A143,'Données projet'!$A$113:$I$133,4,0)),0,VLOOKUP(A143,'Données projet'!$A$113:$I$133,4,0))</f>
        <v>27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>
        <f>VLOOKUP(A143,'Données projet'!$A$139:$I$159,2,0)</f>
        <v>296</v>
      </c>
      <c r="CR143" s="13">
        <f>VLOOKUP(A143,'Données projet'!$A$139:$I$159,9,0)</f>
        <v>2.7</v>
      </c>
      <c r="CS143" s="13">
        <f t="array" ref="CS143">INDEX(CR:CR,MIN(IF(ISNUMBER(CR143:CR339),ROW(CR143:CR339),"")))</f>
        <v>2.7</v>
      </c>
      <c r="CT143" s="13">
        <f>IF('Données projet'!$A$140&gt;35,CT142+CS143-DB142,IF(A143&lt;'Données projet'!$A$140,$CQ$205^A143,IF(A143='Données projet'!$A$140,'Données projet'!$B$140,CT142+CS143-DB142)))</f>
        <v>295.99999999999926</v>
      </c>
      <c r="CU143" s="18">
        <f>CT143*VLOOKUP('Données projet'!$B$13,Paramètres!$A$1:$I$89,3,0)*VLOOKUP('Données projet'!$B$13,Paramètres!$A$1:$I$89,5,0)</f>
        <v>318.61439999999919</v>
      </c>
      <c r="CV143" s="14">
        <f t="shared" si="149"/>
        <v>75.064979865028292</v>
      </c>
      <c r="CW143" s="22">
        <f t="shared" si="121"/>
        <v>685.65825326492302</v>
      </c>
      <c r="CX143" s="60">
        <f t="shared" si="122"/>
        <v>978.99158659825639</v>
      </c>
      <c r="CY143" s="60">
        <f ca="1">AVERAGE(OFFSET($CX$3,0,0,'Données projet'!$E$13+1,1))-AVERAGE(OFFSET($H$3,0,0,'Données projet'!$E$13+1,1))</f>
        <v>376.96388721258387</v>
      </c>
      <c r="CZ143" s="60">
        <f t="shared" si="150"/>
        <v>211.14628470344377</v>
      </c>
      <c r="DA143" s="16">
        <f>IF(ISNA(VLOOKUP(A143,'Données projet'!$A$139:$I$159,3,0)),0,VLOOKUP(A143,'Données projet'!$A$139:$I$159,3,0))</f>
        <v>12</v>
      </c>
      <c r="DB143" s="16">
        <f>IF(ISNA(VLOOKUP(A143,'Données projet'!$A$139:$I$159,4,0)),0,VLOOKUP(A143,'Données projet'!$A$139:$I$159,4,0))</f>
        <v>27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1.7053025658242404E-13</v>
      </c>
      <c r="DP143" s="18">
        <f>DO143*VLOOKUP('Données projet'!$B$14,Paramètres!$A$1:$I$89,3,0)*VLOOKUP('Données projet'!$B$14,Paramètres!$A$1:$I$89,5,0)</f>
        <v>1.1439169611549005E-13</v>
      </c>
      <c r="DQ143" s="14">
        <f t="shared" si="151"/>
        <v>1.6918016515029816E-12</v>
      </c>
      <c r="DR143" s="22">
        <f t="shared" si="124"/>
        <v>3.1457867471021712E-12</v>
      </c>
      <c r="DS143" s="60">
        <f t="shared" si="125"/>
        <v>293.33333333333644</v>
      </c>
      <c r="DT143" s="60">
        <f ca="1">AVERAGE(OFFSET($DS$3,0,0,'Données projet'!$E$14+1,1))-AVERAGE(OFFSET($H$3,0,0,'Données projet'!$E$14+1,1))</f>
        <v>212.33913923444732</v>
      </c>
      <c r="DU143" s="60">
        <f t="shared" si="152"/>
        <v>183.51194426094372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0" t="e">
        <f t="shared" si="128"/>
        <v>#N/A</v>
      </c>
      <c r="EO143" s="60" t="e">
        <f ca="1">AVERAGE(OFFSET($EN$3,0,0,'Données projet'!$E$15+1,1))-AVERAGE(OFFSET($H$3,0,0,'Données projet'!$E$15+1,1))</f>
        <v>#N/A</v>
      </c>
      <c r="EP143" s="60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0" t="e">
        <f t="shared" si="131"/>
        <v>#N/A</v>
      </c>
      <c r="FJ143" s="60" t="e">
        <f ca="1">AVERAGE(OFFSET($FI$3,0,0,'Données projet'!$E$16+1,1))-AVERAGE(OFFSET($H$3,0,0,'Données projet'!$E$16+1,1))</f>
        <v>#N/A</v>
      </c>
      <c r="FK143" s="60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0" t="e">
        <f t="shared" si="134"/>
        <v>#N/A</v>
      </c>
      <c r="GE143" s="60" t="e">
        <f ca="1">AVERAGE(OFFSET($GD$3,0,0,'Données projet'!$E$17+1,1))-AVERAGE(OFFSET($H$3,0,0,'Données projet'!$E$17+1,1))</f>
        <v>#N/A</v>
      </c>
      <c r="GF143" s="60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0" t="e">
        <f t="shared" si="137"/>
        <v>#N/A</v>
      </c>
      <c r="GZ143" s="60" t="e">
        <f ca="1">AVERAGE(OFFSET($GY$3,0,0,'Données projet'!$E$18+1,1))-AVERAGE(OFFSET($H$3,0,0,'Données projet'!$E$18+1,1))</f>
        <v>#N/A</v>
      </c>
      <c r="HA143" s="60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5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2">
        <f t="shared" si="140"/>
        <v>21.39860646817062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8">
        <f t="shared" si="110"/>
        <v>464.68652293206395</v>
      </c>
      <c r="I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3.4106051316484809E-13</v>
      </c>
      <c r="O144" s="14">
        <f>N144*VLOOKUP('Données projet'!$B$9,Paramètres!$A$1:$I$89,3,0)*VLOOKUP('Données projet'!$B$9,Paramètres!$A$1:$I$89,5,0)</f>
        <v>1.5961632016114892E-13</v>
      </c>
      <c r="P144" s="14">
        <f t="shared" si="141"/>
        <v>2.2708641912150958E-12</v>
      </c>
      <c r="Q144" s="22">
        <f t="shared" si="108"/>
        <v>4.2330868906469593E-12</v>
      </c>
      <c r="R144" s="60">
        <f t="shared" si="109"/>
        <v>293.33333333333752</v>
      </c>
      <c r="S144" s="60">
        <f ca="1">AVERAGE(OFFSET($R$3,0,0,'Données projet'!$E$9+1,1))-AVERAGE(OFFSET($H$3,0,0,'Données projet'!$E$9+1,1))</f>
        <v>146.40889017442277</v>
      </c>
      <c r="T144" s="60">
        <f t="shared" si="142"/>
        <v>70.859031694091868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3.5</v>
      </c>
      <c r="AI144" s="14">
        <f>IF('Données projet'!$A$62&gt;35,AI143+AH144-AQ143,IF(A144&lt;'Données projet'!$A$62,$AF$205^A144,IF(A144='Données projet'!$A$62,'Données projet'!$B$62,AI143+AH144-AQ143)))</f>
        <v>344.49999999999989</v>
      </c>
      <c r="AJ144" s="14">
        <f>AI144*VLOOKUP('Données projet'!$B$10,Paramètres!$A$1:$I$89,3,0)*VLOOKUP('Données projet'!$B$10,Paramètres!$A$1:$I$89,5,0)</f>
        <v>311.70359999999988</v>
      </c>
      <c r="AK144" s="14">
        <f t="shared" si="143"/>
        <v>73.624496097462782</v>
      </c>
      <c r="AL144" s="22">
        <f t="shared" si="112"/>
        <v>671.1131007030807</v>
      </c>
      <c r="AM144" s="60">
        <f t="shared" si="113"/>
        <v>964.44643403641408</v>
      </c>
      <c r="AN144" s="60">
        <f ca="1">AVERAGE(OFFSET($AM$3,0,0,'Données projet'!$E$10+1,1))-AVERAGE(OFFSET($H$3,0,0,'Données projet'!$E$10+1,1))</f>
        <v>404.14319681142746</v>
      </c>
      <c r="AO144" s="60">
        <f t="shared" si="144"/>
        <v>203.5274665601915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2.4</v>
      </c>
      <c r="BD144" s="13">
        <f>IF('Données projet'!$A$88&gt;35,BD143+BC144-BL143,IF(A144&lt;'Données projet'!$A$88,$BA$205^A144,IF(A144='Données projet'!$A$88,'Données projet'!$B$88,BD143+BC144-BL143)))</f>
        <v>271.39999999999924</v>
      </c>
      <c r="BE144" s="14">
        <f>BD144*VLOOKUP('Données projet'!$B$11,Paramètres!$A$1:$I$89,3,0)*VLOOKUP('Données projet'!$B$11,Paramètres!$A$1:$I$89,5,0)</f>
        <v>275.19959999999924</v>
      </c>
      <c r="BF144" s="14">
        <f t="shared" si="145"/>
        <v>65.951527620662489</v>
      </c>
      <c r="BG144" s="22">
        <f t="shared" si="115"/>
        <v>594.17154727265245</v>
      </c>
      <c r="BH144" s="60">
        <f t="shared" si="116"/>
        <v>887.50488060598582</v>
      </c>
      <c r="BI144" s="60">
        <f ca="1">AVERAGE(OFFSET($BH$3,0,0,'Données projet'!$E$11+1,1))-AVERAGE(OFFSET($H$3,0,0,'Données projet'!$E$11+1,1))</f>
        <v>350.3652766444938</v>
      </c>
      <c r="BJ144" s="60">
        <f t="shared" si="146"/>
        <v>197.04549436738586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2.4</v>
      </c>
      <c r="BY144" s="13">
        <f>IF('Données projet'!$A$114&gt;35,BY143+BX144-CG143,IF(A144&lt;'Données projet'!$A$114,$BV$205^A144,IF(A144='Données projet'!$A$114,'Données projet'!$B$114,BY143+BX144-CG143)))</f>
        <v>271.39999999999924</v>
      </c>
      <c r="BZ144" s="14">
        <f>BY144*VLOOKUP('Données projet'!$B$12,Paramètres!$A$1:$I$89,3,0)*VLOOKUP('Données projet'!$B$12,Paramètres!$A$1:$I$89,5,0)</f>
        <v>262.49807999999928</v>
      </c>
      <c r="CA144" s="14">
        <f t="shared" si="147"/>
        <v>63.254570961137979</v>
      </c>
      <c r="CB144" s="22">
        <f t="shared" si="118"/>
        <v>567.35253375731406</v>
      </c>
      <c r="CC144" s="60">
        <f t="shared" si="119"/>
        <v>860.68586709064743</v>
      </c>
      <c r="CD144" s="60">
        <f ca="1">AVERAGE(OFFSET($CC$3,0,0,'Données projet'!$E$12+1,1))-AVERAGE(OFFSET($H$3,0,0,'Données projet'!$E$12+1,1))</f>
        <v>330.39429528665841</v>
      </c>
      <c r="CE144" s="60">
        <f t="shared" si="148"/>
        <v>186.45728006007261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2.4</v>
      </c>
      <c r="CT144" s="13">
        <f>IF('Données projet'!$A$140&gt;35,CT143+CS144-DB143,IF(A144&lt;'Données projet'!$A$140,$CQ$205^A144,IF(A144='Données projet'!$A$140,'Données projet'!$B$140,CT143+CS144-DB143)))</f>
        <v>271.39999999999924</v>
      </c>
      <c r="CU144" s="18">
        <f>CT144*VLOOKUP('Données projet'!$B$13,Paramètres!$A$1:$I$89,3,0)*VLOOKUP('Données projet'!$B$13,Paramètres!$A$1:$I$89,5,0)</f>
        <v>292.13495999999913</v>
      </c>
      <c r="CV144" s="14">
        <f t="shared" si="149"/>
        <v>69.525108311202104</v>
      </c>
      <c r="CW144" s="22">
        <f t="shared" si="121"/>
        <v>629.89128564200882</v>
      </c>
      <c r="CX144" s="60">
        <f t="shared" si="122"/>
        <v>923.22461897534208</v>
      </c>
      <c r="CY144" s="60">
        <f ca="1">AVERAGE(OFFSET($CX$3,0,0,'Données projet'!$E$13+1,1))-AVERAGE(OFFSET($H$3,0,0,'Données projet'!$E$13+1,1))</f>
        <v>376.96388721258387</v>
      </c>
      <c r="CZ144" s="60">
        <f t="shared" si="150"/>
        <v>211.14628470344377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1.7053025658242404E-13</v>
      </c>
      <c r="DP144" s="18">
        <f>DO144*VLOOKUP('Données projet'!$B$14,Paramètres!$A$1:$I$89,3,0)*VLOOKUP('Données projet'!$B$14,Paramètres!$A$1:$I$89,5,0)</f>
        <v>1.1439169611549005E-13</v>
      </c>
      <c r="DQ144" s="14">
        <f t="shared" si="151"/>
        <v>1.6918016515029816E-12</v>
      </c>
      <c r="DR144" s="22">
        <f t="shared" si="124"/>
        <v>3.1457867471021712E-12</v>
      </c>
      <c r="DS144" s="60">
        <f t="shared" si="125"/>
        <v>293.33333333333644</v>
      </c>
      <c r="DT144" s="60">
        <f ca="1">AVERAGE(OFFSET($DS$3,0,0,'Données projet'!$E$14+1,1))-AVERAGE(OFFSET($H$3,0,0,'Données projet'!$E$14+1,1))</f>
        <v>212.33913923444732</v>
      </c>
      <c r="DU144" s="60">
        <f t="shared" si="152"/>
        <v>183.51194426094372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0" t="e">
        <f t="shared" si="128"/>
        <v>#N/A</v>
      </c>
      <c r="EO144" s="60" t="e">
        <f ca="1">AVERAGE(OFFSET($EN$3,0,0,'Données projet'!$E$15+1,1))-AVERAGE(OFFSET($H$3,0,0,'Données projet'!$E$15+1,1))</f>
        <v>#N/A</v>
      </c>
      <c r="EP144" s="60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0" t="e">
        <f t="shared" si="131"/>
        <v>#N/A</v>
      </c>
      <c r="FJ144" s="60" t="e">
        <f ca="1">AVERAGE(OFFSET($FI$3,0,0,'Données projet'!$E$16+1,1))-AVERAGE(OFFSET($H$3,0,0,'Données projet'!$E$16+1,1))</f>
        <v>#N/A</v>
      </c>
      <c r="FK144" s="60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0" t="e">
        <f t="shared" si="134"/>
        <v>#N/A</v>
      </c>
      <c r="GE144" s="60" t="e">
        <f ca="1">AVERAGE(OFFSET($GD$3,0,0,'Données projet'!$E$17+1,1))-AVERAGE(OFFSET($H$3,0,0,'Données projet'!$E$17+1,1))</f>
        <v>#N/A</v>
      </c>
      <c r="GF144" s="60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0" t="e">
        <f t="shared" si="137"/>
        <v>#N/A</v>
      </c>
      <c r="GZ144" s="60" t="e">
        <f ca="1">AVERAGE(OFFSET($GY$3,0,0,'Données projet'!$E$18+1,1))-AVERAGE(OFFSET($H$3,0,0,'Données projet'!$E$18+1,1))</f>
        <v>#N/A</v>
      </c>
      <c r="HA144" s="60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5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2">
        <f t="shared" si="140"/>
        <v>21.532649196514924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8">
        <f t="shared" si="110"/>
        <v>465.87093068393028</v>
      </c>
      <c r="I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3.4106051316484809E-13</v>
      </c>
      <c r="O145" s="14">
        <f>N145*VLOOKUP('Données projet'!$B$9,Paramètres!$A$1:$I$89,3,0)*VLOOKUP('Données projet'!$B$9,Paramètres!$A$1:$I$89,5,0)</f>
        <v>1.5961632016114892E-13</v>
      </c>
      <c r="P145" s="14">
        <f t="shared" si="141"/>
        <v>2.2708641912150958E-12</v>
      </c>
      <c r="Q145" s="22">
        <f t="shared" si="108"/>
        <v>4.2330868906469593E-12</v>
      </c>
      <c r="R145" s="60">
        <f t="shared" si="109"/>
        <v>293.33333333333752</v>
      </c>
      <c r="S145" s="60">
        <f ca="1">AVERAGE(OFFSET($R$3,0,0,'Données projet'!$E$9+1,1))-AVERAGE(OFFSET($H$3,0,0,'Données projet'!$E$9+1,1))</f>
        <v>146.40889017442277</v>
      </c>
      <c r="T145" s="60">
        <f t="shared" si="142"/>
        <v>70.859031694091868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3.5</v>
      </c>
      <c r="AI145" s="14">
        <f>IF('Données projet'!$A$62&gt;35,AI144+AH145-AQ144,IF(A145&lt;'Données projet'!$A$62,$AF$205^A145,IF(A145='Données projet'!$A$62,'Données projet'!$B$62,AI144+AH145-AQ144)))</f>
        <v>347.99999999999989</v>
      </c>
      <c r="AJ145" s="14">
        <f>AI145*VLOOKUP('Données projet'!$B$10,Paramètres!$A$1:$I$89,3,0)*VLOOKUP('Données projet'!$B$10,Paramètres!$A$1:$I$89,5,0)</f>
        <v>314.8703999999999</v>
      </c>
      <c r="AK145" s="14">
        <f t="shared" si="143"/>
        <v>74.285038887149952</v>
      </c>
      <c r="AL145" s="22">
        <f t="shared" si="112"/>
        <v>677.77905606178604</v>
      </c>
      <c r="AM145" s="60">
        <f t="shared" si="113"/>
        <v>971.11238939511941</v>
      </c>
      <c r="AN145" s="60">
        <f ca="1">AVERAGE(OFFSET($AM$3,0,0,'Données projet'!$E$10+1,1))-AVERAGE(OFFSET($H$3,0,0,'Données projet'!$E$10+1,1))</f>
        <v>404.14319681142746</v>
      </c>
      <c r="AO145" s="60">
        <f t="shared" si="144"/>
        <v>203.5274665601915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2.4</v>
      </c>
      <c r="BD145" s="13">
        <f>IF('Données projet'!$A$88&gt;35,BD144+BC145-BL144,IF(A145&lt;'Données projet'!$A$88,$BA$205^A145,IF(A145='Données projet'!$A$88,'Données projet'!$B$88,BD144+BC145-BL144)))</f>
        <v>273.79999999999922</v>
      </c>
      <c r="BE145" s="14">
        <f>BD145*VLOOKUP('Données projet'!$B$11,Paramètres!$A$1:$I$89,3,0)*VLOOKUP('Données projet'!$B$11,Paramètres!$A$1:$I$89,5,0)</f>
        <v>277.63319999999919</v>
      </c>
      <c r="BF145" s="14">
        <f t="shared" si="145"/>
        <v>66.466589162975524</v>
      </c>
      <c r="BG145" s="22">
        <f t="shared" si="115"/>
        <v>599.30713279218094</v>
      </c>
      <c r="BH145" s="60">
        <f t="shared" si="116"/>
        <v>892.64046612551419</v>
      </c>
      <c r="BI145" s="60">
        <f ca="1">AVERAGE(OFFSET($BH$3,0,0,'Données projet'!$E$11+1,1))-AVERAGE(OFFSET($H$3,0,0,'Données projet'!$E$11+1,1))</f>
        <v>350.3652766444938</v>
      </c>
      <c r="BJ145" s="60">
        <f t="shared" si="146"/>
        <v>197.04549436738586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2.4</v>
      </c>
      <c r="BY145" s="13">
        <f>IF('Données projet'!$A$114&gt;35,BY144+BX145-CG144,IF(A145&lt;'Données projet'!$A$114,$BV$205^A145,IF(A145='Données projet'!$A$114,'Données projet'!$B$114,BY144+BX145-CG144)))</f>
        <v>273.79999999999922</v>
      </c>
      <c r="BZ145" s="14">
        <f>BY145*VLOOKUP('Données projet'!$B$12,Paramètres!$A$1:$I$89,3,0)*VLOOKUP('Données projet'!$B$12,Paramètres!$A$1:$I$89,5,0)</f>
        <v>264.81935999999928</v>
      </c>
      <c r="CA145" s="14">
        <f t="shared" si="147"/>
        <v>63.748570085236892</v>
      </c>
      <c r="CB145" s="22">
        <f t="shared" si="118"/>
        <v>572.25581156511964</v>
      </c>
      <c r="CC145" s="60">
        <f t="shared" si="119"/>
        <v>865.58914489845301</v>
      </c>
      <c r="CD145" s="60">
        <f ca="1">AVERAGE(OFFSET($CC$3,0,0,'Données projet'!$E$12+1,1))-AVERAGE(OFFSET($H$3,0,0,'Données projet'!$E$12+1,1))</f>
        <v>330.39429528665841</v>
      </c>
      <c r="CE145" s="60">
        <f t="shared" si="148"/>
        <v>186.45728006007261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2.4</v>
      </c>
      <c r="CT145" s="13">
        <f>IF('Données projet'!$A$140&gt;35,CT144+CS145-DB144,IF(A145&lt;'Données projet'!$A$140,$CQ$205^A145,IF(A145='Données projet'!$A$140,'Données projet'!$B$140,CT144+CS145-DB144)))</f>
        <v>273.79999999999922</v>
      </c>
      <c r="CU145" s="18">
        <f>CT145*VLOOKUP('Données projet'!$B$13,Paramètres!$A$1:$I$89,3,0)*VLOOKUP('Données projet'!$B$13,Paramètres!$A$1:$I$89,5,0)</f>
        <v>294.71831999999915</v>
      </c>
      <c r="CV145" s="14">
        <f t="shared" si="149"/>
        <v>70.068078441055917</v>
      </c>
      <c r="CW145" s="22">
        <f t="shared" si="121"/>
        <v>635.33631061817096</v>
      </c>
      <c r="CX145" s="60">
        <f t="shared" si="122"/>
        <v>928.66964395150421</v>
      </c>
      <c r="CY145" s="60">
        <f ca="1">AVERAGE(OFFSET($CX$3,0,0,'Données projet'!$E$13+1,1))-AVERAGE(OFFSET($H$3,0,0,'Données projet'!$E$13+1,1))</f>
        <v>376.96388721258387</v>
      </c>
      <c r="CZ145" s="60">
        <f t="shared" si="150"/>
        <v>211.14628470344377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1.7053025658242404E-13</v>
      </c>
      <c r="DP145" s="18">
        <f>DO145*VLOOKUP('Données projet'!$B$14,Paramètres!$A$1:$I$89,3,0)*VLOOKUP('Données projet'!$B$14,Paramètres!$A$1:$I$89,5,0)</f>
        <v>1.1439169611549005E-13</v>
      </c>
      <c r="DQ145" s="14">
        <f t="shared" si="151"/>
        <v>1.6918016515029816E-12</v>
      </c>
      <c r="DR145" s="22">
        <f t="shared" si="124"/>
        <v>3.1457867471021712E-12</v>
      </c>
      <c r="DS145" s="60">
        <f t="shared" si="125"/>
        <v>293.33333333333644</v>
      </c>
      <c r="DT145" s="60">
        <f ca="1">AVERAGE(OFFSET($DS$3,0,0,'Données projet'!$E$14+1,1))-AVERAGE(OFFSET($H$3,0,0,'Données projet'!$E$14+1,1))</f>
        <v>212.33913923444732</v>
      </c>
      <c r="DU145" s="60">
        <f t="shared" si="152"/>
        <v>183.51194426094372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0" t="e">
        <f t="shared" si="128"/>
        <v>#N/A</v>
      </c>
      <c r="EO145" s="60" t="e">
        <f ca="1">AVERAGE(OFFSET($EN$3,0,0,'Données projet'!$E$15+1,1))-AVERAGE(OFFSET($H$3,0,0,'Données projet'!$E$15+1,1))</f>
        <v>#N/A</v>
      </c>
      <c r="EP145" s="60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0" t="e">
        <f t="shared" si="131"/>
        <v>#N/A</v>
      </c>
      <c r="FJ145" s="60" t="e">
        <f ca="1">AVERAGE(OFFSET($FI$3,0,0,'Données projet'!$E$16+1,1))-AVERAGE(OFFSET($H$3,0,0,'Données projet'!$E$16+1,1))</f>
        <v>#N/A</v>
      </c>
      <c r="FK145" s="60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0" t="e">
        <f t="shared" si="134"/>
        <v>#N/A</v>
      </c>
      <c r="GE145" s="60" t="e">
        <f ca="1">AVERAGE(OFFSET($GD$3,0,0,'Données projet'!$E$17+1,1))-AVERAGE(OFFSET($H$3,0,0,'Données projet'!$E$17+1,1))</f>
        <v>#N/A</v>
      </c>
      <c r="GF145" s="60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0" t="e">
        <f t="shared" si="137"/>
        <v>#N/A</v>
      </c>
      <c r="GZ145" s="60" t="e">
        <f ca="1">AVERAGE(OFFSET($GY$3,0,0,'Données projet'!$E$18+1,1))-AVERAGE(OFFSET($H$3,0,0,'Données projet'!$E$18+1,1))</f>
        <v>#N/A</v>
      </c>
      <c r="HA145" s="60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5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2">
        <f t="shared" si="140"/>
        <v>21.666582091642102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8">
        <f t="shared" si="110"/>
        <v>467.0551471429435</v>
      </c>
      <c r="I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3.4106051316484809E-13</v>
      </c>
      <c r="O146" s="14">
        <f>N146*VLOOKUP('Données projet'!$B$9,Paramètres!$A$1:$I$89,3,0)*VLOOKUP('Données projet'!$B$9,Paramètres!$A$1:$I$89,5,0)</f>
        <v>1.5961632016114892E-13</v>
      </c>
      <c r="P146" s="14">
        <f t="shared" si="141"/>
        <v>2.2708641912150958E-12</v>
      </c>
      <c r="Q146" s="22">
        <f t="shared" si="108"/>
        <v>4.2330868906469593E-12</v>
      </c>
      <c r="R146" s="60">
        <f t="shared" si="109"/>
        <v>293.33333333333752</v>
      </c>
      <c r="S146" s="60">
        <f ca="1">AVERAGE(OFFSET($R$3,0,0,'Données projet'!$E$9+1,1))-AVERAGE(OFFSET($H$3,0,0,'Données projet'!$E$9+1,1))</f>
        <v>146.40889017442277</v>
      </c>
      <c r="T146" s="60">
        <f t="shared" si="142"/>
        <v>70.859031694091868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3.5</v>
      </c>
      <c r="AI146" s="14">
        <f>IF('Données projet'!$A$62&gt;35,AI145+AH146-AQ145,IF(A146&lt;'Données projet'!$A$62,$AF$205^A146,IF(A146='Données projet'!$A$62,'Données projet'!$B$62,AI145+AH146-AQ145)))</f>
        <v>351.49999999999989</v>
      </c>
      <c r="AJ146" s="14">
        <f>AI146*VLOOKUP('Données projet'!$B$10,Paramètres!$A$1:$I$89,3,0)*VLOOKUP('Données projet'!$B$10,Paramètres!$A$1:$I$89,5,0)</f>
        <v>318.03719999999987</v>
      </c>
      <c r="AK146" s="14">
        <f t="shared" si="143"/>
        <v>74.944808824911618</v>
      </c>
      <c r="AL146" s="22">
        <f t="shared" si="112"/>
        <v>684.44366537005408</v>
      </c>
      <c r="AM146" s="60">
        <f t="shared" si="113"/>
        <v>977.77699870338733</v>
      </c>
      <c r="AN146" s="60">
        <f ca="1">AVERAGE(OFFSET($AM$3,0,0,'Données projet'!$E$10+1,1))-AVERAGE(OFFSET($H$3,0,0,'Données projet'!$E$10+1,1))</f>
        <v>404.14319681142746</v>
      </c>
      <c r="AO146" s="60">
        <f t="shared" si="144"/>
        <v>203.5274665601915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2.4</v>
      </c>
      <c r="BD146" s="13">
        <f>IF('Données projet'!$A$88&gt;35,BD145+BC146-BL145,IF(A146&lt;'Données projet'!$A$88,$BA$205^A146,IF(A146='Données projet'!$A$88,'Données projet'!$B$88,BD145+BC146-BL145)))</f>
        <v>276.19999999999919</v>
      </c>
      <c r="BE146" s="14">
        <f>BD146*VLOOKUP('Données projet'!$B$11,Paramètres!$A$1:$I$89,3,0)*VLOOKUP('Données projet'!$B$11,Paramètres!$A$1:$I$89,5,0)</f>
        <v>280.0667999999992</v>
      </c>
      <c r="BF146" s="14">
        <f t="shared" si="145"/>
        <v>66.981125445388756</v>
      </c>
      <c r="BG146" s="22">
        <f t="shared" si="115"/>
        <v>604.44180348405064</v>
      </c>
      <c r="BH146" s="60">
        <f t="shared" si="116"/>
        <v>897.77513681738401</v>
      </c>
      <c r="BI146" s="60">
        <f ca="1">AVERAGE(OFFSET($BH$3,0,0,'Données projet'!$E$11+1,1))-AVERAGE(OFFSET($H$3,0,0,'Données projet'!$E$11+1,1))</f>
        <v>350.3652766444938</v>
      </c>
      <c r="BJ146" s="60">
        <f t="shared" si="146"/>
        <v>197.04549436738586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2.4</v>
      </c>
      <c r="BY146" s="13">
        <f>IF('Données projet'!$A$114&gt;35,BY145+BX146-CG145,IF(A146&lt;'Données projet'!$A$114,$BV$205^A146,IF(A146='Données projet'!$A$114,'Données projet'!$B$114,BY145+BX146-CG145)))</f>
        <v>276.19999999999919</v>
      </c>
      <c r="BZ146" s="14">
        <f>BY146*VLOOKUP('Données projet'!$B$12,Paramètres!$A$1:$I$89,3,0)*VLOOKUP('Données projet'!$B$12,Paramètres!$A$1:$I$89,5,0)</f>
        <v>267.14063999999922</v>
      </c>
      <c r="CA146" s="14">
        <f t="shared" si="147"/>
        <v>64.242065428895785</v>
      </c>
      <c r="CB146" s="22">
        <f t="shared" si="118"/>
        <v>577.15821195532533</v>
      </c>
      <c r="CC146" s="60">
        <f t="shared" si="119"/>
        <v>870.4915452886587</v>
      </c>
      <c r="CD146" s="60">
        <f ca="1">AVERAGE(OFFSET($CC$3,0,0,'Données projet'!$E$12+1,1))-AVERAGE(OFFSET($H$3,0,0,'Données projet'!$E$12+1,1))</f>
        <v>330.39429528665841</v>
      </c>
      <c r="CE146" s="60">
        <f t="shared" si="148"/>
        <v>186.45728006007261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2.4</v>
      </c>
      <c r="CT146" s="13">
        <f>IF('Données projet'!$A$140&gt;35,CT145+CS146-DB145,IF(A146&lt;'Données projet'!$A$140,$CQ$205^A146,IF(A146='Données projet'!$A$140,'Données projet'!$B$140,CT145+CS146-DB145)))</f>
        <v>276.19999999999919</v>
      </c>
      <c r="CU146" s="18">
        <f>CT146*VLOOKUP('Données projet'!$B$13,Paramètres!$A$1:$I$89,3,0)*VLOOKUP('Données projet'!$B$13,Paramètres!$A$1:$I$89,5,0)</f>
        <v>297.30167999999912</v>
      </c>
      <c r="CV146" s="14">
        <f t="shared" si="149"/>
        <v>70.610494849824818</v>
      </c>
      <c r="CW146" s="22">
        <f t="shared" si="121"/>
        <v>640.78037119677663</v>
      </c>
      <c r="CX146" s="60">
        <f t="shared" si="122"/>
        <v>934.11370453011</v>
      </c>
      <c r="CY146" s="60">
        <f ca="1">AVERAGE(OFFSET($CX$3,0,0,'Données projet'!$E$13+1,1))-AVERAGE(OFFSET($H$3,0,0,'Données projet'!$E$13+1,1))</f>
        <v>376.96388721258387</v>
      </c>
      <c r="CZ146" s="60">
        <f t="shared" si="150"/>
        <v>211.14628470344377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1.7053025658242404E-13</v>
      </c>
      <c r="DP146" s="18">
        <f>DO146*VLOOKUP('Données projet'!$B$14,Paramètres!$A$1:$I$89,3,0)*VLOOKUP('Données projet'!$B$14,Paramètres!$A$1:$I$89,5,0)</f>
        <v>1.1439169611549005E-13</v>
      </c>
      <c r="DQ146" s="14">
        <f t="shared" si="151"/>
        <v>1.6918016515029816E-12</v>
      </c>
      <c r="DR146" s="22">
        <f t="shared" si="124"/>
        <v>3.1457867471021712E-12</v>
      </c>
      <c r="DS146" s="60">
        <f t="shared" si="125"/>
        <v>293.33333333333644</v>
      </c>
      <c r="DT146" s="60">
        <f ca="1">AVERAGE(OFFSET($DS$3,0,0,'Données projet'!$E$14+1,1))-AVERAGE(OFFSET($H$3,0,0,'Données projet'!$E$14+1,1))</f>
        <v>212.33913923444732</v>
      </c>
      <c r="DU146" s="60">
        <f t="shared" si="152"/>
        <v>183.51194426094372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0" t="e">
        <f t="shared" si="128"/>
        <v>#N/A</v>
      </c>
      <c r="EO146" s="60" t="e">
        <f ca="1">AVERAGE(OFFSET($EN$3,0,0,'Données projet'!$E$15+1,1))-AVERAGE(OFFSET($H$3,0,0,'Données projet'!$E$15+1,1))</f>
        <v>#N/A</v>
      </c>
      <c r="EP146" s="60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0" t="e">
        <f t="shared" si="131"/>
        <v>#N/A</v>
      </c>
      <c r="FJ146" s="60" t="e">
        <f ca="1">AVERAGE(OFFSET($FI$3,0,0,'Données projet'!$E$16+1,1))-AVERAGE(OFFSET($H$3,0,0,'Données projet'!$E$16+1,1))</f>
        <v>#N/A</v>
      </c>
      <c r="FK146" s="60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0" t="e">
        <f t="shared" si="134"/>
        <v>#N/A</v>
      </c>
      <c r="GE146" s="60" t="e">
        <f ca="1">AVERAGE(OFFSET($GD$3,0,0,'Données projet'!$E$17+1,1))-AVERAGE(OFFSET($H$3,0,0,'Données projet'!$E$17+1,1))</f>
        <v>#N/A</v>
      </c>
      <c r="GF146" s="60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0" t="e">
        <f t="shared" si="137"/>
        <v>#N/A</v>
      </c>
      <c r="GZ146" s="60" t="e">
        <f ca="1">AVERAGE(OFFSET($GY$3,0,0,'Données projet'!$E$18+1,1))-AVERAGE(OFFSET($H$3,0,0,'Données projet'!$E$18+1,1))</f>
        <v>#N/A</v>
      </c>
      <c r="HA146" s="60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5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2">
        <f t="shared" si="140"/>
        <v>21.800406010684483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8">
        <f t="shared" si="110"/>
        <v>468.23917380194229</v>
      </c>
      <c r="I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3.4106051316484809E-13</v>
      </c>
      <c r="O147" s="14">
        <f>N147*VLOOKUP('Données projet'!$B$9,Paramètres!$A$1:$I$89,3,0)*VLOOKUP('Données projet'!$B$9,Paramètres!$A$1:$I$89,5,0)</f>
        <v>1.5961632016114892E-13</v>
      </c>
      <c r="P147" s="14">
        <f t="shared" si="141"/>
        <v>2.2708641912150958E-12</v>
      </c>
      <c r="Q147" s="22">
        <f t="shared" si="108"/>
        <v>4.2330868906469593E-12</v>
      </c>
      <c r="R147" s="60">
        <f t="shared" si="109"/>
        <v>293.33333333333752</v>
      </c>
      <c r="S147" s="60">
        <f ca="1">AVERAGE(OFFSET($R$3,0,0,'Données projet'!$E$9+1,1))-AVERAGE(OFFSET($H$3,0,0,'Données projet'!$E$9+1,1))</f>
        <v>146.40889017442277</v>
      </c>
      <c r="T147" s="60">
        <f t="shared" si="142"/>
        <v>70.859031694091868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3.5</v>
      </c>
      <c r="AI147" s="14">
        <f>IF('Données projet'!$A$62&gt;35,AI146+AH147-AQ146,IF(A147&lt;'Données projet'!$A$62,$AF$205^A147,IF(A147='Données projet'!$A$62,'Données projet'!$B$62,AI146+AH147-AQ146)))</f>
        <v>354.99999999999989</v>
      </c>
      <c r="AJ147" s="14">
        <f>AI147*VLOOKUP('Données projet'!$B$10,Paramètres!$A$1:$I$89,3,0)*VLOOKUP('Données projet'!$B$10,Paramètres!$A$1:$I$89,5,0)</f>
        <v>321.20399999999989</v>
      </c>
      <c r="AK147" s="14">
        <f t="shared" si="143"/>
        <v>75.603814497354989</v>
      </c>
      <c r="AL147" s="22">
        <f t="shared" si="112"/>
        <v>691.10694358289311</v>
      </c>
      <c r="AM147" s="60">
        <f t="shared" si="113"/>
        <v>984.44027691622637</v>
      </c>
      <c r="AN147" s="60">
        <f ca="1">AVERAGE(OFFSET($AM$3,0,0,'Données projet'!$E$10+1,1))-AVERAGE(OFFSET($H$3,0,0,'Données projet'!$E$10+1,1))</f>
        <v>404.14319681142746</v>
      </c>
      <c r="AO147" s="60">
        <f t="shared" si="144"/>
        <v>203.5274665601915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2.4</v>
      </c>
      <c r="BD147" s="13">
        <f>IF('Données projet'!$A$88&gt;35,BD146+BC147-BL146,IF(A147&lt;'Données projet'!$A$88,$BA$205^A147,IF(A147='Données projet'!$A$88,'Données projet'!$B$88,BD146+BC147-BL146)))</f>
        <v>278.59999999999917</v>
      </c>
      <c r="BE147" s="14">
        <f>BD147*VLOOKUP('Données projet'!$B$11,Paramètres!$A$1:$I$89,3,0)*VLOOKUP('Données projet'!$B$11,Paramètres!$A$1:$I$89,5,0)</f>
        <v>282.50039999999916</v>
      </c>
      <c r="BF147" s="14">
        <f t="shared" si="145"/>
        <v>67.495141560894254</v>
      </c>
      <c r="BG147" s="22">
        <f t="shared" si="115"/>
        <v>609.57556821855599</v>
      </c>
      <c r="BH147" s="60">
        <f t="shared" si="116"/>
        <v>902.90890155188936</v>
      </c>
      <c r="BI147" s="60">
        <f ca="1">AVERAGE(OFFSET($BH$3,0,0,'Données projet'!$E$11+1,1))-AVERAGE(OFFSET($H$3,0,0,'Données projet'!$E$11+1,1))</f>
        <v>350.3652766444938</v>
      </c>
      <c r="BJ147" s="60">
        <f t="shared" si="146"/>
        <v>197.04549436738586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2.4</v>
      </c>
      <c r="BY147" s="13">
        <f>IF('Données projet'!$A$114&gt;35,BY146+BX147-CG146,IF(A147&lt;'Données projet'!$A$114,$BV$205^A147,IF(A147='Données projet'!$A$114,'Données projet'!$B$114,BY146+BX147-CG146)))</f>
        <v>278.59999999999917</v>
      </c>
      <c r="BZ147" s="14">
        <f>BY147*VLOOKUP('Données projet'!$B$12,Paramètres!$A$1:$I$89,3,0)*VLOOKUP('Données projet'!$B$12,Paramètres!$A$1:$I$89,5,0)</f>
        <v>269.46191999999922</v>
      </c>
      <c r="CA147" s="14">
        <f t="shared" si="147"/>
        <v>64.735061876838927</v>
      </c>
      <c r="CB147" s="22">
        <f t="shared" si="118"/>
        <v>582.05974343549315</v>
      </c>
      <c r="CC147" s="60">
        <f t="shared" si="119"/>
        <v>875.3930767688264</v>
      </c>
      <c r="CD147" s="60">
        <f ca="1">AVERAGE(OFFSET($CC$3,0,0,'Données projet'!$E$12+1,1))-AVERAGE(OFFSET($H$3,0,0,'Données projet'!$E$12+1,1))</f>
        <v>330.39429528665841</v>
      </c>
      <c r="CE147" s="60">
        <f t="shared" si="148"/>
        <v>186.45728006007261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2.4</v>
      </c>
      <c r="CT147" s="13">
        <f>IF('Données projet'!$A$140&gt;35,CT146+CS147-DB146,IF(A147&lt;'Données projet'!$A$140,$CQ$205^A147,IF(A147='Données projet'!$A$140,'Données projet'!$B$140,CT146+CS147-DB146)))</f>
        <v>278.59999999999917</v>
      </c>
      <c r="CU147" s="18">
        <f>CT147*VLOOKUP('Données projet'!$B$13,Paramètres!$A$1:$I$89,3,0)*VLOOKUP('Données projet'!$B$13,Paramètres!$A$1:$I$89,5,0)</f>
        <v>299.88503999999909</v>
      </c>
      <c r="CV147" s="14">
        <f t="shared" si="149"/>
        <v>71.152362906464447</v>
      </c>
      <c r="CW147" s="22">
        <f t="shared" si="121"/>
        <v>646.2234767287573</v>
      </c>
      <c r="CX147" s="60">
        <f t="shared" si="122"/>
        <v>939.55681006209056</v>
      </c>
      <c r="CY147" s="60">
        <f ca="1">AVERAGE(OFFSET($CX$3,0,0,'Données projet'!$E$13+1,1))-AVERAGE(OFFSET($H$3,0,0,'Données projet'!$E$13+1,1))</f>
        <v>376.96388721258387</v>
      </c>
      <c r="CZ147" s="60">
        <f t="shared" si="150"/>
        <v>211.14628470344377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1.7053025658242404E-13</v>
      </c>
      <c r="DP147" s="18">
        <f>DO147*VLOOKUP('Données projet'!$B$14,Paramètres!$A$1:$I$89,3,0)*VLOOKUP('Données projet'!$B$14,Paramètres!$A$1:$I$89,5,0)</f>
        <v>1.1439169611549005E-13</v>
      </c>
      <c r="DQ147" s="14">
        <f t="shared" si="151"/>
        <v>1.6918016515029816E-12</v>
      </c>
      <c r="DR147" s="22">
        <f t="shared" si="124"/>
        <v>3.1457867471021712E-12</v>
      </c>
      <c r="DS147" s="60">
        <f t="shared" si="125"/>
        <v>293.33333333333644</v>
      </c>
      <c r="DT147" s="60">
        <f ca="1">AVERAGE(OFFSET($DS$3,0,0,'Données projet'!$E$14+1,1))-AVERAGE(OFFSET($H$3,0,0,'Données projet'!$E$14+1,1))</f>
        <v>212.33913923444732</v>
      </c>
      <c r="DU147" s="60">
        <f t="shared" si="152"/>
        <v>183.51194426094372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0" t="e">
        <f t="shared" si="128"/>
        <v>#N/A</v>
      </c>
      <c r="EO147" s="60" t="e">
        <f ca="1">AVERAGE(OFFSET($EN$3,0,0,'Données projet'!$E$15+1,1))-AVERAGE(OFFSET($H$3,0,0,'Données projet'!$E$15+1,1))</f>
        <v>#N/A</v>
      </c>
      <c r="EP147" s="60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0" t="e">
        <f t="shared" si="131"/>
        <v>#N/A</v>
      </c>
      <c r="FJ147" s="60" t="e">
        <f ca="1">AVERAGE(OFFSET($FI$3,0,0,'Données projet'!$E$16+1,1))-AVERAGE(OFFSET($H$3,0,0,'Données projet'!$E$16+1,1))</f>
        <v>#N/A</v>
      </c>
      <c r="FK147" s="60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0" t="e">
        <f t="shared" si="134"/>
        <v>#N/A</v>
      </c>
      <c r="GE147" s="60" t="e">
        <f ca="1">AVERAGE(OFFSET($GD$3,0,0,'Données projet'!$E$17+1,1))-AVERAGE(OFFSET($H$3,0,0,'Données projet'!$E$17+1,1))</f>
        <v>#N/A</v>
      </c>
      <c r="GF147" s="60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0" t="e">
        <f t="shared" si="137"/>
        <v>#N/A</v>
      </c>
      <c r="GZ147" s="60" t="e">
        <f ca="1">AVERAGE(OFFSET($GY$3,0,0,'Données projet'!$E$18+1,1))-AVERAGE(OFFSET($H$3,0,0,'Données projet'!$E$18+1,1))</f>
        <v>#N/A</v>
      </c>
      <c r="HA147" s="60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5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2">
        <f t="shared" si="140"/>
        <v>21.934121798181632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8">
        <f t="shared" si="110"/>
        <v>469.42301213183316</v>
      </c>
      <c r="I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3.4106051316484809E-13</v>
      </c>
      <c r="O148" s="14">
        <f>N148*VLOOKUP('Données projet'!$B$9,Paramètres!$A$1:$I$89,3,0)*VLOOKUP('Données projet'!$B$9,Paramètres!$A$1:$I$89,5,0)</f>
        <v>1.5961632016114892E-13</v>
      </c>
      <c r="P148" s="14">
        <f t="shared" si="141"/>
        <v>2.2708641912150958E-12</v>
      </c>
      <c r="Q148" s="22">
        <f t="shared" si="108"/>
        <v>4.2330868906469593E-12</v>
      </c>
      <c r="R148" s="60">
        <f t="shared" si="109"/>
        <v>293.33333333333752</v>
      </c>
      <c r="S148" s="60">
        <f ca="1">AVERAGE(OFFSET($R$3,0,0,'Données projet'!$E$9+1,1))-AVERAGE(OFFSET($H$3,0,0,'Données projet'!$E$9+1,1))</f>
        <v>146.40889017442277</v>
      </c>
      <c r="T148" s="60">
        <f t="shared" si="142"/>
        <v>70.859031694091868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3.5</v>
      </c>
      <c r="AI148" s="14">
        <f>IF('Données projet'!$A$62&gt;35,AI147+AH148-AQ147,IF(A148&lt;'Données projet'!$A$62,$AF$205^A148,IF(A148='Données projet'!$A$62,'Données projet'!$B$62,AI147+AH148-AQ147)))</f>
        <v>358.49999999999989</v>
      </c>
      <c r="AJ148" s="14">
        <f>AI148*VLOOKUP('Données projet'!$B$10,Paramètres!$A$1:$I$89,3,0)*VLOOKUP('Données projet'!$B$10,Paramètres!$A$1:$I$89,5,0)</f>
        <v>324.37079999999986</v>
      </c>
      <c r="AK148" s="14">
        <f t="shared" si="143"/>
        <v>76.262064312013905</v>
      </c>
      <c r="AL148" s="22">
        <f t="shared" si="112"/>
        <v>697.76890534342408</v>
      </c>
      <c r="AM148" s="60">
        <f t="shared" si="113"/>
        <v>991.10223867675745</v>
      </c>
      <c r="AN148" s="60">
        <f ca="1">AVERAGE(OFFSET($AM$3,0,0,'Données projet'!$E$10+1,1))-AVERAGE(OFFSET($H$3,0,0,'Données projet'!$E$10+1,1))</f>
        <v>404.14319681142746</v>
      </c>
      <c r="AO148" s="60">
        <f t="shared" si="144"/>
        <v>203.5274665601915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2.4</v>
      </c>
      <c r="BD148" s="13">
        <f>IF('Données projet'!$A$88&gt;35,BD147+BC148-BL147,IF(A148&lt;'Données projet'!$A$88,$BA$205^A148,IF(A148='Données projet'!$A$88,'Données projet'!$B$88,BD147+BC148-BL147)))</f>
        <v>280.99999999999915</v>
      </c>
      <c r="BE148" s="14">
        <f>BD148*VLOOKUP('Données projet'!$B$11,Paramètres!$A$1:$I$89,3,0)*VLOOKUP('Données projet'!$B$11,Paramètres!$A$1:$I$89,5,0)</f>
        <v>284.93399999999917</v>
      </c>
      <c r="BF148" s="14">
        <f t="shared" si="145"/>
        <v>68.008642509673109</v>
      </c>
      <c r="BG148" s="22">
        <f t="shared" si="115"/>
        <v>614.7084357043459</v>
      </c>
      <c r="BH148" s="60">
        <f t="shared" si="116"/>
        <v>908.04176903767916</v>
      </c>
      <c r="BI148" s="60">
        <f ca="1">AVERAGE(OFFSET($BH$3,0,0,'Données projet'!$E$11+1,1))-AVERAGE(OFFSET($H$3,0,0,'Données projet'!$E$11+1,1))</f>
        <v>350.3652766444938</v>
      </c>
      <c r="BJ148" s="60">
        <f t="shared" si="146"/>
        <v>197.04549436738586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2.4</v>
      </c>
      <c r="BY148" s="13">
        <f>IF('Données projet'!$A$114&gt;35,BY147+BX148-CG147,IF(A148&lt;'Données projet'!$A$114,$BV$205^A148,IF(A148='Données projet'!$A$114,'Données projet'!$B$114,BY147+BX148-CG147)))</f>
        <v>280.99999999999915</v>
      </c>
      <c r="BZ148" s="14">
        <f>BY148*VLOOKUP('Données projet'!$B$12,Paramètres!$A$1:$I$89,3,0)*VLOOKUP('Données projet'!$B$12,Paramètres!$A$1:$I$89,5,0)</f>
        <v>271.78319999999917</v>
      </c>
      <c r="CA148" s="14">
        <f t="shared" si="147"/>
        <v>65.227564224775008</v>
      </c>
      <c r="CB148" s="22">
        <f t="shared" si="118"/>
        <v>586.96041435814834</v>
      </c>
      <c r="CC148" s="60">
        <f t="shared" si="119"/>
        <v>880.29374769148171</v>
      </c>
      <c r="CD148" s="60">
        <f ca="1">AVERAGE(OFFSET($CC$3,0,0,'Données projet'!$E$12+1,1))-AVERAGE(OFFSET($H$3,0,0,'Données projet'!$E$12+1,1))</f>
        <v>330.39429528665841</v>
      </c>
      <c r="CE148" s="60">
        <f t="shared" si="148"/>
        <v>186.45728006007261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2.4</v>
      </c>
      <c r="CT148" s="13">
        <f>IF('Données projet'!$A$140&gt;35,CT147+CS148-DB147,IF(A148&lt;'Données projet'!$A$140,$CQ$205^A148,IF(A148='Données projet'!$A$140,'Données projet'!$B$140,CT147+CS148-DB147)))</f>
        <v>280.99999999999915</v>
      </c>
      <c r="CU148" s="18">
        <f>CT148*VLOOKUP('Données projet'!$B$13,Paramètres!$A$1:$I$89,3,0)*VLOOKUP('Données projet'!$B$13,Paramètres!$A$1:$I$89,5,0)</f>
        <v>302.46839999999906</v>
      </c>
      <c r="CV148" s="14">
        <f t="shared" si="149"/>
        <v>71.693687882090543</v>
      </c>
      <c r="CW148" s="22">
        <f t="shared" si="121"/>
        <v>651.66563639463936</v>
      </c>
      <c r="CX148" s="60">
        <f t="shared" si="122"/>
        <v>944.99896972797274</v>
      </c>
      <c r="CY148" s="60">
        <f ca="1">AVERAGE(OFFSET($CX$3,0,0,'Données projet'!$E$13+1,1))-AVERAGE(OFFSET($H$3,0,0,'Données projet'!$E$13+1,1))</f>
        <v>376.96388721258387</v>
      </c>
      <c r="CZ148" s="60">
        <f t="shared" si="150"/>
        <v>211.14628470344377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1.7053025658242404E-13</v>
      </c>
      <c r="DP148" s="18">
        <f>DO148*VLOOKUP('Données projet'!$B$14,Paramètres!$A$1:$I$89,3,0)*VLOOKUP('Données projet'!$B$14,Paramètres!$A$1:$I$89,5,0)</f>
        <v>1.1439169611549005E-13</v>
      </c>
      <c r="DQ148" s="14">
        <f t="shared" si="151"/>
        <v>1.6918016515029816E-12</v>
      </c>
      <c r="DR148" s="22">
        <f t="shared" si="124"/>
        <v>3.1457867471021712E-12</v>
      </c>
      <c r="DS148" s="60">
        <f t="shared" si="125"/>
        <v>293.33333333333644</v>
      </c>
      <c r="DT148" s="60">
        <f ca="1">AVERAGE(OFFSET($DS$3,0,0,'Données projet'!$E$14+1,1))-AVERAGE(OFFSET($H$3,0,0,'Données projet'!$E$14+1,1))</f>
        <v>212.33913923444732</v>
      </c>
      <c r="DU148" s="60">
        <f t="shared" si="152"/>
        <v>183.51194426094372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0" t="e">
        <f t="shared" si="128"/>
        <v>#N/A</v>
      </c>
      <c r="EO148" s="60" t="e">
        <f ca="1">AVERAGE(OFFSET($EN$3,0,0,'Données projet'!$E$15+1,1))-AVERAGE(OFFSET($H$3,0,0,'Données projet'!$E$15+1,1))</f>
        <v>#N/A</v>
      </c>
      <c r="EP148" s="60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0" t="e">
        <f t="shared" si="131"/>
        <v>#N/A</v>
      </c>
      <c r="FJ148" s="60" t="e">
        <f ca="1">AVERAGE(OFFSET($FI$3,0,0,'Données projet'!$E$16+1,1))-AVERAGE(OFFSET($H$3,0,0,'Données projet'!$E$16+1,1))</f>
        <v>#N/A</v>
      </c>
      <c r="FK148" s="60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0" t="e">
        <f t="shared" si="134"/>
        <v>#N/A</v>
      </c>
      <c r="GE148" s="60" t="e">
        <f ca="1">AVERAGE(OFFSET($GD$3,0,0,'Données projet'!$E$17+1,1))-AVERAGE(OFFSET($H$3,0,0,'Données projet'!$E$17+1,1))</f>
        <v>#N/A</v>
      </c>
      <c r="GF148" s="60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0" t="e">
        <f t="shared" si="137"/>
        <v>#N/A</v>
      </c>
      <c r="GZ148" s="60" t="e">
        <f ca="1">AVERAGE(OFFSET($GY$3,0,0,'Données projet'!$E$18+1,1))-AVERAGE(OFFSET($H$3,0,0,'Données projet'!$E$18+1,1))</f>
        <v>#N/A</v>
      </c>
      <c r="HA148" s="60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5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2">
        <f t="shared" si="140"/>
        <v>22.067730286351065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8">
        <f t="shared" si="110"/>
        <v>470.60666358206163</v>
      </c>
      <c r="I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3.4106051316484809E-13</v>
      </c>
      <c r="O149" s="14">
        <f>N149*VLOOKUP('Données projet'!$B$9,Paramètres!$A$1:$I$89,3,0)*VLOOKUP('Données projet'!$B$9,Paramètres!$A$1:$I$89,5,0)</f>
        <v>1.5961632016114892E-13</v>
      </c>
      <c r="P149" s="14">
        <f t="shared" si="141"/>
        <v>2.2708641912150958E-12</v>
      </c>
      <c r="Q149" s="22">
        <f t="shared" si="108"/>
        <v>4.2330868906469593E-12</v>
      </c>
      <c r="R149" s="60">
        <f t="shared" si="109"/>
        <v>293.33333333333752</v>
      </c>
      <c r="S149" s="60">
        <f ca="1">AVERAGE(OFFSET($R$3,0,0,'Données projet'!$E$9+1,1))-AVERAGE(OFFSET($H$3,0,0,'Données projet'!$E$9+1,1))</f>
        <v>146.40889017442277</v>
      </c>
      <c r="T149" s="60">
        <f t="shared" si="142"/>
        <v>70.859031694091868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3.5</v>
      </c>
      <c r="AI149" s="14">
        <f>IF('Données projet'!$A$62&gt;35,AI148+AH149-AQ148,IF(A149&lt;'Données projet'!$A$62,$AF$205^A149,IF(A149='Données projet'!$A$62,'Données projet'!$B$62,AI148+AH149-AQ148)))</f>
        <v>361.99999999999989</v>
      </c>
      <c r="AJ149" s="14">
        <f>AI149*VLOOKUP('Données projet'!$B$10,Paramètres!$A$1:$I$89,3,0)*VLOOKUP('Données projet'!$B$10,Paramètres!$A$1:$I$89,5,0)</f>
        <v>327.53759999999988</v>
      </c>
      <c r="AK149" s="14">
        <f t="shared" si="143"/>
        <v>76.919566502794808</v>
      </c>
      <c r="AL149" s="22">
        <f t="shared" si="112"/>
        <v>704.42956499236743</v>
      </c>
      <c r="AM149" s="60">
        <f t="shared" si="113"/>
        <v>997.76289832570069</v>
      </c>
      <c r="AN149" s="60">
        <f ca="1">AVERAGE(OFFSET($AM$3,0,0,'Données projet'!$E$10+1,1))-AVERAGE(OFFSET($H$3,0,0,'Données projet'!$E$10+1,1))</f>
        <v>404.14319681142746</v>
      </c>
      <c r="AO149" s="60">
        <f t="shared" si="144"/>
        <v>203.5274665601915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2.4</v>
      </c>
      <c r="BD149" s="13">
        <f>IF('Données projet'!$A$88&gt;35,BD148+BC149-BL148,IF(A149&lt;'Données projet'!$A$88,$BA$205^A149,IF(A149='Données projet'!$A$88,'Données projet'!$B$88,BD148+BC149-BL148)))</f>
        <v>283.39999999999912</v>
      </c>
      <c r="BE149" s="14">
        <f>BD149*VLOOKUP('Données projet'!$B$11,Paramètres!$A$1:$I$89,3,0)*VLOOKUP('Données projet'!$B$11,Paramètres!$A$1:$I$89,5,0)</f>
        <v>287.36759999999913</v>
      </c>
      <c r="BF149" s="14">
        <f t="shared" si="145"/>
        <v>68.521633201564995</v>
      </c>
      <c r="BG149" s="22">
        <f t="shared" si="115"/>
        <v>619.84041449272411</v>
      </c>
      <c r="BH149" s="60">
        <f t="shared" si="116"/>
        <v>913.17374782605748</v>
      </c>
      <c r="BI149" s="60">
        <f ca="1">AVERAGE(OFFSET($BH$3,0,0,'Données projet'!$E$11+1,1))-AVERAGE(OFFSET($H$3,0,0,'Données projet'!$E$11+1,1))</f>
        <v>350.3652766444938</v>
      </c>
      <c r="BJ149" s="60">
        <f t="shared" si="146"/>
        <v>197.04549436738586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2.4</v>
      </c>
      <c r="BY149" s="13">
        <f>IF('Données projet'!$A$114&gt;35,BY148+BX149-CG148,IF(A149&lt;'Données projet'!$A$114,$BV$205^A149,IF(A149='Données projet'!$A$114,'Données projet'!$B$114,BY148+BX149-CG148)))</f>
        <v>283.39999999999912</v>
      </c>
      <c r="BZ149" s="14">
        <f>BY149*VLOOKUP('Données projet'!$B$12,Paramètres!$A$1:$I$89,3,0)*VLOOKUP('Données projet'!$B$12,Paramètres!$A$1:$I$89,5,0)</f>
        <v>274.10447999999917</v>
      </c>
      <c r="CA149" s="14">
        <f t="shared" si="147"/>
        <v>65.719577181765331</v>
      </c>
      <c r="CB149" s="22">
        <f t="shared" si="118"/>
        <v>591.86023292490643</v>
      </c>
      <c r="CC149" s="60">
        <f t="shared" si="119"/>
        <v>885.1935662582398</v>
      </c>
      <c r="CD149" s="60">
        <f ca="1">AVERAGE(OFFSET($CC$3,0,0,'Données projet'!$E$12+1,1))-AVERAGE(OFFSET($H$3,0,0,'Données projet'!$E$12+1,1))</f>
        <v>330.39429528665841</v>
      </c>
      <c r="CE149" s="60">
        <f t="shared" si="148"/>
        <v>186.45728006007261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2.4</v>
      </c>
      <c r="CT149" s="13">
        <f>IF('Données projet'!$A$140&gt;35,CT148+CS149-DB148,IF(A149&lt;'Données projet'!$A$140,$CQ$205^A149,IF(A149='Données projet'!$A$140,'Données projet'!$B$140,CT148+CS149-DB148)))</f>
        <v>283.39999999999912</v>
      </c>
      <c r="CU149" s="18">
        <f>CT149*VLOOKUP('Données projet'!$B$13,Paramètres!$A$1:$I$89,3,0)*VLOOKUP('Données projet'!$B$13,Paramètres!$A$1:$I$89,5,0)</f>
        <v>305.05175999999904</v>
      </c>
      <c r="CV149" s="14">
        <f t="shared" si="149"/>
        <v>72.234474952581991</v>
      </c>
      <c r="CW149" s="22">
        <f t="shared" si="121"/>
        <v>657.10685920907861</v>
      </c>
      <c r="CX149" s="60">
        <f t="shared" si="122"/>
        <v>950.44019254241198</v>
      </c>
      <c r="CY149" s="60">
        <f ca="1">AVERAGE(OFFSET($CX$3,0,0,'Données projet'!$E$13+1,1))-AVERAGE(OFFSET($H$3,0,0,'Données projet'!$E$13+1,1))</f>
        <v>376.96388721258387</v>
      </c>
      <c r="CZ149" s="60">
        <f t="shared" si="150"/>
        <v>211.14628470344377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1.7053025658242404E-13</v>
      </c>
      <c r="DP149" s="18">
        <f>DO149*VLOOKUP('Données projet'!$B$14,Paramètres!$A$1:$I$89,3,0)*VLOOKUP('Données projet'!$B$14,Paramètres!$A$1:$I$89,5,0)</f>
        <v>1.1439169611549005E-13</v>
      </c>
      <c r="DQ149" s="14">
        <f t="shared" si="151"/>
        <v>1.6918016515029816E-12</v>
      </c>
      <c r="DR149" s="22">
        <f t="shared" si="124"/>
        <v>3.1457867471021712E-12</v>
      </c>
      <c r="DS149" s="60">
        <f t="shared" si="125"/>
        <v>293.33333333333644</v>
      </c>
      <c r="DT149" s="60">
        <f ca="1">AVERAGE(OFFSET($DS$3,0,0,'Données projet'!$E$14+1,1))-AVERAGE(OFFSET($H$3,0,0,'Données projet'!$E$14+1,1))</f>
        <v>212.33913923444732</v>
      </c>
      <c r="DU149" s="60">
        <f t="shared" si="152"/>
        <v>183.51194426094372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0" t="e">
        <f t="shared" si="128"/>
        <v>#N/A</v>
      </c>
      <c r="EO149" s="60" t="e">
        <f ca="1">AVERAGE(OFFSET($EN$3,0,0,'Données projet'!$E$15+1,1))-AVERAGE(OFFSET($H$3,0,0,'Données projet'!$E$15+1,1))</f>
        <v>#N/A</v>
      </c>
      <c r="EP149" s="60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0" t="e">
        <f t="shared" si="131"/>
        <v>#N/A</v>
      </c>
      <c r="FJ149" s="60" t="e">
        <f ca="1">AVERAGE(OFFSET($FI$3,0,0,'Données projet'!$E$16+1,1))-AVERAGE(OFFSET($H$3,0,0,'Données projet'!$E$16+1,1))</f>
        <v>#N/A</v>
      </c>
      <c r="FK149" s="60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0" t="e">
        <f t="shared" si="134"/>
        <v>#N/A</v>
      </c>
      <c r="GE149" s="60" t="e">
        <f ca="1">AVERAGE(OFFSET($GD$3,0,0,'Données projet'!$E$17+1,1))-AVERAGE(OFFSET($H$3,0,0,'Données projet'!$E$17+1,1))</f>
        <v>#N/A</v>
      </c>
      <c r="GF149" s="60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0" t="e">
        <f t="shared" si="137"/>
        <v>#N/A</v>
      </c>
      <c r="GZ149" s="60" t="e">
        <f ca="1">AVERAGE(OFFSET($GY$3,0,0,'Données projet'!$E$18+1,1))-AVERAGE(OFFSET($H$3,0,0,'Données projet'!$E$18+1,1))</f>
        <v>#N/A</v>
      </c>
      <c r="HA149" s="60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5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2">
        <f t="shared" si="140"/>
        <v>22.201232295351069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8">
        <f t="shared" si="110"/>
        <v>471.79012958106995</v>
      </c>
      <c r="I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3.4106051316484809E-13</v>
      </c>
      <c r="O150" s="14">
        <f>N150*VLOOKUP('Données projet'!$B$9,Paramètres!$A$1:$I$89,3,0)*VLOOKUP('Données projet'!$B$9,Paramètres!$A$1:$I$89,5,0)</f>
        <v>1.5961632016114892E-13</v>
      </c>
      <c r="P150" s="14">
        <f t="shared" si="141"/>
        <v>2.2708641912150958E-12</v>
      </c>
      <c r="Q150" s="22">
        <f t="shared" si="108"/>
        <v>4.2330868906469593E-12</v>
      </c>
      <c r="R150" s="60">
        <f t="shared" si="109"/>
        <v>293.33333333333752</v>
      </c>
      <c r="S150" s="60">
        <f ca="1">AVERAGE(OFFSET($R$3,0,0,'Données projet'!$E$9+1,1))-AVERAGE(OFFSET($H$3,0,0,'Données projet'!$E$9+1,1))</f>
        <v>146.40889017442277</v>
      </c>
      <c r="T150" s="60">
        <f t="shared" si="142"/>
        <v>70.859031694091868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3.5</v>
      </c>
      <c r="AI150" s="14">
        <f>IF('Données projet'!$A$62&gt;35,AI149+AH150-AQ149,IF(A150&lt;'Données projet'!$A$62,$AF$205^A150,IF(A150='Données projet'!$A$62,'Données projet'!$B$62,AI149+AH150-AQ149)))</f>
        <v>365.49999999999989</v>
      </c>
      <c r="AJ150" s="14">
        <f>AI150*VLOOKUP('Données projet'!$B$10,Paramètres!$A$1:$I$89,3,0)*VLOOKUP('Données projet'!$B$10,Paramètres!$A$1:$I$89,5,0)</f>
        <v>330.70439999999991</v>
      </c>
      <c r="AK150" s="14">
        <f t="shared" si="143"/>
        <v>77.576329135205029</v>
      </c>
      <c r="AL150" s="22">
        <f t="shared" si="112"/>
        <v>711.08893657714862</v>
      </c>
      <c r="AM150" s="60">
        <f t="shared" si="113"/>
        <v>1004.4222699104819</v>
      </c>
      <c r="AN150" s="60">
        <f ca="1">AVERAGE(OFFSET($AM$3,0,0,'Données projet'!$E$10+1,1))-AVERAGE(OFFSET($H$3,0,0,'Données projet'!$E$10+1,1))</f>
        <v>404.14319681142746</v>
      </c>
      <c r="AO150" s="60">
        <f t="shared" si="144"/>
        <v>203.5274665601915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2.4</v>
      </c>
      <c r="BD150" s="13">
        <f>IF('Données projet'!$A$88&gt;35,BD149+BC150-BL149,IF(A150&lt;'Données projet'!$A$88,$BA$205^A150,IF(A150='Données projet'!$A$88,'Données projet'!$B$88,BD149+BC150-BL149)))</f>
        <v>285.7999999999991</v>
      </c>
      <c r="BE150" s="14">
        <f>BD150*VLOOKUP('Données projet'!$B$11,Paramètres!$A$1:$I$89,3,0)*VLOOKUP('Données projet'!$B$11,Paramètres!$A$1:$I$89,5,0)</f>
        <v>289.80119999999908</v>
      </c>
      <c r="BF150" s="14">
        <f t="shared" si="145"/>
        <v>69.034118458450664</v>
      </c>
      <c r="BG150" s="22">
        <f t="shared" si="115"/>
        <v>624.97151298179995</v>
      </c>
      <c r="BH150" s="60">
        <f t="shared" si="116"/>
        <v>918.30484631513332</v>
      </c>
      <c r="BI150" s="60">
        <f ca="1">AVERAGE(OFFSET($BH$3,0,0,'Données projet'!$E$11+1,1))-AVERAGE(OFFSET($H$3,0,0,'Données projet'!$E$11+1,1))</f>
        <v>350.3652766444938</v>
      </c>
      <c r="BJ150" s="60">
        <f t="shared" si="146"/>
        <v>197.04549436738586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2.4</v>
      </c>
      <c r="BY150" s="13">
        <f>IF('Données projet'!$A$114&gt;35,BY149+BX150-CG149,IF(A150&lt;'Données projet'!$A$114,$BV$205^A150,IF(A150='Données projet'!$A$114,'Données projet'!$B$114,BY149+BX150-CG149)))</f>
        <v>285.7999999999991</v>
      </c>
      <c r="BZ150" s="14">
        <f>BY150*VLOOKUP('Données projet'!$B$12,Paramètres!$A$1:$I$89,3,0)*VLOOKUP('Données projet'!$B$12,Paramètres!$A$1:$I$89,5,0)</f>
        <v>276.42575999999912</v>
      </c>
      <c r="CA150" s="14">
        <f t="shared" si="147"/>
        <v>66.211105372509707</v>
      </c>
      <c r="CB150" s="22">
        <f t="shared" si="118"/>
        <v>596.75920719045291</v>
      </c>
      <c r="CC150" s="60">
        <f t="shared" si="119"/>
        <v>890.09254052378628</v>
      </c>
      <c r="CD150" s="60">
        <f ca="1">AVERAGE(OFFSET($CC$3,0,0,'Données projet'!$E$12+1,1))-AVERAGE(OFFSET($H$3,0,0,'Données projet'!$E$12+1,1))</f>
        <v>330.39429528665841</v>
      </c>
      <c r="CE150" s="60">
        <f t="shared" si="148"/>
        <v>186.45728006007261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2.4</v>
      </c>
      <c r="CT150" s="13">
        <f>IF('Données projet'!$A$140&gt;35,CT149+CS150-DB149,IF(A150&lt;'Données projet'!$A$140,$CQ$205^A150,IF(A150='Données projet'!$A$140,'Données projet'!$B$140,CT149+CS150-DB149)))</f>
        <v>285.7999999999991</v>
      </c>
      <c r="CU150" s="18">
        <f>CT150*VLOOKUP('Données projet'!$B$13,Paramètres!$A$1:$I$89,3,0)*VLOOKUP('Données projet'!$B$13,Paramètres!$A$1:$I$89,5,0)</f>
        <v>307.63511999999901</v>
      </c>
      <c r="CV150" s="14">
        <f t="shared" si="149"/>
        <v>72.774729201093322</v>
      </c>
      <c r="CW150" s="22">
        <f t="shared" si="121"/>
        <v>662.54715402523584</v>
      </c>
      <c r="CX150" s="60">
        <f t="shared" si="122"/>
        <v>955.8804873585691</v>
      </c>
      <c r="CY150" s="60">
        <f ca="1">AVERAGE(OFFSET($CX$3,0,0,'Données projet'!$E$13+1,1))-AVERAGE(OFFSET($H$3,0,0,'Données projet'!$E$13+1,1))</f>
        <v>376.96388721258387</v>
      </c>
      <c r="CZ150" s="60">
        <f t="shared" si="150"/>
        <v>211.14628470344377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1.7053025658242404E-13</v>
      </c>
      <c r="DP150" s="18">
        <f>DO150*VLOOKUP('Données projet'!$B$14,Paramètres!$A$1:$I$89,3,0)*VLOOKUP('Données projet'!$B$14,Paramètres!$A$1:$I$89,5,0)</f>
        <v>1.1439169611549005E-13</v>
      </c>
      <c r="DQ150" s="14">
        <f t="shared" si="151"/>
        <v>1.6918016515029816E-12</v>
      </c>
      <c r="DR150" s="22">
        <f t="shared" si="124"/>
        <v>3.1457867471021712E-12</v>
      </c>
      <c r="DS150" s="60">
        <f t="shared" si="125"/>
        <v>293.33333333333644</v>
      </c>
      <c r="DT150" s="60">
        <f ca="1">AVERAGE(OFFSET($DS$3,0,0,'Données projet'!$E$14+1,1))-AVERAGE(OFFSET($H$3,0,0,'Données projet'!$E$14+1,1))</f>
        <v>212.33913923444732</v>
      </c>
      <c r="DU150" s="60">
        <f t="shared" si="152"/>
        <v>183.51194426094372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0" t="e">
        <f t="shared" si="128"/>
        <v>#N/A</v>
      </c>
      <c r="EO150" s="60" t="e">
        <f ca="1">AVERAGE(OFFSET($EN$3,0,0,'Données projet'!$E$15+1,1))-AVERAGE(OFFSET($H$3,0,0,'Données projet'!$E$15+1,1))</f>
        <v>#N/A</v>
      </c>
      <c r="EP150" s="60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0" t="e">
        <f t="shared" si="131"/>
        <v>#N/A</v>
      </c>
      <c r="FJ150" s="60" t="e">
        <f ca="1">AVERAGE(OFFSET($FI$3,0,0,'Données projet'!$E$16+1,1))-AVERAGE(OFFSET($H$3,0,0,'Données projet'!$E$16+1,1))</f>
        <v>#N/A</v>
      </c>
      <c r="FK150" s="60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0" t="e">
        <f t="shared" si="134"/>
        <v>#N/A</v>
      </c>
      <c r="GE150" s="60" t="e">
        <f ca="1">AVERAGE(OFFSET($GD$3,0,0,'Données projet'!$E$17+1,1))-AVERAGE(OFFSET($H$3,0,0,'Données projet'!$E$17+1,1))</f>
        <v>#N/A</v>
      </c>
      <c r="GF150" s="60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0" t="e">
        <f t="shared" si="137"/>
        <v>#N/A</v>
      </c>
      <c r="GZ150" s="60" t="e">
        <f ca="1">AVERAGE(OFFSET($GY$3,0,0,'Données projet'!$E$18+1,1))-AVERAGE(OFFSET($H$3,0,0,'Données projet'!$E$18+1,1))</f>
        <v>#N/A</v>
      </c>
      <c r="HA150" s="60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5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2">
        <f t="shared" si="140"/>
        <v>22.334628633536237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8">
        <f t="shared" si="110"/>
        <v>472.9734115367425</v>
      </c>
      <c r="I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3.4106051316484809E-13</v>
      </c>
      <c r="O151" s="14">
        <f>N151*VLOOKUP('Données projet'!$B$9,Paramètres!$A$1:$I$89,3,0)*VLOOKUP('Données projet'!$B$9,Paramètres!$A$1:$I$89,5,0)</f>
        <v>1.5961632016114892E-13</v>
      </c>
      <c r="P151" s="14">
        <f t="shared" si="141"/>
        <v>2.2708641912150958E-12</v>
      </c>
      <c r="Q151" s="22">
        <f t="shared" si="108"/>
        <v>4.2330868906469593E-12</v>
      </c>
      <c r="R151" s="60">
        <f t="shared" si="109"/>
        <v>293.33333333333752</v>
      </c>
      <c r="S151" s="60">
        <f ca="1">AVERAGE(OFFSET($R$3,0,0,'Données projet'!$E$9+1,1))-AVERAGE(OFFSET($H$3,0,0,'Données projet'!$E$9+1,1))</f>
        <v>146.40889017442277</v>
      </c>
      <c r="T151" s="60">
        <f t="shared" si="142"/>
        <v>70.859031694091868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3.5</v>
      </c>
      <c r="AI151" s="14">
        <f>IF('Données projet'!$A$62&gt;35,AI150+AH151-AQ150,IF(A151&lt;'Données projet'!$A$62,$AF$205^A151,IF(A151='Données projet'!$A$62,'Données projet'!$B$62,AI150+AH151-AQ150)))</f>
        <v>368.99999999999989</v>
      </c>
      <c r="AJ151" s="14">
        <f>AI151*VLOOKUP('Données projet'!$B$10,Paramètres!$A$1:$I$89,3,0)*VLOOKUP('Données projet'!$B$10,Paramètres!$A$1:$I$89,5,0)</f>
        <v>333.87119999999987</v>
      </c>
      <c r="AK151" s="14">
        <f t="shared" si="143"/>
        <v>78.232360111376309</v>
      </c>
      <c r="AL151" s="22">
        <f t="shared" si="112"/>
        <v>717.74703386064687</v>
      </c>
      <c r="AM151" s="60">
        <f t="shared" si="113"/>
        <v>1011.0803671939802</v>
      </c>
      <c r="AN151" s="60">
        <f ca="1">AVERAGE(OFFSET($AM$3,0,0,'Données projet'!$E$10+1,1))-AVERAGE(OFFSET($H$3,0,0,'Données projet'!$E$10+1,1))</f>
        <v>404.14319681142746</v>
      </c>
      <c r="AO151" s="60">
        <f t="shared" si="144"/>
        <v>203.5274665601915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2.4</v>
      </c>
      <c r="BD151" s="13">
        <f>IF('Données projet'!$A$88&gt;35,BD150+BC151-BL150,IF(A151&lt;'Données projet'!$A$88,$BA$205^A151,IF(A151='Données projet'!$A$88,'Données projet'!$B$88,BD150+BC151-BL150)))</f>
        <v>288.19999999999908</v>
      </c>
      <c r="BE151" s="14">
        <f>BD151*VLOOKUP('Données projet'!$B$11,Paramètres!$A$1:$I$89,3,0)*VLOOKUP('Données projet'!$B$11,Paramètres!$A$1:$I$89,5,0)</f>
        <v>292.2347999999991</v>
      </c>
      <c r="BF151" s="14">
        <f t="shared" si="145"/>
        <v>69.546103016553573</v>
      </c>
      <c r="BG151" s="22">
        <f t="shared" si="115"/>
        <v>630.10173942049585</v>
      </c>
      <c r="BH151" s="60">
        <f t="shared" si="116"/>
        <v>923.43507275382922</v>
      </c>
      <c r="BI151" s="60">
        <f ca="1">AVERAGE(OFFSET($BH$3,0,0,'Données projet'!$E$11+1,1))-AVERAGE(OFFSET($H$3,0,0,'Données projet'!$E$11+1,1))</f>
        <v>350.3652766444938</v>
      </c>
      <c r="BJ151" s="60">
        <f t="shared" si="146"/>
        <v>197.04549436738586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2.4</v>
      </c>
      <c r="BY151" s="13">
        <f>IF('Données projet'!$A$114&gt;35,BY150+BX151-CG150,IF(A151&lt;'Données projet'!$A$114,$BV$205^A151,IF(A151='Données projet'!$A$114,'Données projet'!$B$114,BY150+BX151-CG150)))</f>
        <v>288.19999999999908</v>
      </c>
      <c r="BZ151" s="14">
        <f>BY151*VLOOKUP('Données projet'!$B$12,Paramètres!$A$1:$I$89,3,0)*VLOOKUP('Données projet'!$B$12,Paramètres!$A$1:$I$89,5,0)</f>
        <v>278.74703999999912</v>
      </c>
      <c r="CA151" s="14">
        <f t="shared" si="147"/>
        <v>66.702153339553078</v>
      </c>
      <c r="CB151" s="22">
        <f t="shared" si="118"/>
        <v>601.65734506638671</v>
      </c>
      <c r="CC151" s="60">
        <f t="shared" si="119"/>
        <v>894.99067839972008</v>
      </c>
      <c r="CD151" s="60">
        <f ca="1">AVERAGE(OFFSET($CC$3,0,0,'Données projet'!$E$12+1,1))-AVERAGE(OFFSET($H$3,0,0,'Données projet'!$E$12+1,1))</f>
        <v>330.39429528665841</v>
      </c>
      <c r="CE151" s="60">
        <f t="shared" si="148"/>
        <v>186.45728006007261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2.4</v>
      </c>
      <c r="CT151" s="13">
        <f>IF('Données projet'!$A$140&gt;35,CT150+CS151-DB150,IF(A151&lt;'Données projet'!$A$140,$CQ$205^A151,IF(A151='Données projet'!$A$140,'Données projet'!$B$140,CT150+CS151-DB150)))</f>
        <v>288.19999999999908</v>
      </c>
      <c r="CU151" s="18">
        <f>CT151*VLOOKUP('Données projet'!$B$13,Paramètres!$A$1:$I$89,3,0)*VLOOKUP('Données projet'!$B$13,Paramètres!$A$1:$I$89,5,0)</f>
        <v>310.21847999999898</v>
      </c>
      <c r="CV151" s="14">
        <f t="shared" si="149"/>
        <v>73.314455620479777</v>
      </c>
      <c r="CW151" s="22">
        <f t="shared" si="121"/>
        <v>667.98652953900034</v>
      </c>
      <c r="CX151" s="60">
        <f t="shared" si="122"/>
        <v>961.31986287233372</v>
      </c>
      <c r="CY151" s="60">
        <f ca="1">AVERAGE(OFFSET($CX$3,0,0,'Données projet'!$E$13+1,1))-AVERAGE(OFFSET($H$3,0,0,'Données projet'!$E$13+1,1))</f>
        <v>376.96388721258387</v>
      </c>
      <c r="CZ151" s="60">
        <f t="shared" si="150"/>
        <v>211.14628470344377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1.7053025658242404E-13</v>
      </c>
      <c r="DP151" s="18">
        <f>DO151*VLOOKUP('Données projet'!$B$14,Paramètres!$A$1:$I$89,3,0)*VLOOKUP('Données projet'!$B$14,Paramètres!$A$1:$I$89,5,0)</f>
        <v>1.1439169611549005E-13</v>
      </c>
      <c r="DQ151" s="14">
        <f t="shared" si="151"/>
        <v>1.6918016515029816E-12</v>
      </c>
      <c r="DR151" s="22">
        <f t="shared" si="124"/>
        <v>3.1457867471021712E-12</v>
      </c>
      <c r="DS151" s="60">
        <f t="shared" si="125"/>
        <v>293.33333333333644</v>
      </c>
      <c r="DT151" s="60">
        <f ca="1">AVERAGE(OFFSET($DS$3,0,0,'Données projet'!$E$14+1,1))-AVERAGE(OFFSET($H$3,0,0,'Données projet'!$E$14+1,1))</f>
        <v>212.33913923444732</v>
      </c>
      <c r="DU151" s="60">
        <f t="shared" si="152"/>
        <v>183.51194426094372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0" t="e">
        <f t="shared" si="128"/>
        <v>#N/A</v>
      </c>
      <c r="EO151" s="60" t="e">
        <f ca="1">AVERAGE(OFFSET($EN$3,0,0,'Données projet'!$E$15+1,1))-AVERAGE(OFFSET($H$3,0,0,'Données projet'!$E$15+1,1))</f>
        <v>#N/A</v>
      </c>
      <c r="EP151" s="60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0" t="e">
        <f t="shared" si="131"/>
        <v>#N/A</v>
      </c>
      <c r="FJ151" s="60" t="e">
        <f ca="1">AVERAGE(OFFSET($FI$3,0,0,'Données projet'!$E$16+1,1))-AVERAGE(OFFSET($H$3,0,0,'Données projet'!$E$16+1,1))</f>
        <v>#N/A</v>
      </c>
      <c r="FK151" s="60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0" t="e">
        <f t="shared" si="134"/>
        <v>#N/A</v>
      </c>
      <c r="GE151" s="60" t="e">
        <f ca="1">AVERAGE(OFFSET($GD$3,0,0,'Données projet'!$E$17+1,1))-AVERAGE(OFFSET($H$3,0,0,'Données projet'!$E$17+1,1))</f>
        <v>#N/A</v>
      </c>
      <c r="GF151" s="60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0" t="e">
        <f t="shared" si="137"/>
        <v>#N/A</v>
      </c>
      <c r="GZ151" s="60" t="e">
        <f ca="1">AVERAGE(OFFSET($GY$3,0,0,'Données projet'!$E$18+1,1))-AVERAGE(OFFSET($H$3,0,0,'Données projet'!$E$18+1,1))</f>
        <v>#N/A</v>
      </c>
      <c r="HA151" s="60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5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2">
        <f t="shared" si="140"/>
        <v>22.467920097706067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8">
        <f t="shared" si="110"/>
        <v>474.15651083683827</v>
      </c>
      <c r="I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3.4106051316484809E-13</v>
      </c>
      <c r="O152" s="14">
        <f>N152*VLOOKUP('Données projet'!$B$9,Paramètres!$A$1:$I$89,3,0)*VLOOKUP('Données projet'!$B$9,Paramètres!$A$1:$I$89,5,0)</f>
        <v>1.5961632016114892E-13</v>
      </c>
      <c r="P152" s="14">
        <f t="shared" si="141"/>
        <v>2.2708641912150958E-12</v>
      </c>
      <c r="Q152" s="22">
        <f t="shared" si="108"/>
        <v>4.2330868906469593E-12</v>
      </c>
      <c r="R152" s="60">
        <f t="shared" si="109"/>
        <v>293.33333333333752</v>
      </c>
      <c r="S152" s="60">
        <f ca="1">AVERAGE(OFFSET($R$3,0,0,'Données projet'!$E$9+1,1))-AVERAGE(OFFSET($H$3,0,0,'Données projet'!$E$9+1,1))</f>
        <v>146.40889017442277</v>
      </c>
      <c r="T152" s="60">
        <f t="shared" si="142"/>
        <v>70.859031694091868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3.5</v>
      </c>
      <c r="AI152" s="14">
        <f>IF('Données projet'!$A$62&gt;35,AI151+AH152-AQ151,IF(A152&lt;'Données projet'!$A$62,$AF$205^A152,IF(A152='Données projet'!$A$62,'Données projet'!$B$62,AI151+AH152-AQ151)))</f>
        <v>372.49999999999989</v>
      </c>
      <c r="AJ152" s="14">
        <f>AI152*VLOOKUP('Données projet'!$B$10,Paramètres!$A$1:$I$89,3,0)*VLOOKUP('Données projet'!$B$10,Paramètres!$A$1:$I$89,5,0)</f>
        <v>337.0379999999999</v>
      </c>
      <c r="AK152" s="14">
        <f t="shared" si="143"/>
        <v>78.887667174891362</v>
      </c>
      <c r="AL152" s="22">
        <f t="shared" si="112"/>
        <v>724.40387032960223</v>
      </c>
      <c r="AM152" s="60">
        <f t="shared" si="113"/>
        <v>1017.7372036629356</v>
      </c>
      <c r="AN152" s="60">
        <f ca="1">AVERAGE(OFFSET($AM$3,0,0,'Données projet'!$E$10+1,1))-AVERAGE(OFFSET($H$3,0,0,'Données projet'!$E$10+1,1))</f>
        <v>404.14319681142746</v>
      </c>
      <c r="AO152" s="60">
        <f t="shared" si="144"/>
        <v>203.5274665601915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2.4</v>
      </c>
      <c r="BD152" s="13">
        <f>IF('Données projet'!$A$88&gt;35,BD151+BC152-BL151,IF(A152&lt;'Données projet'!$A$88,$BA$205^A152,IF(A152='Données projet'!$A$88,'Données projet'!$B$88,BD151+BC152-BL151)))</f>
        <v>290.59999999999906</v>
      </c>
      <c r="BE152" s="14">
        <f>BD152*VLOOKUP('Données projet'!$B$11,Paramètres!$A$1:$I$89,3,0)*VLOOKUP('Données projet'!$B$11,Paramètres!$A$1:$I$89,5,0)</f>
        <v>294.66839999999905</v>
      </c>
      <c r="BF152" s="14">
        <f t="shared" si="145"/>
        <v>70.057591528661362</v>
      </c>
      <c r="BG152" s="22">
        <f t="shared" si="115"/>
        <v>635.23110191241688</v>
      </c>
      <c r="BH152" s="60">
        <f t="shared" si="116"/>
        <v>928.56443524575025</v>
      </c>
      <c r="BI152" s="60">
        <f ca="1">AVERAGE(OFFSET($BH$3,0,0,'Données projet'!$E$11+1,1))-AVERAGE(OFFSET($H$3,0,0,'Données projet'!$E$11+1,1))</f>
        <v>350.3652766444938</v>
      </c>
      <c r="BJ152" s="60">
        <f t="shared" si="146"/>
        <v>197.04549436738586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2.4</v>
      </c>
      <c r="BY152" s="13">
        <f>IF('Données projet'!$A$114&gt;35,BY151+BX152-CG151,IF(A152&lt;'Données projet'!$A$114,$BV$205^A152,IF(A152='Données projet'!$A$114,'Données projet'!$B$114,BY151+BX152-CG151)))</f>
        <v>290.59999999999906</v>
      </c>
      <c r="BZ152" s="14">
        <f>BY152*VLOOKUP('Données projet'!$B$12,Paramètres!$A$1:$I$89,3,0)*VLOOKUP('Données projet'!$B$12,Paramètres!$A$1:$I$89,5,0)</f>
        <v>281.06831999999906</v>
      </c>
      <c r="CA152" s="14">
        <f t="shared" si="147"/>
        <v>67.192725545416479</v>
      </c>
      <c r="CB152" s="22">
        <f t="shared" si="118"/>
        <v>606.55465432493213</v>
      </c>
      <c r="CC152" s="60">
        <f t="shared" si="119"/>
        <v>899.8879876582655</v>
      </c>
      <c r="CD152" s="60">
        <f ca="1">AVERAGE(OFFSET($CC$3,0,0,'Données projet'!$E$12+1,1))-AVERAGE(OFFSET($H$3,0,0,'Données projet'!$E$12+1,1))</f>
        <v>330.39429528665841</v>
      </c>
      <c r="CE152" s="60">
        <f t="shared" si="148"/>
        <v>186.45728006007261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2.4</v>
      </c>
      <c r="CT152" s="13">
        <f>IF('Données projet'!$A$140&gt;35,CT151+CS152-DB151,IF(A152&lt;'Données projet'!$A$140,$CQ$205^A152,IF(A152='Données projet'!$A$140,'Données projet'!$B$140,CT151+CS152-DB151)))</f>
        <v>290.59999999999906</v>
      </c>
      <c r="CU152" s="18">
        <f>CT152*VLOOKUP('Données projet'!$B$13,Paramètres!$A$1:$I$89,3,0)*VLOOKUP('Données projet'!$B$13,Paramètres!$A$1:$I$89,5,0)</f>
        <v>312.80183999999895</v>
      </c>
      <c r="CV152" s="14">
        <f t="shared" si="149"/>
        <v>73.853659115640198</v>
      </c>
      <c r="CW152" s="22">
        <f t="shared" si="121"/>
        <v>673.42499429307145</v>
      </c>
      <c r="CX152" s="60">
        <f t="shared" si="122"/>
        <v>966.75832762640471</v>
      </c>
      <c r="CY152" s="60">
        <f ca="1">AVERAGE(OFFSET($CX$3,0,0,'Données projet'!$E$13+1,1))-AVERAGE(OFFSET($H$3,0,0,'Données projet'!$E$13+1,1))</f>
        <v>376.96388721258387</v>
      </c>
      <c r="CZ152" s="60">
        <f t="shared" si="150"/>
        <v>211.14628470344377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1.7053025658242404E-13</v>
      </c>
      <c r="DP152" s="18">
        <f>DO152*VLOOKUP('Données projet'!$B$14,Paramètres!$A$1:$I$89,3,0)*VLOOKUP('Données projet'!$B$14,Paramètres!$A$1:$I$89,5,0)</f>
        <v>1.1439169611549005E-13</v>
      </c>
      <c r="DQ152" s="14">
        <f t="shared" si="151"/>
        <v>1.6918016515029816E-12</v>
      </c>
      <c r="DR152" s="22">
        <f t="shared" si="124"/>
        <v>3.1457867471021712E-12</v>
      </c>
      <c r="DS152" s="60">
        <f t="shared" si="125"/>
        <v>293.33333333333644</v>
      </c>
      <c r="DT152" s="60">
        <f ca="1">AVERAGE(OFFSET($DS$3,0,0,'Données projet'!$E$14+1,1))-AVERAGE(OFFSET($H$3,0,0,'Données projet'!$E$14+1,1))</f>
        <v>212.33913923444732</v>
      </c>
      <c r="DU152" s="60">
        <f t="shared" si="152"/>
        <v>183.51194426094372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0" t="e">
        <f t="shared" si="128"/>
        <v>#N/A</v>
      </c>
      <c r="EO152" s="60" t="e">
        <f ca="1">AVERAGE(OFFSET($EN$3,0,0,'Données projet'!$E$15+1,1))-AVERAGE(OFFSET($H$3,0,0,'Données projet'!$E$15+1,1))</f>
        <v>#N/A</v>
      </c>
      <c r="EP152" s="60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0" t="e">
        <f t="shared" si="131"/>
        <v>#N/A</v>
      </c>
      <c r="FJ152" s="60" t="e">
        <f ca="1">AVERAGE(OFFSET($FI$3,0,0,'Données projet'!$E$16+1,1))-AVERAGE(OFFSET($H$3,0,0,'Données projet'!$E$16+1,1))</f>
        <v>#N/A</v>
      </c>
      <c r="FK152" s="60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0" t="e">
        <f t="shared" si="134"/>
        <v>#N/A</v>
      </c>
      <c r="GE152" s="60" t="e">
        <f ca="1">AVERAGE(OFFSET($GD$3,0,0,'Données projet'!$E$17+1,1))-AVERAGE(OFFSET($H$3,0,0,'Données projet'!$E$17+1,1))</f>
        <v>#N/A</v>
      </c>
      <c r="GF152" s="60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0" t="e">
        <f t="shared" si="137"/>
        <v>#N/A</v>
      </c>
      <c r="GZ152" s="60" t="e">
        <f ca="1">AVERAGE(OFFSET($GY$3,0,0,'Données projet'!$E$18+1,1))-AVERAGE(OFFSET($H$3,0,0,'Données projet'!$E$18+1,1))</f>
        <v>#N/A</v>
      </c>
      <c r="HA152" s="60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5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2">
        <f t="shared" si="140"/>
        <v>22.601107473346371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8">
        <f t="shared" si="110"/>
        <v>475.33942884941183</v>
      </c>
      <c r="I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3.4106051316484809E-13</v>
      </c>
      <c r="O153" s="14">
        <f>N153*VLOOKUP('Données projet'!$B$9,Paramètres!$A$1:$I$89,3,0)*VLOOKUP('Données projet'!$B$9,Paramètres!$A$1:$I$89,5,0)</f>
        <v>1.5961632016114892E-13</v>
      </c>
      <c r="P153" s="14">
        <f t="shared" si="141"/>
        <v>2.2708641912150958E-12</v>
      </c>
      <c r="Q153" s="22">
        <f t="shared" si="108"/>
        <v>4.2330868906469593E-12</v>
      </c>
      <c r="R153" s="60">
        <f t="shared" si="109"/>
        <v>293.33333333333752</v>
      </c>
      <c r="S153" s="60">
        <f ca="1">AVERAGE(OFFSET($R$3,0,0,'Données projet'!$E$9+1,1))-AVERAGE(OFFSET($H$3,0,0,'Données projet'!$E$9+1,1))</f>
        <v>146.40889017442277</v>
      </c>
      <c r="T153" s="60">
        <f t="shared" si="142"/>
        <v>70.859031694091868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376</v>
      </c>
      <c r="AG153" s="13">
        <f>VLOOKUP(A153,'Données projet'!$A$61:$I$81,9,0)</f>
        <v>3.5</v>
      </c>
      <c r="AH153" s="13">
        <f t="array" ref="AH153">INDEX(AG:AG,MIN(IF(ISNUMBER(AG153:AG349),ROW(AG153:AG349),"")))</f>
        <v>3.5</v>
      </c>
      <c r="AI153" s="14">
        <f>IF('Données projet'!$A$62&gt;35,AI152+AH153-AQ152,IF(A153&lt;'Données projet'!$A$62,$AF$205^A153,IF(A153='Données projet'!$A$62,'Données projet'!$B$62,AI152+AH153-AQ152)))</f>
        <v>375.99999999999989</v>
      </c>
      <c r="AJ153" s="14">
        <f>AI153*VLOOKUP('Données projet'!$B$10,Paramètres!$A$1:$I$89,3,0)*VLOOKUP('Données projet'!$B$10,Paramètres!$A$1:$I$89,5,0)</f>
        <v>340.20479999999992</v>
      </c>
      <c r="AK153" s="14">
        <f t="shared" si="143"/>
        <v>79.542257915424329</v>
      </c>
      <c r="AL153" s="22">
        <f t="shared" si="112"/>
        <v>731.05945920269721</v>
      </c>
      <c r="AM153" s="60">
        <f t="shared" si="113"/>
        <v>1024.3927925360306</v>
      </c>
      <c r="AN153" s="60">
        <f ca="1">AVERAGE(OFFSET($AM$3,0,0,'Données projet'!$E$10+1,1))-AVERAGE(OFFSET($H$3,0,0,'Données projet'!$E$10+1,1))</f>
        <v>404.14319681142746</v>
      </c>
      <c r="AO153" s="60">
        <f t="shared" si="144"/>
        <v>203.5274665601915</v>
      </c>
      <c r="AP153" s="16">
        <f>IF(ISNA(VLOOKUP(A153,'Données projet'!$A$61:$I$81,3,0)),0,VLOOKUP(A153,'Données projet'!$A$61:$I$81,3,0))</f>
        <v>10</v>
      </c>
      <c r="AQ153" s="16">
        <f>IF(ISNA(VLOOKUP(A153,'Données projet'!$A$61:$I$81,4,0)),0,VLOOKUP(A153,'Données projet'!$A$61:$I$81,4,0))</f>
        <v>376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>
        <f>VLOOKUP(A153,'Données projet'!$A$87:$I$107,2,0)</f>
        <v>293</v>
      </c>
      <c r="BB153" s="13">
        <f>VLOOKUP(A153,'Données projet'!$A$87:$I$107,9,0)</f>
        <v>2.4</v>
      </c>
      <c r="BC153" s="13">
        <f t="array" ref="BC153">INDEX(BB:BB,MIN(IF(ISNUMBER(BB153:BB349),ROW(BB153:BB349),"")))</f>
        <v>2.4</v>
      </c>
      <c r="BD153" s="13">
        <f>IF('Données projet'!$A$88&gt;35,BD152+BC153-BL152,IF(A153&lt;'Données projet'!$A$88,$BA$205^A153,IF(A153='Données projet'!$A$88,'Données projet'!$B$88,BD152+BC153-BL152)))</f>
        <v>292.99999999999903</v>
      </c>
      <c r="BE153" s="14">
        <f>BD153*VLOOKUP('Données projet'!$B$11,Paramètres!$A$1:$I$89,3,0)*VLOOKUP('Données projet'!$B$11,Paramètres!$A$1:$I$89,5,0)</f>
        <v>297.10199999999907</v>
      </c>
      <c r="BF153" s="14">
        <f t="shared" si="145"/>
        <v>70.568588566272624</v>
      </c>
      <c r="BG153" s="22">
        <f t="shared" si="115"/>
        <v>640.3596084195899</v>
      </c>
      <c r="BH153" s="60">
        <f t="shared" si="116"/>
        <v>933.69294175292316</v>
      </c>
      <c r="BI153" s="60">
        <f ca="1">AVERAGE(OFFSET($BH$3,0,0,'Données projet'!$E$11+1,1))-AVERAGE(OFFSET($H$3,0,0,'Données projet'!$E$11+1,1))</f>
        <v>350.3652766444938</v>
      </c>
      <c r="BJ153" s="60">
        <f t="shared" si="146"/>
        <v>197.04549436738586</v>
      </c>
      <c r="BK153" s="16">
        <f>IF(ISNA(VLOOKUP(A153,'Données projet'!$A$87:$I$107,3,0)),0,VLOOKUP(A153,'Données projet'!$A$87:$I$107,3,0))</f>
        <v>13</v>
      </c>
      <c r="BL153" s="16">
        <f>IF(ISNA(VLOOKUP(A153,'Données projet'!$A$87:$I$107,4,0)),0,VLOOKUP(A153,'Données projet'!$A$87:$I$107,4,0))</f>
        <v>293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>
        <f>VLOOKUP(A153,'Données projet'!$A$113:$I$133,2,0)</f>
        <v>293</v>
      </c>
      <c r="BW153" s="13">
        <f>VLOOKUP(A153,'Données projet'!$A$113:$I$133,9,0)</f>
        <v>2.4</v>
      </c>
      <c r="BX153" s="13">
        <f t="array" ref="BX153">INDEX(BW:BW,MIN(IF(ISNUMBER(BW153:BW349),ROW(BW153:BW349),"")))</f>
        <v>2.4</v>
      </c>
      <c r="BY153" s="13">
        <f>IF('Données projet'!$A$114&gt;35,BY152+BX153-CG152,IF(A153&lt;'Données projet'!$A$114,$BV$205^A153,IF(A153='Données projet'!$A$114,'Données projet'!$B$114,BY152+BX153-CG152)))</f>
        <v>292.99999999999903</v>
      </c>
      <c r="BZ153" s="14">
        <f>BY153*VLOOKUP('Données projet'!$B$12,Paramètres!$A$1:$I$89,3,0)*VLOOKUP('Données projet'!$B$12,Paramètres!$A$1:$I$89,5,0)</f>
        <v>283.38959999999906</v>
      </c>
      <c r="CA153" s="14">
        <f t="shared" si="147"/>
        <v>67.682826374656187</v>
      </c>
      <c r="CB153" s="22">
        <f t="shared" si="118"/>
        <v>611.45114260252456</v>
      </c>
      <c r="CC153" s="60">
        <f t="shared" si="119"/>
        <v>904.78447593585793</v>
      </c>
      <c r="CD153" s="60">
        <f ca="1">AVERAGE(OFFSET($CC$3,0,0,'Données projet'!$E$12+1,1))-AVERAGE(OFFSET($H$3,0,0,'Données projet'!$E$12+1,1))</f>
        <v>330.39429528665841</v>
      </c>
      <c r="CE153" s="60">
        <f t="shared" si="148"/>
        <v>186.45728006007261</v>
      </c>
      <c r="CF153" s="16">
        <f>IF(ISNA(VLOOKUP(A153,'Données projet'!$A$113:$I$133,3,0)),0,VLOOKUP(A153,'Données projet'!$A$113:$I$133,3,0))</f>
        <v>13</v>
      </c>
      <c r="CG153" s="16">
        <f>IF(ISNA(VLOOKUP(A153,'Données projet'!$A$113:$I$133,4,0)),0,VLOOKUP(A153,'Données projet'!$A$113:$I$133,4,0))</f>
        <v>293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>
        <f>VLOOKUP(A153,'Données projet'!$A$139:$I$159,2,0)</f>
        <v>293</v>
      </c>
      <c r="CR153" s="13">
        <f>VLOOKUP(A153,'Données projet'!$A$139:$I$159,9,0)</f>
        <v>2.4</v>
      </c>
      <c r="CS153" s="13">
        <f t="array" ref="CS153">INDEX(CR:CR,MIN(IF(ISNUMBER(CR153:CR349),ROW(CR153:CR349),"")))</f>
        <v>2.4</v>
      </c>
      <c r="CT153" s="13">
        <f>IF('Données projet'!$A$140&gt;35,CT152+CS153-DB152,IF(A153&lt;'Données projet'!$A$140,$CQ$205^A153,IF(A153='Données projet'!$A$140,'Données projet'!$B$140,CT152+CS153-DB152)))</f>
        <v>292.99999999999903</v>
      </c>
      <c r="CU153" s="18">
        <f>CT153*VLOOKUP('Données projet'!$B$13,Paramètres!$A$1:$I$89,3,0)*VLOOKUP('Données projet'!$B$13,Paramètres!$A$1:$I$89,5,0)</f>
        <v>315.38519999999892</v>
      </c>
      <c r="CV153" s="14">
        <f t="shared" si="149"/>
        <v>74.392344505779604</v>
      </c>
      <c r="CW153" s="22">
        <f t="shared" si="121"/>
        <v>678.86255668089746</v>
      </c>
      <c r="CX153" s="60">
        <f t="shared" si="122"/>
        <v>972.19589001423083</v>
      </c>
      <c r="CY153" s="60">
        <f ca="1">AVERAGE(OFFSET($CX$3,0,0,'Données projet'!$E$13+1,1))-AVERAGE(OFFSET($H$3,0,0,'Données projet'!$E$13+1,1))</f>
        <v>376.96388721258387</v>
      </c>
      <c r="CZ153" s="60">
        <f t="shared" si="150"/>
        <v>211.14628470344377</v>
      </c>
      <c r="DA153" s="16">
        <f>IF(ISNA(VLOOKUP(A153,'Données projet'!$A$139:$I$159,3,0)),0,VLOOKUP(A153,'Données projet'!$A$139:$I$159,3,0))</f>
        <v>13</v>
      </c>
      <c r="DB153" s="16">
        <f>IF(ISNA(VLOOKUP(A153,'Données projet'!$A$139:$I$159,4,0)),0,VLOOKUP(A153,'Données projet'!$A$139:$I$159,4,0))</f>
        <v>293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1.7053025658242404E-13</v>
      </c>
      <c r="DP153" s="18">
        <f>DO153*VLOOKUP('Données projet'!$B$14,Paramètres!$A$1:$I$89,3,0)*VLOOKUP('Données projet'!$B$14,Paramètres!$A$1:$I$89,5,0)</f>
        <v>1.1439169611549005E-13</v>
      </c>
      <c r="DQ153" s="14">
        <f t="shared" si="151"/>
        <v>1.6918016515029816E-12</v>
      </c>
      <c r="DR153" s="22">
        <f t="shared" si="124"/>
        <v>3.1457867471021712E-12</v>
      </c>
      <c r="DS153" s="60">
        <f t="shared" si="125"/>
        <v>293.33333333333644</v>
      </c>
      <c r="DT153" s="60">
        <f ca="1">AVERAGE(OFFSET($DS$3,0,0,'Données projet'!$E$14+1,1))-AVERAGE(OFFSET($H$3,0,0,'Données projet'!$E$14+1,1))</f>
        <v>212.33913923444732</v>
      </c>
      <c r="DU153" s="60">
        <f t="shared" si="152"/>
        <v>183.51194426094372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0" t="e">
        <f t="shared" si="128"/>
        <v>#N/A</v>
      </c>
      <c r="EO153" s="60" t="e">
        <f ca="1">AVERAGE(OFFSET($EN$3,0,0,'Données projet'!$E$15+1,1))-AVERAGE(OFFSET($H$3,0,0,'Données projet'!$E$15+1,1))</f>
        <v>#N/A</v>
      </c>
      <c r="EP153" s="60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0" t="e">
        <f t="shared" si="131"/>
        <v>#N/A</v>
      </c>
      <c r="FJ153" s="60" t="e">
        <f ca="1">AVERAGE(OFFSET($FI$3,0,0,'Données projet'!$E$16+1,1))-AVERAGE(OFFSET($H$3,0,0,'Données projet'!$E$16+1,1))</f>
        <v>#N/A</v>
      </c>
      <c r="FK153" s="60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0" t="e">
        <f t="shared" si="134"/>
        <v>#N/A</v>
      </c>
      <c r="GE153" s="60" t="e">
        <f ca="1">AVERAGE(OFFSET($GD$3,0,0,'Données projet'!$E$17+1,1))-AVERAGE(OFFSET($H$3,0,0,'Données projet'!$E$17+1,1))</f>
        <v>#N/A</v>
      </c>
      <c r="GF153" s="60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0" t="e">
        <f t="shared" si="137"/>
        <v>#N/A</v>
      </c>
      <c r="GZ153" s="60" t="e">
        <f ca="1">AVERAGE(OFFSET($GY$3,0,0,'Données projet'!$E$18+1,1))-AVERAGE(OFFSET($H$3,0,0,'Données projet'!$E$18+1,1))</f>
        <v>#N/A</v>
      </c>
      <c r="HA153" s="60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5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2">
        <f t="shared" si="140"/>
        <v>22.734191534864422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8">
        <f t="shared" si="110"/>
        <v>476.52216692322241</v>
      </c>
      <c r="I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3.4106051316484809E-13</v>
      </c>
      <c r="O154" s="14">
        <f>N154*VLOOKUP('Données projet'!$B$9,Paramètres!$A$1:$I$89,3,0)*VLOOKUP('Données projet'!$B$9,Paramètres!$A$1:$I$89,5,0)</f>
        <v>1.5961632016114892E-13</v>
      </c>
      <c r="P154" s="14">
        <f t="shared" si="141"/>
        <v>2.2708641912150958E-12</v>
      </c>
      <c r="Q154" s="22">
        <f t="shared" ref="Q154:Q203" si="162">(O154+P154)*0.475*44/12</f>
        <v>4.2330868906469593E-12</v>
      </c>
      <c r="R154" s="60">
        <f t="shared" si="109"/>
        <v>293.33333333333752</v>
      </c>
      <c r="S154" s="60">
        <f ca="1">AVERAGE(OFFSET($R$3,0,0,'Données projet'!$E$9+1,1))-AVERAGE(OFFSET($H$3,0,0,'Données projet'!$E$9+1,1))</f>
        <v>146.40889017442277</v>
      </c>
      <c r="T154" s="60">
        <f t="shared" si="142"/>
        <v>70.859031694091868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-1.1368683772161603E-13</v>
      </c>
      <c r="AJ154" s="14">
        <f>AI154*VLOOKUP('Données projet'!$B$10,Paramètres!$A$1:$I$89,3,0)*VLOOKUP('Données projet'!$B$10,Paramètres!$A$1:$I$89,5,0)</f>
        <v>-1.0286385077051818E-13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0" t="e">
        <f t="shared" si="113"/>
        <v>#NUM!</v>
      </c>
      <c r="AN154" s="60">
        <f ca="1">AVERAGE(OFFSET($AM$3,0,0,'Données projet'!$E$10+1,1))-AVERAGE(OFFSET($H$3,0,0,'Données projet'!$E$10+1,1))</f>
        <v>404.14319681142746</v>
      </c>
      <c r="AO154" s="60">
        <f t="shared" si="144"/>
        <v>203.5274665601915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-9.6633812063373625E-13</v>
      </c>
      <c r="BE154" s="14">
        <f>BD154*VLOOKUP('Données projet'!$B$11,Paramètres!$A$1:$I$89,3,0)*VLOOKUP('Données projet'!$B$11,Paramètres!$A$1:$I$89,5,0)</f>
        <v>-9.7986685432260874E-13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0" t="e">
        <f t="shared" si="116"/>
        <v>#NUM!</v>
      </c>
      <c r="BI154" s="60">
        <f ca="1">AVERAGE(OFFSET($BH$3,0,0,'Données projet'!$E$11+1,1))-AVERAGE(OFFSET($H$3,0,0,'Données projet'!$E$11+1,1))</f>
        <v>350.3652766444938</v>
      </c>
      <c r="BJ154" s="60">
        <f t="shared" si="146"/>
        <v>197.04549436738586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-9.6633812063373625E-13</v>
      </c>
      <c r="BZ154" s="14">
        <f>BY154*VLOOKUP('Données projet'!$B$12,Paramètres!$A$1:$I$89,3,0)*VLOOKUP('Données projet'!$B$12,Paramètres!$A$1:$I$89,5,0)</f>
        <v>-9.3464223027694966E-13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0" t="e">
        <f t="shared" si="119"/>
        <v>#NUM!</v>
      </c>
      <c r="CD154" s="60">
        <f ca="1">AVERAGE(OFFSET($CC$3,0,0,'Données projet'!$E$12+1,1))-AVERAGE(OFFSET($H$3,0,0,'Données projet'!$E$12+1,1))</f>
        <v>330.39429528665841</v>
      </c>
      <c r="CE154" s="60">
        <f t="shared" si="148"/>
        <v>186.45728006007261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-9.6633812063373625E-13</v>
      </c>
      <c r="CU154" s="18">
        <f>CT154*VLOOKUP('Données projet'!$B$13,Paramètres!$A$1:$I$89,3,0)*VLOOKUP('Données projet'!$B$13,Paramètres!$A$1:$I$89,5,0)</f>
        <v>-1.0401663530501537E-12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0" t="e">
        <f t="shared" si="122"/>
        <v>#NUM!</v>
      </c>
      <c r="CY154" s="60">
        <f ca="1">AVERAGE(OFFSET($CX$3,0,0,'Données projet'!$E$13+1,1))-AVERAGE(OFFSET($H$3,0,0,'Données projet'!$E$13+1,1))</f>
        <v>376.96388721258387</v>
      </c>
      <c r="CZ154" s="60">
        <f t="shared" si="150"/>
        <v>211.14628470344377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1.7053025658242404E-13</v>
      </c>
      <c r="DP154" s="18">
        <f>DO154*VLOOKUP('Données projet'!$B$14,Paramètres!$A$1:$I$89,3,0)*VLOOKUP('Données projet'!$B$14,Paramètres!$A$1:$I$89,5,0)</f>
        <v>1.1439169611549005E-13</v>
      </c>
      <c r="DQ154" s="14">
        <f t="shared" ref="DQ154:DQ203" si="176">EXP(-1.0587+0.8836*LN(DP154)+0.284)</f>
        <v>1.6918016515029816E-12</v>
      </c>
      <c r="DR154" s="22">
        <f t="shared" ref="DR154:DR203" si="177">(DP154+DQ154)*0.475*44/12</f>
        <v>3.1457867471021712E-12</v>
      </c>
      <c r="DS154" s="60">
        <f t="shared" si="125"/>
        <v>293.33333333333644</v>
      </c>
      <c r="DT154" s="60">
        <f ca="1">AVERAGE(OFFSET($DS$3,0,0,'Données projet'!$E$14+1,1))-AVERAGE(OFFSET($H$3,0,0,'Données projet'!$E$14+1,1))</f>
        <v>212.33913923444732</v>
      </c>
      <c r="DU154" s="60">
        <f t="shared" si="152"/>
        <v>183.51194426094372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0" t="e">
        <f t="shared" si="128"/>
        <v>#N/A</v>
      </c>
      <c r="EO154" s="60" t="e">
        <f ca="1">AVERAGE(OFFSET($EN$3,0,0,'Données projet'!$E$15+1,1))-AVERAGE(OFFSET($H$3,0,0,'Données projet'!$E$15+1,1))</f>
        <v>#N/A</v>
      </c>
      <c r="EP154" s="60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0" t="e">
        <f t="shared" si="131"/>
        <v>#N/A</v>
      </c>
      <c r="FJ154" s="60" t="e">
        <f ca="1">AVERAGE(OFFSET($FI$3,0,0,'Données projet'!$E$16+1,1))-AVERAGE(OFFSET($H$3,0,0,'Données projet'!$E$16+1,1))</f>
        <v>#N/A</v>
      </c>
      <c r="FK154" s="60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0" t="e">
        <f t="shared" si="134"/>
        <v>#N/A</v>
      </c>
      <c r="GE154" s="60" t="e">
        <f ca="1">AVERAGE(OFFSET($GD$3,0,0,'Données projet'!$E$17+1,1))-AVERAGE(OFFSET($H$3,0,0,'Données projet'!$E$17+1,1))</f>
        <v>#N/A</v>
      </c>
      <c r="GF154" s="60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0" t="e">
        <f t="shared" si="137"/>
        <v>#N/A</v>
      </c>
      <c r="GZ154" s="60" t="e">
        <f ca="1">AVERAGE(OFFSET($GY$3,0,0,'Données projet'!$E$18+1,1))-AVERAGE(OFFSET($H$3,0,0,'Données projet'!$E$18+1,1))</f>
        <v>#N/A</v>
      </c>
      <c r="HA154" s="60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5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2">
        <f t="shared" si="140"/>
        <v>22.867173045817363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8">
        <f t="shared" si="110"/>
        <v>477.70472638813214</v>
      </c>
      <c r="I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3.4106051316484809E-13</v>
      </c>
      <c r="O155" s="14">
        <f>N155*VLOOKUP('Données projet'!$B$9,Paramètres!$A$1:$I$89,3,0)*VLOOKUP('Données projet'!$B$9,Paramètres!$A$1:$I$89,5,0)</f>
        <v>1.5961632016114892E-13</v>
      </c>
      <c r="P155" s="14">
        <f t="shared" si="141"/>
        <v>2.2708641912150958E-12</v>
      </c>
      <c r="Q155" s="22">
        <f t="shared" si="162"/>
        <v>4.2330868906469593E-12</v>
      </c>
      <c r="R155" s="60">
        <f t="shared" si="109"/>
        <v>293.33333333333752</v>
      </c>
      <c r="S155" s="60">
        <f ca="1">AVERAGE(OFFSET($R$3,0,0,'Données projet'!$E$9+1,1))-AVERAGE(OFFSET($H$3,0,0,'Données projet'!$E$9+1,1))</f>
        <v>146.40889017442277</v>
      </c>
      <c r="T155" s="60">
        <f t="shared" si="142"/>
        <v>70.859031694091868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-1.1368683772161603E-13</v>
      </c>
      <c r="AJ155" s="14">
        <f>AI155*VLOOKUP('Données projet'!$B$10,Paramètres!$A$1:$I$89,3,0)*VLOOKUP('Données projet'!$B$10,Paramètres!$A$1:$I$89,5,0)</f>
        <v>-1.0286385077051818E-13</v>
      </c>
      <c r="AK155" s="14" t="e">
        <f t="shared" si="164"/>
        <v>#NUM!</v>
      </c>
      <c r="AL155" s="22" t="e">
        <f t="shared" si="165"/>
        <v>#NUM!</v>
      </c>
      <c r="AM155" s="60" t="e">
        <f t="shared" si="113"/>
        <v>#NUM!</v>
      </c>
      <c r="AN155" s="60">
        <f ca="1">AVERAGE(OFFSET($AM$3,0,0,'Données projet'!$E$10+1,1))-AVERAGE(OFFSET($H$3,0,0,'Données projet'!$E$10+1,1))</f>
        <v>404.14319681142746</v>
      </c>
      <c r="AO155" s="60">
        <f t="shared" si="144"/>
        <v>203.5274665601915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-9.6633812063373625E-13</v>
      </c>
      <c r="BE155" s="14">
        <f>BD155*VLOOKUP('Données projet'!$B$11,Paramètres!$A$1:$I$89,3,0)*VLOOKUP('Données projet'!$B$11,Paramètres!$A$1:$I$89,5,0)</f>
        <v>-9.7986685432260874E-13</v>
      </c>
      <c r="BF155" s="14" t="e">
        <f t="shared" si="167"/>
        <v>#NUM!</v>
      </c>
      <c r="BG155" s="22" t="e">
        <f t="shared" si="168"/>
        <v>#NUM!</v>
      </c>
      <c r="BH155" s="60" t="e">
        <f t="shared" si="116"/>
        <v>#NUM!</v>
      </c>
      <c r="BI155" s="60">
        <f ca="1">AVERAGE(OFFSET($BH$3,0,0,'Données projet'!$E$11+1,1))-AVERAGE(OFFSET($H$3,0,0,'Données projet'!$E$11+1,1))</f>
        <v>350.3652766444938</v>
      </c>
      <c r="BJ155" s="60">
        <f t="shared" si="146"/>
        <v>197.04549436738586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-9.6633812063373625E-13</v>
      </c>
      <c r="BZ155" s="14">
        <f>BY155*VLOOKUP('Données projet'!$B$12,Paramètres!$A$1:$I$89,3,0)*VLOOKUP('Données projet'!$B$12,Paramètres!$A$1:$I$89,5,0)</f>
        <v>-9.3464223027694966E-13</v>
      </c>
      <c r="CA155" s="14" t="e">
        <f t="shared" si="170"/>
        <v>#NUM!</v>
      </c>
      <c r="CB155" s="22" t="e">
        <f t="shared" si="171"/>
        <v>#NUM!</v>
      </c>
      <c r="CC155" s="60" t="e">
        <f t="shared" si="119"/>
        <v>#NUM!</v>
      </c>
      <c r="CD155" s="60">
        <f ca="1">AVERAGE(OFFSET($CC$3,0,0,'Données projet'!$E$12+1,1))-AVERAGE(OFFSET($H$3,0,0,'Données projet'!$E$12+1,1))</f>
        <v>330.39429528665841</v>
      </c>
      <c r="CE155" s="60">
        <f t="shared" si="148"/>
        <v>186.45728006007261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-9.6633812063373625E-13</v>
      </c>
      <c r="CU155" s="18">
        <f>CT155*VLOOKUP('Données projet'!$B$13,Paramètres!$A$1:$I$89,3,0)*VLOOKUP('Données projet'!$B$13,Paramètres!$A$1:$I$89,5,0)</f>
        <v>-1.0401663530501537E-12</v>
      </c>
      <c r="CV155" s="14" t="e">
        <f t="shared" si="173"/>
        <v>#NUM!</v>
      </c>
      <c r="CW155" s="22" t="e">
        <f t="shared" si="174"/>
        <v>#NUM!</v>
      </c>
      <c r="CX155" s="60" t="e">
        <f t="shared" si="122"/>
        <v>#NUM!</v>
      </c>
      <c r="CY155" s="60">
        <f ca="1">AVERAGE(OFFSET($CX$3,0,0,'Données projet'!$E$13+1,1))-AVERAGE(OFFSET($H$3,0,0,'Données projet'!$E$13+1,1))</f>
        <v>376.96388721258387</v>
      </c>
      <c r="CZ155" s="60">
        <f t="shared" si="150"/>
        <v>211.14628470344377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1.7053025658242404E-13</v>
      </c>
      <c r="DP155" s="18">
        <f>DO155*VLOOKUP('Données projet'!$B$14,Paramètres!$A$1:$I$89,3,0)*VLOOKUP('Données projet'!$B$14,Paramètres!$A$1:$I$89,5,0)</f>
        <v>1.1439169611549005E-13</v>
      </c>
      <c r="DQ155" s="14">
        <f t="shared" si="176"/>
        <v>1.6918016515029816E-12</v>
      </c>
      <c r="DR155" s="22">
        <f t="shared" si="177"/>
        <v>3.1457867471021712E-12</v>
      </c>
      <c r="DS155" s="60">
        <f t="shared" si="125"/>
        <v>293.33333333333644</v>
      </c>
      <c r="DT155" s="60">
        <f ca="1">AVERAGE(OFFSET($DS$3,0,0,'Données projet'!$E$14+1,1))-AVERAGE(OFFSET($H$3,0,0,'Données projet'!$E$14+1,1))</f>
        <v>212.33913923444732</v>
      </c>
      <c r="DU155" s="60">
        <f t="shared" si="152"/>
        <v>183.51194426094372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0" t="e">
        <f t="shared" si="128"/>
        <v>#N/A</v>
      </c>
      <c r="EO155" s="60" t="e">
        <f ca="1">AVERAGE(OFFSET($EN$3,0,0,'Données projet'!$E$15+1,1))-AVERAGE(OFFSET($H$3,0,0,'Données projet'!$E$15+1,1))</f>
        <v>#N/A</v>
      </c>
      <c r="EP155" s="60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0" t="e">
        <f t="shared" si="131"/>
        <v>#N/A</v>
      </c>
      <c r="FJ155" s="60" t="e">
        <f ca="1">AVERAGE(OFFSET($FI$3,0,0,'Données projet'!$E$16+1,1))-AVERAGE(OFFSET($H$3,0,0,'Données projet'!$E$16+1,1))</f>
        <v>#N/A</v>
      </c>
      <c r="FK155" s="60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0" t="e">
        <f t="shared" si="134"/>
        <v>#N/A</v>
      </c>
      <c r="GE155" s="60" t="e">
        <f ca="1">AVERAGE(OFFSET($GD$3,0,0,'Données projet'!$E$17+1,1))-AVERAGE(OFFSET($H$3,0,0,'Données projet'!$E$17+1,1))</f>
        <v>#N/A</v>
      </c>
      <c r="GF155" s="60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0" t="e">
        <f t="shared" si="137"/>
        <v>#N/A</v>
      </c>
      <c r="GZ155" s="60" t="e">
        <f ca="1">AVERAGE(OFFSET($GY$3,0,0,'Données projet'!$E$18+1,1))-AVERAGE(OFFSET($H$3,0,0,'Données projet'!$E$18+1,1))</f>
        <v>#N/A</v>
      </c>
      <c r="HA155" s="60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5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2">
        <f t="shared" si="140"/>
        <v>23.000052759134679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8">
        <f t="shared" si="110"/>
        <v>478.88710855549317</v>
      </c>
      <c r="I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3.4106051316484809E-13</v>
      </c>
      <c r="O156" s="14">
        <f>N156*VLOOKUP('Données projet'!$B$9,Paramètres!$A$1:$I$89,3,0)*VLOOKUP('Données projet'!$B$9,Paramètres!$A$1:$I$89,5,0)</f>
        <v>1.5961632016114892E-13</v>
      </c>
      <c r="P156" s="14">
        <f t="shared" si="141"/>
        <v>2.2708641912150958E-12</v>
      </c>
      <c r="Q156" s="22">
        <f t="shared" si="162"/>
        <v>4.2330868906469593E-12</v>
      </c>
      <c r="R156" s="60">
        <f t="shared" si="109"/>
        <v>293.33333333333752</v>
      </c>
      <c r="S156" s="60">
        <f ca="1">AVERAGE(OFFSET($R$3,0,0,'Données projet'!$E$9+1,1))-AVERAGE(OFFSET($H$3,0,0,'Données projet'!$E$9+1,1))</f>
        <v>146.40889017442277</v>
      </c>
      <c r="T156" s="60">
        <f t="shared" si="142"/>
        <v>70.859031694091868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-1.1368683772161603E-13</v>
      </c>
      <c r="AJ156" s="14">
        <f>AI156*VLOOKUP('Données projet'!$B$10,Paramètres!$A$1:$I$89,3,0)*VLOOKUP('Données projet'!$B$10,Paramètres!$A$1:$I$89,5,0)</f>
        <v>-1.0286385077051818E-13</v>
      </c>
      <c r="AK156" s="14" t="e">
        <f t="shared" si="164"/>
        <v>#NUM!</v>
      </c>
      <c r="AL156" s="22" t="e">
        <f t="shared" si="165"/>
        <v>#NUM!</v>
      </c>
      <c r="AM156" s="60" t="e">
        <f t="shared" si="113"/>
        <v>#NUM!</v>
      </c>
      <c r="AN156" s="60">
        <f ca="1">AVERAGE(OFFSET($AM$3,0,0,'Données projet'!$E$10+1,1))-AVERAGE(OFFSET($H$3,0,0,'Données projet'!$E$10+1,1))</f>
        <v>404.14319681142746</v>
      </c>
      <c r="AO156" s="60">
        <f t="shared" si="144"/>
        <v>203.5274665601915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-9.6633812063373625E-13</v>
      </c>
      <c r="BE156" s="14">
        <f>BD156*VLOOKUP('Données projet'!$B$11,Paramètres!$A$1:$I$89,3,0)*VLOOKUP('Données projet'!$B$11,Paramètres!$A$1:$I$89,5,0)</f>
        <v>-9.7986685432260874E-13</v>
      </c>
      <c r="BF156" s="14" t="e">
        <f t="shared" si="167"/>
        <v>#NUM!</v>
      </c>
      <c r="BG156" s="22" t="e">
        <f t="shared" si="168"/>
        <v>#NUM!</v>
      </c>
      <c r="BH156" s="60" t="e">
        <f t="shared" si="116"/>
        <v>#NUM!</v>
      </c>
      <c r="BI156" s="60">
        <f ca="1">AVERAGE(OFFSET($BH$3,0,0,'Données projet'!$E$11+1,1))-AVERAGE(OFFSET($H$3,0,0,'Données projet'!$E$11+1,1))</f>
        <v>350.3652766444938</v>
      </c>
      <c r="BJ156" s="60">
        <f t="shared" si="146"/>
        <v>197.04549436738586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-9.6633812063373625E-13</v>
      </c>
      <c r="BZ156" s="14">
        <f>BY156*VLOOKUP('Données projet'!$B$12,Paramètres!$A$1:$I$89,3,0)*VLOOKUP('Données projet'!$B$12,Paramètres!$A$1:$I$89,5,0)</f>
        <v>-9.3464223027694966E-13</v>
      </c>
      <c r="CA156" s="14" t="e">
        <f t="shared" si="170"/>
        <v>#NUM!</v>
      </c>
      <c r="CB156" s="22" t="e">
        <f t="shared" si="171"/>
        <v>#NUM!</v>
      </c>
      <c r="CC156" s="60" t="e">
        <f t="shared" si="119"/>
        <v>#NUM!</v>
      </c>
      <c r="CD156" s="60">
        <f ca="1">AVERAGE(OFFSET($CC$3,0,0,'Données projet'!$E$12+1,1))-AVERAGE(OFFSET($H$3,0,0,'Données projet'!$E$12+1,1))</f>
        <v>330.39429528665841</v>
      </c>
      <c r="CE156" s="60">
        <f t="shared" si="148"/>
        <v>186.45728006007261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-9.6633812063373625E-13</v>
      </c>
      <c r="CU156" s="18">
        <f>CT156*VLOOKUP('Données projet'!$B$13,Paramètres!$A$1:$I$89,3,0)*VLOOKUP('Données projet'!$B$13,Paramètres!$A$1:$I$89,5,0)</f>
        <v>-1.0401663530501537E-12</v>
      </c>
      <c r="CV156" s="14" t="e">
        <f t="shared" si="173"/>
        <v>#NUM!</v>
      </c>
      <c r="CW156" s="22" t="e">
        <f t="shared" si="174"/>
        <v>#NUM!</v>
      </c>
      <c r="CX156" s="60" t="e">
        <f t="shared" si="122"/>
        <v>#NUM!</v>
      </c>
      <c r="CY156" s="60">
        <f ca="1">AVERAGE(OFFSET($CX$3,0,0,'Données projet'!$E$13+1,1))-AVERAGE(OFFSET($H$3,0,0,'Données projet'!$E$13+1,1))</f>
        <v>376.96388721258387</v>
      </c>
      <c r="CZ156" s="60">
        <f t="shared" si="150"/>
        <v>211.14628470344377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1.7053025658242404E-13</v>
      </c>
      <c r="DP156" s="18">
        <f>DO156*VLOOKUP('Données projet'!$B$14,Paramètres!$A$1:$I$89,3,0)*VLOOKUP('Données projet'!$B$14,Paramètres!$A$1:$I$89,5,0)</f>
        <v>1.1439169611549005E-13</v>
      </c>
      <c r="DQ156" s="14">
        <f t="shared" si="176"/>
        <v>1.6918016515029816E-12</v>
      </c>
      <c r="DR156" s="22">
        <f t="shared" si="177"/>
        <v>3.1457867471021712E-12</v>
      </c>
      <c r="DS156" s="60">
        <f t="shared" si="125"/>
        <v>293.33333333333644</v>
      </c>
      <c r="DT156" s="60">
        <f ca="1">AVERAGE(OFFSET($DS$3,0,0,'Données projet'!$E$14+1,1))-AVERAGE(OFFSET($H$3,0,0,'Données projet'!$E$14+1,1))</f>
        <v>212.33913923444732</v>
      </c>
      <c r="DU156" s="60">
        <f t="shared" si="152"/>
        <v>183.51194426094372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0" t="e">
        <f t="shared" si="128"/>
        <v>#N/A</v>
      </c>
      <c r="EO156" s="60" t="e">
        <f ca="1">AVERAGE(OFFSET($EN$3,0,0,'Données projet'!$E$15+1,1))-AVERAGE(OFFSET($H$3,0,0,'Données projet'!$E$15+1,1))</f>
        <v>#N/A</v>
      </c>
      <c r="EP156" s="60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0" t="e">
        <f t="shared" si="131"/>
        <v>#N/A</v>
      </c>
      <c r="FJ156" s="60" t="e">
        <f ca="1">AVERAGE(OFFSET($FI$3,0,0,'Données projet'!$E$16+1,1))-AVERAGE(OFFSET($H$3,0,0,'Données projet'!$E$16+1,1))</f>
        <v>#N/A</v>
      </c>
      <c r="FK156" s="60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0" t="e">
        <f t="shared" si="134"/>
        <v>#N/A</v>
      </c>
      <c r="GE156" s="60" t="e">
        <f ca="1">AVERAGE(OFFSET($GD$3,0,0,'Données projet'!$E$17+1,1))-AVERAGE(OFFSET($H$3,0,0,'Données projet'!$E$17+1,1))</f>
        <v>#N/A</v>
      </c>
      <c r="GF156" s="60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0" t="e">
        <f t="shared" si="137"/>
        <v>#N/A</v>
      </c>
      <c r="GZ156" s="60" t="e">
        <f ca="1">AVERAGE(OFFSET($GY$3,0,0,'Données projet'!$E$18+1,1))-AVERAGE(OFFSET($H$3,0,0,'Données projet'!$E$18+1,1))</f>
        <v>#N/A</v>
      </c>
      <c r="HA156" s="60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5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2">
        <f t="shared" si="140"/>
        <v>23.132831417334586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8">
        <f t="shared" si="110"/>
        <v>480.06931471852465</v>
      </c>
      <c r="I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3.4106051316484809E-13</v>
      </c>
      <c r="O157" s="14">
        <f>N157*VLOOKUP('Données projet'!$B$9,Paramètres!$A$1:$I$89,3,0)*VLOOKUP('Données projet'!$B$9,Paramètres!$A$1:$I$89,5,0)</f>
        <v>1.5961632016114892E-13</v>
      </c>
      <c r="P157" s="14">
        <f t="shared" si="141"/>
        <v>2.2708641912150958E-12</v>
      </c>
      <c r="Q157" s="22">
        <f t="shared" si="162"/>
        <v>4.2330868906469593E-12</v>
      </c>
      <c r="R157" s="60">
        <f t="shared" si="109"/>
        <v>293.33333333333752</v>
      </c>
      <c r="S157" s="60">
        <f ca="1">AVERAGE(OFFSET($R$3,0,0,'Données projet'!$E$9+1,1))-AVERAGE(OFFSET($H$3,0,0,'Données projet'!$E$9+1,1))</f>
        <v>146.40889017442277</v>
      </c>
      <c r="T157" s="60">
        <f t="shared" si="142"/>
        <v>70.859031694091868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-1.1368683772161603E-13</v>
      </c>
      <c r="AJ157" s="14">
        <f>AI157*VLOOKUP('Données projet'!$B$10,Paramètres!$A$1:$I$89,3,0)*VLOOKUP('Données projet'!$B$10,Paramètres!$A$1:$I$89,5,0)</f>
        <v>-1.0286385077051818E-13</v>
      </c>
      <c r="AK157" s="14" t="e">
        <f t="shared" si="164"/>
        <v>#NUM!</v>
      </c>
      <c r="AL157" s="22" t="e">
        <f t="shared" si="165"/>
        <v>#NUM!</v>
      </c>
      <c r="AM157" s="60" t="e">
        <f t="shared" si="113"/>
        <v>#NUM!</v>
      </c>
      <c r="AN157" s="60">
        <f ca="1">AVERAGE(OFFSET($AM$3,0,0,'Données projet'!$E$10+1,1))-AVERAGE(OFFSET($H$3,0,0,'Données projet'!$E$10+1,1))</f>
        <v>404.14319681142746</v>
      </c>
      <c r="AO157" s="60">
        <f t="shared" si="144"/>
        <v>203.5274665601915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-9.6633812063373625E-13</v>
      </c>
      <c r="BE157" s="14">
        <f>BD157*VLOOKUP('Données projet'!$B$11,Paramètres!$A$1:$I$89,3,0)*VLOOKUP('Données projet'!$B$11,Paramètres!$A$1:$I$89,5,0)</f>
        <v>-9.7986685432260874E-13</v>
      </c>
      <c r="BF157" s="14" t="e">
        <f t="shared" si="167"/>
        <v>#NUM!</v>
      </c>
      <c r="BG157" s="22" t="e">
        <f t="shared" si="168"/>
        <v>#NUM!</v>
      </c>
      <c r="BH157" s="60" t="e">
        <f t="shared" si="116"/>
        <v>#NUM!</v>
      </c>
      <c r="BI157" s="60">
        <f ca="1">AVERAGE(OFFSET($BH$3,0,0,'Données projet'!$E$11+1,1))-AVERAGE(OFFSET($H$3,0,0,'Données projet'!$E$11+1,1))</f>
        <v>350.3652766444938</v>
      </c>
      <c r="BJ157" s="60">
        <f t="shared" si="146"/>
        <v>197.04549436738586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-9.6633812063373625E-13</v>
      </c>
      <c r="BZ157" s="14">
        <f>BY157*VLOOKUP('Données projet'!$B$12,Paramètres!$A$1:$I$89,3,0)*VLOOKUP('Données projet'!$B$12,Paramètres!$A$1:$I$89,5,0)</f>
        <v>-9.3464223027694966E-13</v>
      </c>
      <c r="CA157" s="14" t="e">
        <f t="shared" si="170"/>
        <v>#NUM!</v>
      </c>
      <c r="CB157" s="22" t="e">
        <f t="shared" si="171"/>
        <v>#NUM!</v>
      </c>
      <c r="CC157" s="60" t="e">
        <f t="shared" si="119"/>
        <v>#NUM!</v>
      </c>
      <c r="CD157" s="60">
        <f ca="1">AVERAGE(OFFSET($CC$3,0,0,'Données projet'!$E$12+1,1))-AVERAGE(OFFSET($H$3,0,0,'Données projet'!$E$12+1,1))</f>
        <v>330.39429528665841</v>
      </c>
      <c r="CE157" s="60">
        <f t="shared" si="148"/>
        <v>186.45728006007261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-9.6633812063373625E-13</v>
      </c>
      <c r="CU157" s="18">
        <f>CT157*VLOOKUP('Données projet'!$B$13,Paramètres!$A$1:$I$89,3,0)*VLOOKUP('Données projet'!$B$13,Paramètres!$A$1:$I$89,5,0)</f>
        <v>-1.0401663530501537E-12</v>
      </c>
      <c r="CV157" s="14" t="e">
        <f t="shared" si="173"/>
        <v>#NUM!</v>
      </c>
      <c r="CW157" s="22" t="e">
        <f t="shared" si="174"/>
        <v>#NUM!</v>
      </c>
      <c r="CX157" s="60" t="e">
        <f t="shared" si="122"/>
        <v>#NUM!</v>
      </c>
      <c r="CY157" s="60">
        <f ca="1">AVERAGE(OFFSET($CX$3,0,0,'Données projet'!$E$13+1,1))-AVERAGE(OFFSET($H$3,0,0,'Données projet'!$E$13+1,1))</f>
        <v>376.96388721258387</v>
      </c>
      <c r="CZ157" s="60">
        <f t="shared" si="150"/>
        <v>211.14628470344377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1.7053025658242404E-13</v>
      </c>
      <c r="DP157" s="18">
        <f>DO157*VLOOKUP('Données projet'!$B$14,Paramètres!$A$1:$I$89,3,0)*VLOOKUP('Données projet'!$B$14,Paramètres!$A$1:$I$89,5,0)</f>
        <v>1.1439169611549005E-13</v>
      </c>
      <c r="DQ157" s="14">
        <f t="shared" si="176"/>
        <v>1.6918016515029816E-12</v>
      </c>
      <c r="DR157" s="22">
        <f t="shared" si="177"/>
        <v>3.1457867471021712E-12</v>
      </c>
      <c r="DS157" s="60">
        <f t="shared" si="125"/>
        <v>293.33333333333644</v>
      </c>
      <c r="DT157" s="60">
        <f ca="1">AVERAGE(OFFSET($DS$3,0,0,'Données projet'!$E$14+1,1))-AVERAGE(OFFSET($H$3,0,0,'Données projet'!$E$14+1,1))</f>
        <v>212.33913923444732</v>
      </c>
      <c r="DU157" s="60">
        <f t="shared" si="152"/>
        <v>183.51194426094372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0" t="e">
        <f t="shared" si="128"/>
        <v>#N/A</v>
      </c>
      <c r="EO157" s="60" t="e">
        <f ca="1">AVERAGE(OFFSET($EN$3,0,0,'Données projet'!$E$15+1,1))-AVERAGE(OFFSET($H$3,0,0,'Données projet'!$E$15+1,1))</f>
        <v>#N/A</v>
      </c>
      <c r="EP157" s="60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0" t="e">
        <f t="shared" si="131"/>
        <v>#N/A</v>
      </c>
      <c r="FJ157" s="60" t="e">
        <f ca="1">AVERAGE(OFFSET($FI$3,0,0,'Données projet'!$E$16+1,1))-AVERAGE(OFFSET($H$3,0,0,'Données projet'!$E$16+1,1))</f>
        <v>#N/A</v>
      </c>
      <c r="FK157" s="60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0" t="e">
        <f t="shared" si="134"/>
        <v>#N/A</v>
      </c>
      <c r="GE157" s="60" t="e">
        <f ca="1">AVERAGE(OFFSET($GD$3,0,0,'Données projet'!$E$17+1,1))-AVERAGE(OFFSET($H$3,0,0,'Données projet'!$E$17+1,1))</f>
        <v>#N/A</v>
      </c>
      <c r="GF157" s="60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0" t="e">
        <f t="shared" si="137"/>
        <v>#N/A</v>
      </c>
      <c r="GZ157" s="60" t="e">
        <f ca="1">AVERAGE(OFFSET($GY$3,0,0,'Données projet'!$E$18+1,1))-AVERAGE(OFFSET($H$3,0,0,'Données projet'!$E$18+1,1))</f>
        <v>#N/A</v>
      </c>
      <c r="HA157" s="60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5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2">
        <f t="shared" si="140"/>
        <v>23.265509752734562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8">
        <f t="shared" si="110"/>
        <v>481.25134615267967</v>
      </c>
      <c r="I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3.4106051316484809E-13</v>
      </c>
      <c r="O158" s="14">
        <f>N158*VLOOKUP('Données projet'!$B$9,Paramètres!$A$1:$I$89,3,0)*VLOOKUP('Données projet'!$B$9,Paramètres!$A$1:$I$89,5,0)</f>
        <v>1.5961632016114892E-13</v>
      </c>
      <c r="P158" s="14">
        <f t="shared" si="141"/>
        <v>2.2708641912150958E-12</v>
      </c>
      <c r="Q158" s="22">
        <f t="shared" si="162"/>
        <v>4.2330868906469593E-12</v>
      </c>
      <c r="R158" s="60">
        <f t="shared" si="109"/>
        <v>293.33333333333752</v>
      </c>
      <c r="S158" s="60">
        <f ca="1">AVERAGE(OFFSET($R$3,0,0,'Données projet'!$E$9+1,1))-AVERAGE(OFFSET($H$3,0,0,'Données projet'!$E$9+1,1))</f>
        <v>146.40889017442277</v>
      </c>
      <c r="T158" s="60">
        <f t="shared" si="142"/>
        <v>70.859031694091868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-1.1368683772161603E-13</v>
      </c>
      <c r="AJ158" s="14">
        <f>AI158*VLOOKUP('Données projet'!$B$10,Paramètres!$A$1:$I$89,3,0)*VLOOKUP('Données projet'!$B$10,Paramètres!$A$1:$I$89,5,0)</f>
        <v>-1.0286385077051818E-13</v>
      </c>
      <c r="AK158" s="14" t="e">
        <f t="shared" si="164"/>
        <v>#NUM!</v>
      </c>
      <c r="AL158" s="22" t="e">
        <f t="shared" si="165"/>
        <v>#NUM!</v>
      </c>
      <c r="AM158" s="60" t="e">
        <f t="shared" si="113"/>
        <v>#NUM!</v>
      </c>
      <c r="AN158" s="60">
        <f ca="1">AVERAGE(OFFSET($AM$3,0,0,'Données projet'!$E$10+1,1))-AVERAGE(OFFSET($H$3,0,0,'Données projet'!$E$10+1,1))</f>
        <v>404.14319681142746</v>
      </c>
      <c r="AO158" s="60">
        <f t="shared" si="144"/>
        <v>203.5274665601915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-9.6633812063373625E-13</v>
      </c>
      <c r="BE158" s="14">
        <f>BD158*VLOOKUP('Données projet'!$B$11,Paramètres!$A$1:$I$89,3,0)*VLOOKUP('Données projet'!$B$11,Paramètres!$A$1:$I$89,5,0)</f>
        <v>-9.7986685432260874E-13</v>
      </c>
      <c r="BF158" s="14" t="e">
        <f t="shared" si="167"/>
        <v>#NUM!</v>
      </c>
      <c r="BG158" s="22" t="e">
        <f t="shared" si="168"/>
        <v>#NUM!</v>
      </c>
      <c r="BH158" s="60" t="e">
        <f t="shared" si="116"/>
        <v>#NUM!</v>
      </c>
      <c r="BI158" s="60">
        <f ca="1">AVERAGE(OFFSET($BH$3,0,0,'Données projet'!$E$11+1,1))-AVERAGE(OFFSET($H$3,0,0,'Données projet'!$E$11+1,1))</f>
        <v>350.3652766444938</v>
      </c>
      <c r="BJ158" s="60">
        <f t="shared" si="146"/>
        <v>197.04549436738586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-9.6633812063373625E-13</v>
      </c>
      <c r="BZ158" s="14">
        <f>BY158*VLOOKUP('Données projet'!$B$12,Paramètres!$A$1:$I$89,3,0)*VLOOKUP('Données projet'!$B$12,Paramètres!$A$1:$I$89,5,0)</f>
        <v>-9.3464223027694966E-13</v>
      </c>
      <c r="CA158" s="14" t="e">
        <f t="shared" si="170"/>
        <v>#NUM!</v>
      </c>
      <c r="CB158" s="22" t="e">
        <f t="shared" si="171"/>
        <v>#NUM!</v>
      </c>
      <c r="CC158" s="60" t="e">
        <f t="shared" si="119"/>
        <v>#NUM!</v>
      </c>
      <c r="CD158" s="60">
        <f ca="1">AVERAGE(OFFSET($CC$3,0,0,'Données projet'!$E$12+1,1))-AVERAGE(OFFSET($H$3,0,0,'Données projet'!$E$12+1,1))</f>
        <v>330.39429528665841</v>
      </c>
      <c r="CE158" s="60">
        <f t="shared" si="148"/>
        <v>186.45728006007261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-9.6633812063373625E-13</v>
      </c>
      <c r="CU158" s="18">
        <f>CT158*VLOOKUP('Données projet'!$B$13,Paramètres!$A$1:$I$89,3,0)*VLOOKUP('Données projet'!$B$13,Paramètres!$A$1:$I$89,5,0)</f>
        <v>-1.0401663530501537E-12</v>
      </c>
      <c r="CV158" s="14" t="e">
        <f t="shared" si="173"/>
        <v>#NUM!</v>
      </c>
      <c r="CW158" s="22" t="e">
        <f t="shared" si="174"/>
        <v>#NUM!</v>
      </c>
      <c r="CX158" s="60" t="e">
        <f t="shared" si="122"/>
        <v>#NUM!</v>
      </c>
      <c r="CY158" s="60">
        <f ca="1">AVERAGE(OFFSET($CX$3,0,0,'Données projet'!$E$13+1,1))-AVERAGE(OFFSET($H$3,0,0,'Données projet'!$E$13+1,1))</f>
        <v>376.96388721258387</v>
      </c>
      <c r="CZ158" s="60">
        <f t="shared" si="150"/>
        <v>211.14628470344377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1.7053025658242404E-13</v>
      </c>
      <c r="DP158" s="18">
        <f>DO158*VLOOKUP('Données projet'!$B$14,Paramètres!$A$1:$I$89,3,0)*VLOOKUP('Données projet'!$B$14,Paramètres!$A$1:$I$89,5,0)</f>
        <v>1.1439169611549005E-13</v>
      </c>
      <c r="DQ158" s="14">
        <f t="shared" si="176"/>
        <v>1.6918016515029816E-12</v>
      </c>
      <c r="DR158" s="22">
        <f t="shared" si="177"/>
        <v>3.1457867471021712E-12</v>
      </c>
      <c r="DS158" s="60">
        <f t="shared" si="125"/>
        <v>293.33333333333644</v>
      </c>
      <c r="DT158" s="60">
        <f ca="1">AVERAGE(OFFSET($DS$3,0,0,'Données projet'!$E$14+1,1))-AVERAGE(OFFSET($H$3,0,0,'Données projet'!$E$14+1,1))</f>
        <v>212.33913923444732</v>
      </c>
      <c r="DU158" s="60">
        <f t="shared" si="152"/>
        <v>183.51194426094372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0" t="e">
        <f t="shared" si="128"/>
        <v>#N/A</v>
      </c>
      <c r="EO158" s="60" t="e">
        <f ca="1">AVERAGE(OFFSET($EN$3,0,0,'Données projet'!$E$15+1,1))-AVERAGE(OFFSET($H$3,0,0,'Données projet'!$E$15+1,1))</f>
        <v>#N/A</v>
      </c>
      <c r="EP158" s="60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0" t="e">
        <f t="shared" si="131"/>
        <v>#N/A</v>
      </c>
      <c r="FJ158" s="60" t="e">
        <f ca="1">AVERAGE(OFFSET($FI$3,0,0,'Données projet'!$E$16+1,1))-AVERAGE(OFFSET($H$3,0,0,'Données projet'!$E$16+1,1))</f>
        <v>#N/A</v>
      </c>
      <c r="FK158" s="60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0" t="e">
        <f t="shared" si="134"/>
        <v>#N/A</v>
      </c>
      <c r="GE158" s="60" t="e">
        <f ca="1">AVERAGE(OFFSET($GD$3,0,0,'Données projet'!$E$17+1,1))-AVERAGE(OFFSET($H$3,0,0,'Données projet'!$E$17+1,1))</f>
        <v>#N/A</v>
      </c>
      <c r="GF158" s="60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0" t="e">
        <f t="shared" si="137"/>
        <v>#N/A</v>
      </c>
      <c r="GZ158" s="60" t="e">
        <f ca="1">AVERAGE(OFFSET($GY$3,0,0,'Données projet'!$E$18+1,1))-AVERAGE(OFFSET($H$3,0,0,'Données projet'!$E$18+1,1))</f>
        <v>#N/A</v>
      </c>
      <c r="HA158" s="60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5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2">
        <f t="shared" si="140"/>
        <v>23.398088487656484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8">
        <f t="shared" si="110"/>
        <v>482.433204116002</v>
      </c>
      <c r="I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3.4106051316484809E-13</v>
      </c>
      <c r="O159" s="14">
        <f>N159*VLOOKUP('Données projet'!$B$9,Paramètres!$A$1:$I$89,3,0)*VLOOKUP('Données projet'!$B$9,Paramètres!$A$1:$I$89,5,0)</f>
        <v>1.5961632016114892E-13</v>
      </c>
      <c r="P159" s="14">
        <f t="shared" si="141"/>
        <v>2.2708641912150958E-12</v>
      </c>
      <c r="Q159" s="22">
        <f t="shared" si="162"/>
        <v>4.2330868906469593E-12</v>
      </c>
      <c r="R159" s="60">
        <f t="shared" si="109"/>
        <v>293.33333333333752</v>
      </c>
      <c r="S159" s="60">
        <f ca="1">AVERAGE(OFFSET($R$3,0,0,'Données projet'!$E$9+1,1))-AVERAGE(OFFSET($H$3,0,0,'Données projet'!$E$9+1,1))</f>
        <v>146.40889017442277</v>
      </c>
      <c r="T159" s="60">
        <f t="shared" si="142"/>
        <v>70.859031694091868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-1.1368683772161603E-13</v>
      </c>
      <c r="AJ159" s="14">
        <f>AI159*VLOOKUP('Données projet'!$B$10,Paramètres!$A$1:$I$89,3,0)*VLOOKUP('Données projet'!$B$10,Paramètres!$A$1:$I$89,5,0)</f>
        <v>-1.0286385077051818E-13</v>
      </c>
      <c r="AK159" s="14" t="e">
        <f t="shared" si="164"/>
        <v>#NUM!</v>
      </c>
      <c r="AL159" s="22" t="e">
        <f t="shared" si="165"/>
        <v>#NUM!</v>
      </c>
      <c r="AM159" s="60" t="e">
        <f t="shared" si="113"/>
        <v>#NUM!</v>
      </c>
      <c r="AN159" s="60">
        <f ca="1">AVERAGE(OFFSET($AM$3,0,0,'Données projet'!$E$10+1,1))-AVERAGE(OFFSET($H$3,0,0,'Données projet'!$E$10+1,1))</f>
        <v>404.14319681142746</v>
      </c>
      <c r="AO159" s="60">
        <f t="shared" si="144"/>
        <v>203.5274665601915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-9.6633812063373625E-13</v>
      </c>
      <c r="BE159" s="14">
        <f>BD159*VLOOKUP('Données projet'!$B$11,Paramètres!$A$1:$I$89,3,0)*VLOOKUP('Données projet'!$B$11,Paramètres!$A$1:$I$89,5,0)</f>
        <v>-9.7986685432260874E-13</v>
      </c>
      <c r="BF159" s="14" t="e">
        <f t="shared" si="167"/>
        <v>#NUM!</v>
      </c>
      <c r="BG159" s="22" t="e">
        <f t="shared" si="168"/>
        <v>#NUM!</v>
      </c>
      <c r="BH159" s="60" t="e">
        <f t="shared" si="116"/>
        <v>#NUM!</v>
      </c>
      <c r="BI159" s="60">
        <f ca="1">AVERAGE(OFFSET($BH$3,0,0,'Données projet'!$E$11+1,1))-AVERAGE(OFFSET($H$3,0,0,'Données projet'!$E$11+1,1))</f>
        <v>350.3652766444938</v>
      </c>
      <c r="BJ159" s="60">
        <f t="shared" si="146"/>
        <v>197.04549436738586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-9.6633812063373625E-13</v>
      </c>
      <c r="BZ159" s="14">
        <f>BY159*VLOOKUP('Données projet'!$B$12,Paramètres!$A$1:$I$89,3,0)*VLOOKUP('Données projet'!$B$12,Paramètres!$A$1:$I$89,5,0)</f>
        <v>-9.3464223027694966E-13</v>
      </c>
      <c r="CA159" s="14" t="e">
        <f t="shared" si="170"/>
        <v>#NUM!</v>
      </c>
      <c r="CB159" s="22" t="e">
        <f t="shared" si="171"/>
        <v>#NUM!</v>
      </c>
      <c r="CC159" s="60" t="e">
        <f t="shared" si="119"/>
        <v>#NUM!</v>
      </c>
      <c r="CD159" s="60">
        <f ca="1">AVERAGE(OFFSET($CC$3,0,0,'Données projet'!$E$12+1,1))-AVERAGE(OFFSET($H$3,0,0,'Données projet'!$E$12+1,1))</f>
        <v>330.39429528665841</v>
      </c>
      <c r="CE159" s="60">
        <f t="shared" si="148"/>
        <v>186.45728006007261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-9.6633812063373625E-13</v>
      </c>
      <c r="CU159" s="18">
        <f>CT159*VLOOKUP('Données projet'!$B$13,Paramètres!$A$1:$I$89,3,0)*VLOOKUP('Données projet'!$B$13,Paramètres!$A$1:$I$89,5,0)</f>
        <v>-1.0401663530501537E-12</v>
      </c>
      <c r="CV159" s="14" t="e">
        <f t="shared" si="173"/>
        <v>#NUM!</v>
      </c>
      <c r="CW159" s="22" t="e">
        <f t="shared" si="174"/>
        <v>#NUM!</v>
      </c>
      <c r="CX159" s="60" t="e">
        <f t="shared" si="122"/>
        <v>#NUM!</v>
      </c>
      <c r="CY159" s="60">
        <f ca="1">AVERAGE(OFFSET($CX$3,0,0,'Données projet'!$E$13+1,1))-AVERAGE(OFFSET($H$3,0,0,'Données projet'!$E$13+1,1))</f>
        <v>376.96388721258387</v>
      </c>
      <c r="CZ159" s="60">
        <f t="shared" si="150"/>
        <v>211.14628470344377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1.7053025658242404E-13</v>
      </c>
      <c r="DP159" s="18">
        <f>DO159*VLOOKUP('Données projet'!$B$14,Paramètres!$A$1:$I$89,3,0)*VLOOKUP('Données projet'!$B$14,Paramètres!$A$1:$I$89,5,0)</f>
        <v>1.1439169611549005E-13</v>
      </c>
      <c r="DQ159" s="14">
        <f t="shared" si="176"/>
        <v>1.6918016515029816E-12</v>
      </c>
      <c r="DR159" s="22">
        <f t="shared" si="177"/>
        <v>3.1457867471021712E-12</v>
      </c>
      <c r="DS159" s="60">
        <f t="shared" si="125"/>
        <v>293.33333333333644</v>
      </c>
      <c r="DT159" s="60">
        <f ca="1">AVERAGE(OFFSET($DS$3,0,0,'Données projet'!$E$14+1,1))-AVERAGE(OFFSET($H$3,0,0,'Données projet'!$E$14+1,1))</f>
        <v>212.33913923444732</v>
      </c>
      <c r="DU159" s="60">
        <f t="shared" si="152"/>
        <v>183.51194426094372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0" t="e">
        <f t="shared" si="128"/>
        <v>#N/A</v>
      </c>
      <c r="EO159" s="60" t="e">
        <f ca="1">AVERAGE(OFFSET($EN$3,0,0,'Données projet'!$E$15+1,1))-AVERAGE(OFFSET($H$3,0,0,'Données projet'!$E$15+1,1))</f>
        <v>#N/A</v>
      </c>
      <c r="EP159" s="60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0" t="e">
        <f t="shared" si="131"/>
        <v>#N/A</v>
      </c>
      <c r="FJ159" s="60" t="e">
        <f ca="1">AVERAGE(OFFSET($FI$3,0,0,'Données projet'!$E$16+1,1))-AVERAGE(OFFSET($H$3,0,0,'Données projet'!$E$16+1,1))</f>
        <v>#N/A</v>
      </c>
      <c r="FK159" s="60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0" t="e">
        <f t="shared" si="134"/>
        <v>#N/A</v>
      </c>
      <c r="GE159" s="60" t="e">
        <f ca="1">AVERAGE(OFFSET($GD$3,0,0,'Données projet'!$E$17+1,1))-AVERAGE(OFFSET($H$3,0,0,'Données projet'!$E$17+1,1))</f>
        <v>#N/A</v>
      </c>
      <c r="GF159" s="60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0" t="e">
        <f t="shared" si="137"/>
        <v>#N/A</v>
      </c>
      <c r="GZ159" s="60" t="e">
        <f ca="1">AVERAGE(OFFSET($GY$3,0,0,'Données projet'!$E$18+1,1))-AVERAGE(OFFSET($H$3,0,0,'Données projet'!$E$18+1,1))</f>
        <v>#N/A</v>
      </c>
      <c r="HA159" s="60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5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2">
        <f t="shared" si="140"/>
        <v>23.530568334626178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8">
        <f t="shared" si="110"/>
        <v>483.61488984947425</v>
      </c>
      <c r="I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3.4106051316484809E-13</v>
      </c>
      <c r="O160" s="14">
        <f>N160*VLOOKUP('Données projet'!$B$9,Paramètres!$A$1:$I$89,3,0)*VLOOKUP('Données projet'!$B$9,Paramètres!$A$1:$I$89,5,0)</f>
        <v>1.5961632016114892E-13</v>
      </c>
      <c r="P160" s="14">
        <f t="shared" si="141"/>
        <v>2.2708641912150958E-12</v>
      </c>
      <c r="Q160" s="22">
        <f t="shared" si="162"/>
        <v>4.2330868906469593E-12</v>
      </c>
      <c r="R160" s="60">
        <f t="shared" si="109"/>
        <v>293.33333333333752</v>
      </c>
      <c r="S160" s="60">
        <f ca="1">AVERAGE(OFFSET($R$3,0,0,'Données projet'!$E$9+1,1))-AVERAGE(OFFSET($H$3,0,0,'Données projet'!$E$9+1,1))</f>
        <v>146.40889017442277</v>
      </c>
      <c r="T160" s="60">
        <f t="shared" si="142"/>
        <v>70.859031694091868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-1.1368683772161603E-13</v>
      </c>
      <c r="AJ160" s="14">
        <f>AI160*VLOOKUP('Données projet'!$B$10,Paramètres!$A$1:$I$89,3,0)*VLOOKUP('Données projet'!$B$10,Paramètres!$A$1:$I$89,5,0)</f>
        <v>-1.0286385077051818E-13</v>
      </c>
      <c r="AK160" s="14" t="e">
        <f t="shared" si="164"/>
        <v>#NUM!</v>
      </c>
      <c r="AL160" s="22" t="e">
        <f t="shared" si="165"/>
        <v>#NUM!</v>
      </c>
      <c r="AM160" s="60" t="e">
        <f t="shared" si="113"/>
        <v>#NUM!</v>
      </c>
      <c r="AN160" s="60">
        <f ca="1">AVERAGE(OFFSET($AM$3,0,0,'Données projet'!$E$10+1,1))-AVERAGE(OFFSET($H$3,0,0,'Données projet'!$E$10+1,1))</f>
        <v>404.14319681142746</v>
      </c>
      <c r="AO160" s="60">
        <f t="shared" si="144"/>
        <v>203.5274665601915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-9.6633812063373625E-13</v>
      </c>
      <c r="BE160" s="14">
        <f>BD160*VLOOKUP('Données projet'!$B$11,Paramètres!$A$1:$I$89,3,0)*VLOOKUP('Données projet'!$B$11,Paramètres!$A$1:$I$89,5,0)</f>
        <v>-9.7986685432260874E-13</v>
      </c>
      <c r="BF160" s="14" t="e">
        <f t="shared" si="167"/>
        <v>#NUM!</v>
      </c>
      <c r="BG160" s="22" t="e">
        <f t="shared" si="168"/>
        <v>#NUM!</v>
      </c>
      <c r="BH160" s="60" t="e">
        <f t="shared" si="116"/>
        <v>#NUM!</v>
      </c>
      <c r="BI160" s="60">
        <f ca="1">AVERAGE(OFFSET($BH$3,0,0,'Données projet'!$E$11+1,1))-AVERAGE(OFFSET($H$3,0,0,'Données projet'!$E$11+1,1))</f>
        <v>350.3652766444938</v>
      </c>
      <c r="BJ160" s="60">
        <f t="shared" si="146"/>
        <v>197.04549436738586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-9.6633812063373625E-13</v>
      </c>
      <c r="BZ160" s="14">
        <f>BY160*VLOOKUP('Données projet'!$B$12,Paramètres!$A$1:$I$89,3,0)*VLOOKUP('Données projet'!$B$12,Paramètres!$A$1:$I$89,5,0)</f>
        <v>-9.3464223027694966E-13</v>
      </c>
      <c r="CA160" s="14" t="e">
        <f t="shared" si="170"/>
        <v>#NUM!</v>
      </c>
      <c r="CB160" s="22" t="e">
        <f t="shared" si="171"/>
        <v>#NUM!</v>
      </c>
      <c r="CC160" s="60" t="e">
        <f t="shared" si="119"/>
        <v>#NUM!</v>
      </c>
      <c r="CD160" s="60">
        <f ca="1">AVERAGE(OFFSET($CC$3,0,0,'Données projet'!$E$12+1,1))-AVERAGE(OFFSET($H$3,0,0,'Données projet'!$E$12+1,1))</f>
        <v>330.39429528665841</v>
      </c>
      <c r="CE160" s="60">
        <f t="shared" si="148"/>
        <v>186.45728006007261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-9.6633812063373625E-13</v>
      </c>
      <c r="CU160" s="18">
        <f>CT160*VLOOKUP('Données projet'!$B$13,Paramètres!$A$1:$I$89,3,0)*VLOOKUP('Données projet'!$B$13,Paramètres!$A$1:$I$89,5,0)</f>
        <v>-1.0401663530501537E-12</v>
      </c>
      <c r="CV160" s="14" t="e">
        <f t="shared" si="173"/>
        <v>#NUM!</v>
      </c>
      <c r="CW160" s="22" t="e">
        <f t="shared" si="174"/>
        <v>#NUM!</v>
      </c>
      <c r="CX160" s="60" t="e">
        <f t="shared" si="122"/>
        <v>#NUM!</v>
      </c>
      <c r="CY160" s="60">
        <f ca="1">AVERAGE(OFFSET($CX$3,0,0,'Données projet'!$E$13+1,1))-AVERAGE(OFFSET($H$3,0,0,'Données projet'!$E$13+1,1))</f>
        <v>376.96388721258387</v>
      </c>
      <c r="CZ160" s="60">
        <f t="shared" si="150"/>
        <v>211.14628470344377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1.7053025658242404E-13</v>
      </c>
      <c r="DP160" s="18">
        <f>DO160*VLOOKUP('Données projet'!$B$14,Paramètres!$A$1:$I$89,3,0)*VLOOKUP('Données projet'!$B$14,Paramètres!$A$1:$I$89,5,0)</f>
        <v>1.1439169611549005E-13</v>
      </c>
      <c r="DQ160" s="14">
        <f t="shared" si="176"/>
        <v>1.6918016515029816E-12</v>
      </c>
      <c r="DR160" s="22">
        <f t="shared" si="177"/>
        <v>3.1457867471021712E-12</v>
      </c>
      <c r="DS160" s="60">
        <f t="shared" si="125"/>
        <v>293.33333333333644</v>
      </c>
      <c r="DT160" s="60">
        <f ca="1">AVERAGE(OFFSET($DS$3,0,0,'Données projet'!$E$14+1,1))-AVERAGE(OFFSET($H$3,0,0,'Données projet'!$E$14+1,1))</f>
        <v>212.33913923444732</v>
      </c>
      <c r="DU160" s="60">
        <f t="shared" si="152"/>
        <v>183.51194426094372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0" t="e">
        <f t="shared" si="128"/>
        <v>#N/A</v>
      </c>
      <c r="EO160" s="60" t="e">
        <f ca="1">AVERAGE(OFFSET($EN$3,0,0,'Données projet'!$E$15+1,1))-AVERAGE(OFFSET($H$3,0,0,'Données projet'!$E$15+1,1))</f>
        <v>#N/A</v>
      </c>
      <c r="EP160" s="60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0" t="e">
        <f t="shared" si="131"/>
        <v>#N/A</v>
      </c>
      <c r="FJ160" s="60" t="e">
        <f ca="1">AVERAGE(OFFSET($FI$3,0,0,'Données projet'!$E$16+1,1))-AVERAGE(OFFSET($H$3,0,0,'Données projet'!$E$16+1,1))</f>
        <v>#N/A</v>
      </c>
      <c r="FK160" s="60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0" t="e">
        <f t="shared" si="134"/>
        <v>#N/A</v>
      </c>
      <c r="GE160" s="60" t="e">
        <f ca="1">AVERAGE(OFFSET($GD$3,0,0,'Données projet'!$E$17+1,1))-AVERAGE(OFFSET($H$3,0,0,'Données projet'!$E$17+1,1))</f>
        <v>#N/A</v>
      </c>
      <c r="GF160" s="60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0" t="e">
        <f t="shared" si="137"/>
        <v>#N/A</v>
      </c>
      <c r="GZ160" s="60" t="e">
        <f ca="1">AVERAGE(OFFSET($GY$3,0,0,'Données projet'!$E$18+1,1))-AVERAGE(OFFSET($H$3,0,0,'Données projet'!$E$18+1,1))</f>
        <v>#N/A</v>
      </c>
      <c r="HA160" s="60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5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2">
        <f t="shared" si="140"/>
        <v>23.662949996567761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8">
        <f t="shared" si="110"/>
        <v>484.79640457735582</v>
      </c>
      <c r="I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3.4106051316484809E-13</v>
      </c>
      <c r="O161" s="14">
        <f>N161*VLOOKUP('Données projet'!$B$9,Paramètres!$A$1:$I$89,3,0)*VLOOKUP('Données projet'!$B$9,Paramètres!$A$1:$I$89,5,0)</f>
        <v>1.5961632016114892E-13</v>
      </c>
      <c r="P161" s="14">
        <f t="shared" si="141"/>
        <v>2.2708641912150958E-12</v>
      </c>
      <c r="Q161" s="22">
        <f t="shared" si="162"/>
        <v>4.2330868906469593E-12</v>
      </c>
      <c r="R161" s="60">
        <f t="shared" si="109"/>
        <v>293.33333333333752</v>
      </c>
      <c r="S161" s="60">
        <f ca="1">AVERAGE(OFFSET($R$3,0,0,'Données projet'!$E$9+1,1))-AVERAGE(OFFSET($H$3,0,0,'Données projet'!$E$9+1,1))</f>
        <v>146.40889017442277</v>
      </c>
      <c r="T161" s="60">
        <f t="shared" si="142"/>
        <v>70.859031694091868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-1.1368683772161603E-13</v>
      </c>
      <c r="AJ161" s="14">
        <f>AI161*VLOOKUP('Données projet'!$B$10,Paramètres!$A$1:$I$89,3,0)*VLOOKUP('Données projet'!$B$10,Paramètres!$A$1:$I$89,5,0)</f>
        <v>-1.0286385077051818E-13</v>
      </c>
      <c r="AK161" s="14" t="e">
        <f t="shared" si="164"/>
        <v>#NUM!</v>
      </c>
      <c r="AL161" s="22" t="e">
        <f t="shared" si="165"/>
        <v>#NUM!</v>
      </c>
      <c r="AM161" s="60" t="e">
        <f t="shared" si="113"/>
        <v>#NUM!</v>
      </c>
      <c r="AN161" s="60">
        <f ca="1">AVERAGE(OFFSET($AM$3,0,0,'Données projet'!$E$10+1,1))-AVERAGE(OFFSET($H$3,0,0,'Données projet'!$E$10+1,1))</f>
        <v>404.14319681142746</v>
      </c>
      <c r="AO161" s="60">
        <f t="shared" si="144"/>
        <v>203.5274665601915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-9.6633812063373625E-13</v>
      </c>
      <c r="BE161" s="14">
        <f>BD161*VLOOKUP('Données projet'!$B$11,Paramètres!$A$1:$I$89,3,0)*VLOOKUP('Données projet'!$B$11,Paramètres!$A$1:$I$89,5,0)</f>
        <v>-9.7986685432260874E-13</v>
      </c>
      <c r="BF161" s="14" t="e">
        <f t="shared" si="167"/>
        <v>#NUM!</v>
      </c>
      <c r="BG161" s="22" t="e">
        <f t="shared" si="168"/>
        <v>#NUM!</v>
      </c>
      <c r="BH161" s="60" t="e">
        <f t="shared" si="116"/>
        <v>#NUM!</v>
      </c>
      <c r="BI161" s="60">
        <f ca="1">AVERAGE(OFFSET($BH$3,0,0,'Données projet'!$E$11+1,1))-AVERAGE(OFFSET($H$3,0,0,'Données projet'!$E$11+1,1))</f>
        <v>350.3652766444938</v>
      </c>
      <c r="BJ161" s="60">
        <f t="shared" si="146"/>
        <v>197.04549436738586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-9.6633812063373625E-13</v>
      </c>
      <c r="BZ161" s="14">
        <f>BY161*VLOOKUP('Données projet'!$B$12,Paramètres!$A$1:$I$89,3,0)*VLOOKUP('Données projet'!$B$12,Paramètres!$A$1:$I$89,5,0)</f>
        <v>-9.3464223027694966E-13</v>
      </c>
      <c r="CA161" s="14" t="e">
        <f t="shared" si="170"/>
        <v>#NUM!</v>
      </c>
      <c r="CB161" s="22" t="e">
        <f t="shared" si="171"/>
        <v>#NUM!</v>
      </c>
      <c r="CC161" s="60" t="e">
        <f t="shared" si="119"/>
        <v>#NUM!</v>
      </c>
      <c r="CD161" s="60">
        <f ca="1">AVERAGE(OFFSET($CC$3,0,0,'Données projet'!$E$12+1,1))-AVERAGE(OFFSET($H$3,0,0,'Données projet'!$E$12+1,1))</f>
        <v>330.39429528665841</v>
      </c>
      <c r="CE161" s="60">
        <f t="shared" si="148"/>
        <v>186.45728006007261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-9.6633812063373625E-13</v>
      </c>
      <c r="CU161" s="18">
        <f>CT161*VLOOKUP('Données projet'!$B$13,Paramètres!$A$1:$I$89,3,0)*VLOOKUP('Données projet'!$B$13,Paramètres!$A$1:$I$89,5,0)</f>
        <v>-1.0401663530501537E-12</v>
      </c>
      <c r="CV161" s="14" t="e">
        <f t="shared" si="173"/>
        <v>#NUM!</v>
      </c>
      <c r="CW161" s="22" t="e">
        <f t="shared" si="174"/>
        <v>#NUM!</v>
      </c>
      <c r="CX161" s="60" t="e">
        <f t="shared" si="122"/>
        <v>#NUM!</v>
      </c>
      <c r="CY161" s="60">
        <f ca="1">AVERAGE(OFFSET($CX$3,0,0,'Données projet'!$E$13+1,1))-AVERAGE(OFFSET($H$3,0,0,'Données projet'!$E$13+1,1))</f>
        <v>376.96388721258387</v>
      </c>
      <c r="CZ161" s="60">
        <f t="shared" si="150"/>
        <v>211.14628470344377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1.7053025658242404E-13</v>
      </c>
      <c r="DP161" s="18">
        <f>DO161*VLOOKUP('Données projet'!$B$14,Paramètres!$A$1:$I$89,3,0)*VLOOKUP('Données projet'!$B$14,Paramètres!$A$1:$I$89,5,0)</f>
        <v>1.1439169611549005E-13</v>
      </c>
      <c r="DQ161" s="14">
        <f t="shared" si="176"/>
        <v>1.6918016515029816E-12</v>
      </c>
      <c r="DR161" s="22">
        <f t="shared" si="177"/>
        <v>3.1457867471021712E-12</v>
      </c>
      <c r="DS161" s="60">
        <f t="shared" si="125"/>
        <v>293.33333333333644</v>
      </c>
      <c r="DT161" s="60">
        <f ca="1">AVERAGE(OFFSET($DS$3,0,0,'Données projet'!$E$14+1,1))-AVERAGE(OFFSET($H$3,0,0,'Données projet'!$E$14+1,1))</f>
        <v>212.33913923444732</v>
      </c>
      <c r="DU161" s="60">
        <f t="shared" si="152"/>
        <v>183.51194426094372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0" t="e">
        <f t="shared" si="128"/>
        <v>#N/A</v>
      </c>
      <c r="EO161" s="60" t="e">
        <f ca="1">AVERAGE(OFFSET($EN$3,0,0,'Données projet'!$E$15+1,1))-AVERAGE(OFFSET($H$3,0,0,'Données projet'!$E$15+1,1))</f>
        <v>#N/A</v>
      </c>
      <c r="EP161" s="60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0" t="e">
        <f t="shared" si="131"/>
        <v>#N/A</v>
      </c>
      <c r="FJ161" s="60" t="e">
        <f ca="1">AVERAGE(OFFSET($FI$3,0,0,'Données projet'!$E$16+1,1))-AVERAGE(OFFSET($H$3,0,0,'Données projet'!$E$16+1,1))</f>
        <v>#N/A</v>
      </c>
      <c r="FK161" s="60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0" t="e">
        <f t="shared" si="134"/>
        <v>#N/A</v>
      </c>
      <c r="GE161" s="60" t="e">
        <f ca="1">AVERAGE(OFFSET($GD$3,0,0,'Données projet'!$E$17+1,1))-AVERAGE(OFFSET($H$3,0,0,'Données projet'!$E$17+1,1))</f>
        <v>#N/A</v>
      </c>
      <c r="GF161" s="60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0" t="e">
        <f t="shared" si="137"/>
        <v>#N/A</v>
      </c>
      <c r="GZ161" s="60" t="e">
        <f ca="1">AVERAGE(OFFSET($GY$3,0,0,'Données projet'!$E$18+1,1))-AVERAGE(OFFSET($H$3,0,0,'Données projet'!$E$18+1,1))</f>
        <v>#N/A</v>
      </c>
      <c r="HA161" s="60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5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2">
        <f t="shared" si="140"/>
        <v>23.795234166993069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8">
        <f t="shared" si="110"/>
        <v>485.97774950751329</v>
      </c>
      <c r="I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3.4106051316484809E-13</v>
      </c>
      <c r="O162" s="14">
        <f>N162*VLOOKUP('Données projet'!$B$9,Paramètres!$A$1:$I$89,3,0)*VLOOKUP('Données projet'!$B$9,Paramètres!$A$1:$I$89,5,0)</f>
        <v>1.5961632016114892E-13</v>
      </c>
      <c r="P162" s="14">
        <f t="shared" si="141"/>
        <v>2.2708641912150958E-12</v>
      </c>
      <c r="Q162" s="22">
        <f t="shared" si="162"/>
        <v>4.2330868906469593E-12</v>
      </c>
      <c r="R162" s="60">
        <f t="shared" si="109"/>
        <v>293.33333333333752</v>
      </c>
      <c r="S162" s="60">
        <f ca="1">AVERAGE(OFFSET($R$3,0,0,'Données projet'!$E$9+1,1))-AVERAGE(OFFSET($H$3,0,0,'Données projet'!$E$9+1,1))</f>
        <v>146.40889017442277</v>
      </c>
      <c r="T162" s="60">
        <f t="shared" si="142"/>
        <v>70.859031694091868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-1.1368683772161603E-13</v>
      </c>
      <c r="AJ162" s="14">
        <f>AI162*VLOOKUP('Données projet'!$B$10,Paramètres!$A$1:$I$89,3,0)*VLOOKUP('Données projet'!$B$10,Paramètres!$A$1:$I$89,5,0)</f>
        <v>-1.0286385077051818E-13</v>
      </c>
      <c r="AK162" s="14" t="e">
        <f t="shared" si="164"/>
        <v>#NUM!</v>
      </c>
      <c r="AL162" s="22" t="e">
        <f t="shared" si="165"/>
        <v>#NUM!</v>
      </c>
      <c r="AM162" s="60" t="e">
        <f t="shared" si="113"/>
        <v>#NUM!</v>
      </c>
      <c r="AN162" s="60">
        <f ca="1">AVERAGE(OFFSET($AM$3,0,0,'Données projet'!$E$10+1,1))-AVERAGE(OFFSET($H$3,0,0,'Données projet'!$E$10+1,1))</f>
        <v>404.14319681142746</v>
      </c>
      <c r="AO162" s="60">
        <f t="shared" si="144"/>
        <v>203.5274665601915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-9.6633812063373625E-13</v>
      </c>
      <c r="BE162" s="14">
        <f>BD162*VLOOKUP('Données projet'!$B$11,Paramètres!$A$1:$I$89,3,0)*VLOOKUP('Données projet'!$B$11,Paramètres!$A$1:$I$89,5,0)</f>
        <v>-9.7986685432260874E-13</v>
      </c>
      <c r="BF162" s="14" t="e">
        <f t="shared" si="167"/>
        <v>#NUM!</v>
      </c>
      <c r="BG162" s="22" t="e">
        <f t="shared" si="168"/>
        <v>#NUM!</v>
      </c>
      <c r="BH162" s="60" t="e">
        <f t="shared" si="116"/>
        <v>#NUM!</v>
      </c>
      <c r="BI162" s="60">
        <f ca="1">AVERAGE(OFFSET($BH$3,0,0,'Données projet'!$E$11+1,1))-AVERAGE(OFFSET($H$3,0,0,'Données projet'!$E$11+1,1))</f>
        <v>350.3652766444938</v>
      </c>
      <c r="BJ162" s="60">
        <f t="shared" si="146"/>
        <v>197.04549436738586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-9.6633812063373625E-13</v>
      </c>
      <c r="BZ162" s="14">
        <f>BY162*VLOOKUP('Données projet'!$B$12,Paramètres!$A$1:$I$89,3,0)*VLOOKUP('Données projet'!$B$12,Paramètres!$A$1:$I$89,5,0)</f>
        <v>-9.3464223027694966E-13</v>
      </c>
      <c r="CA162" s="14" t="e">
        <f t="shared" si="170"/>
        <v>#NUM!</v>
      </c>
      <c r="CB162" s="22" t="e">
        <f t="shared" si="171"/>
        <v>#NUM!</v>
      </c>
      <c r="CC162" s="60" t="e">
        <f t="shared" si="119"/>
        <v>#NUM!</v>
      </c>
      <c r="CD162" s="60">
        <f ca="1">AVERAGE(OFFSET($CC$3,0,0,'Données projet'!$E$12+1,1))-AVERAGE(OFFSET($H$3,0,0,'Données projet'!$E$12+1,1))</f>
        <v>330.39429528665841</v>
      </c>
      <c r="CE162" s="60">
        <f t="shared" si="148"/>
        <v>186.45728006007261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-9.6633812063373625E-13</v>
      </c>
      <c r="CU162" s="18">
        <f>CT162*VLOOKUP('Données projet'!$B$13,Paramètres!$A$1:$I$89,3,0)*VLOOKUP('Données projet'!$B$13,Paramètres!$A$1:$I$89,5,0)</f>
        <v>-1.0401663530501537E-12</v>
      </c>
      <c r="CV162" s="14" t="e">
        <f t="shared" si="173"/>
        <v>#NUM!</v>
      </c>
      <c r="CW162" s="22" t="e">
        <f t="shared" si="174"/>
        <v>#NUM!</v>
      </c>
      <c r="CX162" s="60" t="e">
        <f t="shared" si="122"/>
        <v>#NUM!</v>
      </c>
      <c r="CY162" s="60">
        <f ca="1">AVERAGE(OFFSET($CX$3,0,0,'Données projet'!$E$13+1,1))-AVERAGE(OFFSET($H$3,0,0,'Données projet'!$E$13+1,1))</f>
        <v>376.96388721258387</v>
      </c>
      <c r="CZ162" s="60">
        <f t="shared" si="150"/>
        <v>211.14628470344377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1.7053025658242404E-13</v>
      </c>
      <c r="DP162" s="18">
        <f>DO162*VLOOKUP('Données projet'!$B$14,Paramètres!$A$1:$I$89,3,0)*VLOOKUP('Données projet'!$B$14,Paramètres!$A$1:$I$89,5,0)</f>
        <v>1.1439169611549005E-13</v>
      </c>
      <c r="DQ162" s="14">
        <f t="shared" si="176"/>
        <v>1.6918016515029816E-12</v>
      </c>
      <c r="DR162" s="22">
        <f t="shared" si="177"/>
        <v>3.1457867471021712E-12</v>
      </c>
      <c r="DS162" s="60">
        <f t="shared" si="125"/>
        <v>293.33333333333644</v>
      </c>
      <c r="DT162" s="60">
        <f ca="1">AVERAGE(OFFSET($DS$3,0,0,'Données projet'!$E$14+1,1))-AVERAGE(OFFSET($H$3,0,0,'Données projet'!$E$14+1,1))</f>
        <v>212.33913923444732</v>
      </c>
      <c r="DU162" s="60">
        <f t="shared" si="152"/>
        <v>183.51194426094372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0" t="e">
        <f t="shared" si="128"/>
        <v>#N/A</v>
      </c>
      <c r="EO162" s="60" t="e">
        <f ca="1">AVERAGE(OFFSET($EN$3,0,0,'Données projet'!$E$15+1,1))-AVERAGE(OFFSET($H$3,0,0,'Données projet'!$E$15+1,1))</f>
        <v>#N/A</v>
      </c>
      <c r="EP162" s="60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0" t="e">
        <f t="shared" si="131"/>
        <v>#N/A</v>
      </c>
      <c r="FJ162" s="60" t="e">
        <f ca="1">AVERAGE(OFFSET($FI$3,0,0,'Données projet'!$E$16+1,1))-AVERAGE(OFFSET($H$3,0,0,'Données projet'!$E$16+1,1))</f>
        <v>#N/A</v>
      </c>
      <c r="FK162" s="60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0" t="e">
        <f t="shared" si="134"/>
        <v>#N/A</v>
      </c>
      <c r="GE162" s="60" t="e">
        <f ca="1">AVERAGE(OFFSET($GD$3,0,0,'Données projet'!$E$17+1,1))-AVERAGE(OFFSET($H$3,0,0,'Données projet'!$E$17+1,1))</f>
        <v>#N/A</v>
      </c>
      <c r="GF162" s="60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0" t="e">
        <f t="shared" si="137"/>
        <v>#N/A</v>
      </c>
      <c r="GZ162" s="60" t="e">
        <f ca="1">AVERAGE(OFFSET($GY$3,0,0,'Données projet'!$E$18+1,1))-AVERAGE(OFFSET($H$3,0,0,'Données projet'!$E$18+1,1))</f>
        <v>#N/A</v>
      </c>
      <c r="HA162" s="60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5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2">
        <f t="shared" si="140"/>
        <v>23.927421530185995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8">
        <f t="shared" si="110"/>
        <v>487.15892583174093</v>
      </c>
      <c r="I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3.4106051316484809E-13</v>
      </c>
      <c r="O163" s="14">
        <f>N163*VLOOKUP('Données projet'!$B$9,Paramètres!$A$1:$I$89,3,0)*VLOOKUP('Données projet'!$B$9,Paramètres!$A$1:$I$89,5,0)</f>
        <v>1.5961632016114892E-13</v>
      </c>
      <c r="P163" s="14">
        <f t="shared" si="141"/>
        <v>2.2708641912150958E-12</v>
      </c>
      <c r="Q163" s="22">
        <f t="shared" si="162"/>
        <v>4.2330868906469593E-12</v>
      </c>
      <c r="R163" s="60">
        <f t="shared" si="109"/>
        <v>293.33333333333752</v>
      </c>
      <c r="S163" s="60">
        <f ca="1">AVERAGE(OFFSET($R$3,0,0,'Données projet'!$E$9+1,1))-AVERAGE(OFFSET($H$3,0,0,'Données projet'!$E$9+1,1))</f>
        <v>146.40889017442277</v>
      </c>
      <c r="T163" s="60">
        <f t="shared" si="142"/>
        <v>70.859031694091868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-1.1368683772161603E-13</v>
      </c>
      <c r="AJ163" s="14">
        <f>AI163*VLOOKUP('Données projet'!$B$10,Paramètres!$A$1:$I$89,3,0)*VLOOKUP('Données projet'!$B$10,Paramètres!$A$1:$I$89,5,0)</f>
        <v>-1.0286385077051818E-13</v>
      </c>
      <c r="AK163" s="14" t="e">
        <f t="shared" si="164"/>
        <v>#NUM!</v>
      </c>
      <c r="AL163" s="22" t="e">
        <f t="shared" si="165"/>
        <v>#NUM!</v>
      </c>
      <c r="AM163" s="60" t="e">
        <f t="shared" si="113"/>
        <v>#NUM!</v>
      </c>
      <c r="AN163" s="60">
        <f ca="1">AVERAGE(OFFSET($AM$3,0,0,'Données projet'!$E$10+1,1))-AVERAGE(OFFSET($H$3,0,0,'Données projet'!$E$10+1,1))</f>
        <v>404.14319681142746</v>
      </c>
      <c r="AO163" s="60">
        <f t="shared" si="144"/>
        <v>203.5274665601915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-9.6633812063373625E-13</v>
      </c>
      <c r="BE163" s="14">
        <f>BD163*VLOOKUP('Données projet'!$B$11,Paramètres!$A$1:$I$89,3,0)*VLOOKUP('Données projet'!$B$11,Paramètres!$A$1:$I$89,5,0)</f>
        <v>-9.7986685432260874E-13</v>
      </c>
      <c r="BF163" s="14" t="e">
        <f t="shared" si="167"/>
        <v>#NUM!</v>
      </c>
      <c r="BG163" s="22" t="e">
        <f t="shared" si="168"/>
        <v>#NUM!</v>
      </c>
      <c r="BH163" s="60" t="e">
        <f t="shared" si="116"/>
        <v>#NUM!</v>
      </c>
      <c r="BI163" s="60">
        <f ca="1">AVERAGE(OFFSET($BH$3,0,0,'Données projet'!$E$11+1,1))-AVERAGE(OFFSET($H$3,0,0,'Données projet'!$E$11+1,1))</f>
        <v>350.3652766444938</v>
      </c>
      <c r="BJ163" s="60">
        <f t="shared" si="146"/>
        <v>197.04549436738586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-9.6633812063373625E-13</v>
      </c>
      <c r="BZ163" s="14">
        <f>BY163*VLOOKUP('Données projet'!$B$12,Paramètres!$A$1:$I$89,3,0)*VLOOKUP('Données projet'!$B$12,Paramètres!$A$1:$I$89,5,0)</f>
        <v>-9.3464223027694966E-13</v>
      </c>
      <c r="CA163" s="14" t="e">
        <f t="shared" si="170"/>
        <v>#NUM!</v>
      </c>
      <c r="CB163" s="22" t="e">
        <f t="shared" si="171"/>
        <v>#NUM!</v>
      </c>
      <c r="CC163" s="60" t="e">
        <f t="shared" si="119"/>
        <v>#NUM!</v>
      </c>
      <c r="CD163" s="60">
        <f ca="1">AVERAGE(OFFSET($CC$3,0,0,'Données projet'!$E$12+1,1))-AVERAGE(OFFSET($H$3,0,0,'Données projet'!$E$12+1,1))</f>
        <v>330.39429528665841</v>
      </c>
      <c r="CE163" s="60">
        <f t="shared" si="148"/>
        <v>186.45728006007261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-9.6633812063373625E-13</v>
      </c>
      <c r="CU163" s="18">
        <f>CT163*VLOOKUP('Données projet'!$B$13,Paramètres!$A$1:$I$89,3,0)*VLOOKUP('Données projet'!$B$13,Paramètres!$A$1:$I$89,5,0)</f>
        <v>-1.0401663530501537E-12</v>
      </c>
      <c r="CV163" s="14" t="e">
        <f t="shared" si="173"/>
        <v>#NUM!</v>
      </c>
      <c r="CW163" s="22" t="e">
        <f t="shared" si="174"/>
        <v>#NUM!</v>
      </c>
      <c r="CX163" s="60" t="e">
        <f t="shared" si="122"/>
        <v>#NUM!</v>
      </c>
      <c r="CY163" s="60">
        <f ca="1">AVERAGE(OFFSET($CX$3,0,0,'Données projet'!$E$13+1,1))-AVERAGE(OFFSET($H$3,0,0,'Données projet'!$E$13+1,1))</f>
        <v>376.96388721258387</v>
      </c>
      <c r="CZ163" s="60">
        <f t="shared" si="150"/>
        <v>211.14628470344377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1.7053025658242404E-13</v>
      </c>
      <c r="DP163" s="18">
        <f>DO163*VLOOKUP('Données projet'!$B$14,Paramètres!$A$1:$I$89,3,0)*VLOOKUP('Données projet'!$B$14,Paramètres!$A$1:$I$89,5,0)</f>
        <v>1.1439169611549005E-13</v>
      </c>
      <c r="DQ163" s="14">
        <f t="shared" si="176"/>
        <v>1.6918016515029816E-12</v>
      </c>
      <c r="DR163" s="22">
        <f t="shared" si="177"/>
        <v>3.1457867471021712E-12</v>
      </c>
      <c r="DS163" s="60">
        <f t="shared" si="125"/>
        <v>293.33333333333644</v>
      </c>
      <c r="DT163" s="60">
        <f ca="1">AVERAGE(OFFSET($DS$3,0,0,'Données projet'!$E$14+1,1))-AVERAGE(OFFSET($H$3,0,0,'Données projet'!$E$14+1,1))</f>
        <v>212.33913923444732</v>
      </c>
      <c r="DU163" s="60">
        <f t="shared" si="152"/>
        <v>183.51194426094372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0" t="e">
        <f t="shared" si="128"/>
        <v>#N/A</v>
      </c>
      <c r="EO163" s="60" t="e">
        <f ca="1">AVERAGE(OFFSET($EN$3,0,0,'Données projet'!$E$15+1,1))-AVERAGE(OFFSET($H$3,0,0,'Données projet'!$E$15+1,1))</f>
        <v>#N/A</v>
      </c>
      <c r="EP163" s="60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0" t="e">
        <f t="shared" si="131"/>
        <v>#N/A</v>
      </c>
      <c r="FJ163" s="60" t="e">
        <f ca="1">AVERAGE(OFFSET($FI$3,0,0,'Données projet'!$E$16+1,1))-AVERAGE(OFFSET($H$3,0,0,'Données projet'!$E$16+1,1))</f>
        <v>#N/A</v>
      </c>
      <c r="FK163" s="60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0" t="e">
        <f t="shared" si="134"/>
        <v>#N/A</v>
      </c>
      <c r="GE163" s="60" t="e">
        <f ca="1">AVERAGE(OFFSET($GD$3,0,0,'Données projet'!$E$17+1,1))-AVERAGE(OFFSET($H$3,0,0,'Données projet'!$E$17+1,1))</f>
        <v>#N/A</v>
      </c>
      <c r="GF163" s="60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0" t="e">
        <f t="shared" si="137"/>
        <v>#N/A</v>
      </c>
      <c r="GZ163" s="60" t="e">
        <f ca="1">AVERAGE(OFFSET($GY$3,0,0,'Données projet'!$E$18+1,1))-AVERAGE(OFFSET($H$3,0,0,'Données projet'!$E$18+1,1))</f>
        <v>#N/A</v>
      </c>
      <c r="HA163" s="60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5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2">
        <f t="shared" si="140"/>
        <v>24.059512761382141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8">
        <f t="shared" si="110"/>
        <v>488.33993472607426</v>
      </c>
      <c r="I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3.4106051316484809E-13</v>
      </c>
      <c r="O164" s="14">
        <f>N164*VLOOKUP('Données projet'!$B$9,Paramètres!$A$1:$I$89,3,0)*VLOOKUP('Données projet'!$B$9,Paramètres!$A$1:$I$89,5,0)</f>
        <v>1.5961632016114892E-13</v>
      </c>
      <c r="P164" s="14">
        <f t="shared" si="141"/>
        <v>2.2708641912150958E-12</v>
      </c>
      <c r="Q164" s="22">
        <f t="shared" si="162"/>
        <v>4.2330868906469593E-12</v>
      </c>
      <c r="R164" s="60">
        <f t="shared" si="109"/>
        <v>293.33333333333752</v>
      </c>
      <c r="S164" s="60">
        <f ca="1">AVERAGE(OFFSET($R$3,0,0,'Données projet'!$E$9+1,1))-AVERAGE(OFFSET($H$3,0,0,'Données projet'!$E$9+1,1))</f>
        <v>146.40889017442277</v>
      </c>
      <c r="T164" s="60">
        <f t="shared" si="142"/>
        <v>70.859031694091868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-1.1368683772161603E-13</v>
      </c>
      <c r="AJ164" s="14">
        <f>AI164*VLOOKUP('Données projet'!$B$10,Paramètres!$A$1:$I$89,3,0)*VLOOKUP('Données projet'!$B$10,Paramètres!$A$1:$I$89,5,0)</f>
        <v>-1.0286385077051818E-13</v>
      </c>
      <c r="AK164" s="14" t="e">
        <f t="shared" si="164"/>
        <v>#NUM!</v>
      </c>
      <c r="AL164" s="22" t="e">
        <f t="shared" si="165"/>
        <v>#NUM!</v>
      </c>
      <c r="AM164" s="60" t="e">
        <f t="shared" si="113"/>
        <v>#NUM!</v>
      </c>
      <c r="AN164" s="60">
        <f ca="1">AVERAGE(OFFSET($AM$3,0,0,'Données projet'!$E$10+1,1))-AVERAGE(OFFSET($H$3,0,0,'Données projet'!$E$10+1,1))</f>
        <v>404.14319681142746</v>
      </c>
      <c r="AO164" s="60">
        <f t="shared" si="144"/>
        <v>203.5274665601915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-9.6633812063373625E-13</v>
      </c>
      <c r="BE164" s="14">
        <f>BD164*VLOOKUP('Données projet'!$B$11,Paramètres!$A$1:$I$89,3,0)*VLOOKUP('Données projet'!$B$11,Paramètres!$A$1:$I$89,5,0)</f>
        <v>-9.7986685432260874E-13</v>
      </c>
      <c r="BF164" s="14" t="e">
        <f t="shared" si="167"/>
        <v>#NUM!</v>
      </c>
      <c r="BG164" s="22" t="e">
        <f t="shared" si="168"/>
        <v>#NUM!</v>
      </c>
      <c r="BH164" s="60" t="e">
        <f t="shared" si="116"/>
        <v>#NUM!</v>
      </c>
      <c r="BI164" s="60">
        <f ca="1">AVERAGE(OFFSET($BH$3,0,0,'Données projet'!$E$11+1,1))-AVERAGE(OFFSET($H$3,0,0,'Données projet'!$E$11+1,1))</f>
        <v>350.3652766444938</v>
      </c>
      <c r="BJ164" s="60">
        <f t="shared" si="146"/>
        <v>197.04549436738586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-9.6633812063373625E-13</v>
      </c>
      <c r="BZ164" s="14">
        <f>BY164*VLOOKUP('Données projet'!$B$12,Paramètres!$A$1:$I$89,3,0)*VLOOKUP('Données projet'!$B$12,Paramètres!$A$1:$I$89,5,0)</f>
        <v>-9.3464223027694966E-13</v>
      </c>
      <c r="CA164" s="14" t="e">
        <f t="shared" si="170"/>
        <v>#NUM!</v>
      </c>
      <c r="CB164" s="22" t="e">
        <f t="shared" si="171"/>
        <v>#NUM!</v>
      </c>
      <c r="CC164" s="60" t="e">
        <f t="shared" si="119"/>
        <v>#NUM!</v>
      </c>
      <c r="CD164" s="60">
        <f ca="1">AVERAGE(OFFSET($CC$3,0,0,'Données projet'!$E$12+1,1))-AVERAGE(OFFSET($H$3,0,0,'Données projet'!$E$12+1,1))</f>
        <v>330.39429528665841</v>
      </c>
      <c r="CE164" s="60">
        <f t="shared" si="148"/>
        <v>186.45728006007261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-9.6633812063373625E-13</v>
      </c>
      <c r="CU164" s="18">
        <f>CT164*VLOOKUP('Données projet'!$B$13,Paramètres!$A$1:$I$89,3,0)*VLOOKUP('Données projet'!$B$13,Paramètres!$A$1:$I$89,5,0)</f>
        <v>-1.0401663530501537E-12</v>
      </c>
      <c r="CV164" s="14" t="e">
        <f t="shared" si="173"/>
        <v>#NUM!</v>
      </c>
      <c r="CW164" s="22" t="e">
        <f t="shared" si="174"/>
        <v>#NUM!</v>
      </c>
      <c r="CX164" s="60" t="e">
        <f t="shared" si="122"/>
        <v>#NUM!</v>
      </c>
      <c r="CY164" s="60">
        <f ca="1">AVERAGE(OFFSET($CX$3,0,0,'Données projet'!$E$13+1,1))-AVERAGE(OFFSET($H$3,0,0,'Données projet'!$E$13+1,1))</f>
        <v>376.96388721258387</v>
      </c>
      <c r="CZ164" s="60">
        <f t="shared" si="150"/>
        <v>211.14628470344377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1.7053025658242404E-13</v>
      </c>
      <c r="DP164" s="18">
        <f>DO164*VLOOKUP('Données projet'!$B$14,Paramètres!$A$1:$I$89,3,0)*VLOOKUP('Données projet'!$B$14,Paramètres!$A$1:$I$89,5,0)</f>
        <v>1.1439169611549005E-13</v>
      </c>
      <c r="DQ164" s="14">
        <f t="shared" si="176"/>
        <v>1.6918016515029816E-12</v>
      </c>
      <c r="DR164" s="22">
        <f t="shared" si="177"/>
        <v>3.1457867471021712E-12</v>
      </c>
      <c r="DS164" s="60">
        <f t="shared" si="125"/>
        <v>293.33333333333644</v>
      </c>
      <c r="DT164" s="60">
        <f ca="1">AVERAGE(OFFSET($DS$3,0,0,'Données projet'!$E$14+1,1))-AVERAGE(OFFSET($H$3,0,0,'Données projet'!$E$14+1,1))</f>
        <v>212.33913923444732</v>
      </c>
      <c r="DU164" s="60">
        <f t="shared" si="152"/>
        <v>183.51194426094372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0" t="e">
        <f t="shared" si="128"/>
        <v>#N/A</v>
      </c>
      <c r="EO164" s="60" t="e">
        <f ca="1">AVERAGE(OFFSET($EN$3,0,0,'Données projet'!$E$15+1,1))-AVERAGE(OFFSET($H$3,0,0,'Données projet'!$E$15+1,1))</f>
        <v>#N/A</v>
      </c>
      <c r="EP164" s="60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0" t="e">
        <f t="shared" si="131"/>
        <v>#N/A</v>
      </c>
      <c r="FJ164" s="60" t="e">
        <f ca="1">AVERAGE(OFFSET($FI$3,0,0,'Données projet'!$E$16+1,1))-AVERAGE(OFFSET($H$3,0,0,'Données projet'!$E$16+1,1))</f>
        <v>#N/A</v>
      </c>
      <c r="FK164" s="60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0" t="e">
        <f t="shared" si="134"/>
        <v>#N/A</v>
      </c>
      <c r="GE164" s="60" t="e">
        <f ca="1">AVERAGE(OFFSET($GD$3,0,0,'Données projet'!$E$17+1,1))-AVERAGE(OFFSET($H$3,0,0,'Données projet'!$E$17+1,1))</f>
        <v>#N/A</v>
      </c>
      <c r="GF164" s="60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0" t="e">
        <f t="shared" si="137"/>
        <v>#N/A</v>
      </c>
      <c r="GZ164" s="60" t="e">
        <f ca="1">AVERAGE(OFFSET($GY$3,0,0,'Données projet'!$E$18+1,1))-AVERAGE(OFFSET($H$3,0,0,'Données projet'!$E$18+1,1))</f>
        <v>#N/A</v>
      </c>
      <c r="HA164" s="60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5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2">
        <f t="shared" si="140"/>
        <v>24.191508526944009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8">
        <f t="shared" si="110"/>
        <v>489.52077735109452</v>
      </c>
      <c r="I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3.4106051316484809E-13</v>
      </c>
      <c r="O165" s="14">
        <f>N165*VLOOKUP('Données projet'!$B$9,Paramètres!$A$1:$I$89,3,0)*VLOOKUP('Données projet'!$B$9,Paramètres!$A$1:$I$89,5,0)</f>
        <v>1.5961632016114892E-13</v>
      </c>
      <c r="P165" s="14">
        <f t="shared" si="141"/>
        <v>2.2708641912150958E-12</v>
      </c>
      <c r="Q165" s="22">
        <f t="shared" si="162"/>
        <v>4.2330868906469593E-12</v>
      </c>
      <c r="R165" s="60">
        <f t="shared" si="109"/>
        <v>293.33333333333752</v>
      </c>
      <c r="S165" s="60">
        <f ca="1">AVERAGE(OFFSET($R$3,0,0,'Données projet'!$E$9+1,1))-AVERAGE(OFFSET($H$3,0,0,'Données projet'!$E$9+1,1))</f>
        <v>146.40889017442277</v>
      </c>
      <c r="T165" s="60">
        <f t="shared" si="142"/>
        <v>70.859031694091868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-1.1368683772161603E-13</v>
      </c>
      <c r="AJ165" s="14">
        <f>AI165*VLOOKUP('Données projet'!$B$10,Paramètres!$A$1:$I$89,3,0)*VLOOKUP('Données projet'!$B$10,Paramètres!$A$1:$I$89,5,0)</f>
        <v>-1.0286385077051818E-13</v>
      </c>
      <c r="AK165" s="14" t="e">
        <f t="shared" si="164"/>
        <v>#NUM!</v>
      </c>
      <c r="AL165" s="22" t="e">
        <f t="shared" si="165"/>
        <v>#NUM!</v>
      </c>
      <c r="AM165" s="60" t="e">
        <f t="shared" si="113"/>
        <v>#NUM!</v>
      </c>
      <c r="AN165" s="60">
        <f ca="1">AVERAGE(OFFSET($AM$3,0,0,'Données projet'!$E$10+1,1))-AVERAGE(OFFSET($H$3,0,0,'Données projet'!$E$10+1,1))</f>
        <v>404.14319681142746</v>
      </c>
      <c r="AO165" s="60">
        <f t="shared" si="144"/>
        <v>203.5274665601915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-9.6633812063373625E-13</v>
      </c>
      <c r="BE165" s="14">
        <f>BD165*VLOOKUP('Données projet'!$B$11,Paramètres!$A$1:$I$89,3,0)*VLOOKUP('Données projet'!$B$11,Paramètres!$A$1:$I$89,5,0)</f>
        <v>-9.7986685432260874E-13</v>
      </c>
      <c r="BF165" s="14" t="e">
        <f t="shared" si="167"/>
        <v>#NUM!</v>
      </c>
      <c r="BG165" s="22" t="e">
        <f t="shared" si="168"/>
        <v>#NUM!</v>
      </c>
      <c r="BH165" s="60" t="e">
        <f t="shared" si="116"/>
        <v>#NUM!</v>
      </c>
      <c r="BI165" s="60">
        <f ca="1">AVERAGE(OFFSET($BH$3,0,0,'Données projet'!$E$11+1,1))-AVERAGE(OFFSET($H$3,0,0,'Données projet'!$E$11+1,1))</f>
        <v>350.3652766444938</v>
      </c>
      <c r="BJ165" s="60">
        <f t="shared" si="146"/>
        <v>197.04549436738586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-9.6633812063373625E-13</v>
      </c>
      <c r="BZ165" s="14">
        <f>BY165*VLOOKUP('Données projet'!$B$12,Paramètres!$A$1:$I$89,3,0)*VLOOKUP('Données projet'!$B$12,Paramètres!$A$1:$I$89,5,0)</f>
        <v>-9.3464223027694966E-13</v>
      </c>
      <c r="CA165" s="14" t="e">
        <f t="shared" si="170"/>
        <v>#NUM!</v>
      </c>
      <c r="CB165" s="22" t="e">
        <f t="shared" si="171"/>
        <v>#NUM!</v>
      </c>
      <c r="CC165" s="60" t="e">
        <f t="shared" si="119"/>
        <v>#NUM!</v>
      </c>
      <c r="CD165" s="60">
        <f ca="1">AVERAGE(OFFSET($CC$3,0,0,'Données projet'!$E$12+1,1))-AVERAGE(OFFSET($H$3,0,0,'Données projet'!$E$12+1,1))</f>
        <v>330.39429528665841</v>
      </c>
      <c r="CE165" s="60">
        <f t="shared" si="148"/>
        <v>186.45728006007261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-9.6633812063373625E-13</v>
      </c>
      <c r="CU165" s="18">
        <f>CT165*VLOOKUP('Données projet'!$B$13,Paramètres!$A$1:$I$89,3,0)*VLOOKUP('Données projet'!$B$13,Paramètres!$A$1:$I$89,5,0)</f>
        <v>-1.0401663530501537E-12</v>
      </c>
      <c r="CV165" s="14" t="e">
        <f t="shared" si="173"/>
        <v>#NUM!</v>
      </c>
      <c r="CW165" s="22" t="e">
        <f t="shared" si="174"/>
        <v>#NUM!</v>
      </c>
      <c r="CX165" s="60" t="e">
        <f t="shared" si="122"/>
        <v>#NUM!</v>
      </c>
      <c r="CY165" s="60">
        <f ca="1">AVERAGE(OFFSET($CX$3,0,0,'Données projet'!$E$13+1,1))-AVERAGE(OFFSET($H$3,0,0,'Données projet'!$E$13+1,1))</f>
        <v>376.96388721258387</v>
      </c>
      <c r="CZ165" s="60">
        <f t="shared" si="150"/>
        <v>211.14628470344377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1.7053025658242404E-13</v>
      </c>
      <c r="DP165" s="18">
        <f>DO165*VLOOKUP('Données projet'!$B$14,Paramètres!$A$1:$I$89,3,0)*VLOOKUP('Données projet'!$B$14,Paramètres!$A$1:$I$89,5,0)</f>
        <v>1.1439169611549005E-13</v>
      </c>
      <c r="DQ165" s="14">
        <f t="shared" si="176"/>
        <v>1.6918016515029816E-12</v>
      </c>
      <c r="DR165" s="22">
        <f t="shared" si="177"/>
        <v>3.1457867471021712E-12</v>
      </c>
      <c r="DS165" s="60">
        <f t="shared" si="125"/>
        <v>293.33333333333644</v>
      </c>
      <c r="DT165" s="60">
        <f ca="1">AVERAGE(OFFSET($DS$3,0,0,'Données projet'!$E$14+1,1))-AVERAGE(OFFSET($H$3,0,0,'Données projet'!$E$14+1,1))</f>
        <v>212.33913923444732</v>
      </c>
      <c r="DU165" s="60">
        <f t="shared" si="152"/>
        <v>183.51194426094372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0" t="e">
        <f t="shared" si="128"/>
        <v>#N/A</v>
      </c>
      <c r="EO165" s="60" t="e">
        <f ca="1">AVERAGE(OFFSET($EN$3,0,0,'Données projet'!$E$15+1,1))-AVERAGE(OFFSET($H$3,0,0,'Données projet'!$E$15+1,1))</f>
        <v>#N/A</v>
      </c>
      <c r="EP165" s="60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0" t="e">
        <f t="shared" si="131"/>
        <v>#N/A</v>
      </c>
      <c r="FJ165" s="60" t="e">
        <f ca="1">AVERAGE(OFFSET($FI$3,0,0,'Données projet'!$E$16+1,1))-AVERAGE(OFFSET($H$3,0,0,'Données projet'!$E$16+1,1))</f>
        <v>#N/A</v>
      </c>
      <c r="FK165" s="60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0" t="e">
        <f t="shared" si="134"/>
        <v>#N/A</v>
      </c>
      <c r="GE165" s="60" t="e">
        <f ca="1">AVERAGE(OFFSET($GD$3,0,0,'Données projet'!$E$17+1,1))-AVERAGE(OFFSET($H$3,0,0,'Données projet'!$E$17+1,1))</f>
        <v>#N/A</v>
      </c>
      <c r="GF165" s="60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0" t="e">
        <f t="shared" si="137"/>
        <v>#N/A</v>
      </c>
      <c r="GZ165" s="60" t="e">
        <f ca="1">AVERAGE(OFFSET($GY$3,0,0,'Données projet'!$E$18+1,1))-AVERAGE(OFFSET($H$3,0,0,'Données projet'!$E$18+1,1))</f>
        <v>#N/A</v>
      </c>
      <c r="HA165" s="60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5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2">
        <f t="shared" si="140"/>
        <v>24.323409484531542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8">
        <f t="shared" si="110"/>
        <v>490.70145485222611</v>
      </c>
      <c r="I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3.4106051316484809E-13</v>
      </c>
      <c r="O166" s="14">
        <f>N166*VLOOKUP('Données projet'!$B$9,Paramètres!$A$1:$I$89,3,0)*VLOOKUP('Données projet'!$B$9,Paramètres!$A$1:$I$89,5,0)</f>
        <v>1.5961632016114892E-13</v>
      </c>
      <c r="P166" s="14">
        <f t="shared" si="141"/>
        <v>2.2708641912150958E-12</v>
      </c>
      <c r="Q166" s="22">
        <f t="shared" si="162"/>
        <v>4.2330868906469593E-12</v>
      </c>
      <c r="R166" s="60">
        <f t="shared" si="109"/>
        <v>293.33333333333752</v>
      </c>
      <c r="S166" s="60">
        <f ca="1">AVERAGE(OFFSET($R$3,0,0,'Données projet'!$E$9+1,1))-AVERAGE(OFFSET($H$3,0,0,'Données projet'!$E$9+1,1))</f>
        <v>146.40889017442277</v>
      </c>
      <c r="T166" s="60">
        <f t="shared" si="142"/>
        <v>70.859031694091868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-1.1368683772161603E-13</v>
      </c>
      <c r="AJ166" s="14">
        <f>AI166*VLOOKUP('Données projet'!$B$10,Paramètres!$A$1:$I$89,3,0)*VLOOKUP('Données projet'!$B$10,Paramètres!$A$1:$I$89,5,0)</f>
        <v>-1.0286385077051818E-13</v>
      </c>
      <c r="AK166" s="14" t="e">
        <f t="shared" si="164"/>
        <v>#NUM!</v>
      </c>
      <c r="AL166" s="22" t="e">
        <f t="shared" si="165"/>
        <v>#NUM!</v>
      </c>
      <c r="AM166" s="60" t="e">
        <f t="shared" si="113"/>
        <v>#NUM!</v>
      </c>
      <c r="AN166" s="60">
        <f ca="1">AVERAGE(OFFSET($AM$3,0,0,'Données projet'!$E$10+1,1))-AVERAGE(OFFSET($H$3,0,0,'Données projet'!$E$10+1,1))</f>
        <v>404.14319681142746</v>
      </c>
      <c r="AO166" s="60">
        <f t="shared" si="144"/>
        <v>203.5274665601915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-9.6633812063373625E-13</v>
      </c>
      <c r="BE166" s="14">
        <f>BD166*VLOOKUP('Données projet'!$B$11,Paramètres!$A$1:$I$89,3,0)*VLOOKUP('Données projet'!$B$11,Paramètres!$A$1:$I$89,5,0)</f>
        <v>-9.7986685432260874E-13</v>
      </c>
      <c r="BF166" s="14" t="e">
        <f t="shared" si="167"/>
        <v>#NUM!</v>
      </c>
      <c r="BG166" s="22" t="e">
        <f t="shared" si="168"/>
        <v>#NUM!</v>
      </c>
      <c r="BH166" s="60" t="e">
        <f t="shared" si="116"/>
        <v>#NUM!</v>
      </c>
      <c r="BI166" s="60">
        <f ca="1">AVERAGE(OFFSET($BH$3,0,0,'Données projet'!$E$11+1,1))-AVERAGE(OFFSET($H$3,0,0,'Données projet'!$E$11+1,1))</f>
        <v>350.3652766444938</v>
      </c>
      <c r="BJ166" s="60">
        <f t="shared" si="146"/>
        <v>197.04549436738586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-9.6633812063373625E-13</v>
      </c>
      <c r="BZ166" s="14">
        <f>BY166*VLOOKUP('Données projet'!$B$12,Paramètres!$A$1:$I$89,3,0)*VLOOKUP('Données projet'!$B$12,Paramètres!$A$1:$I$89,5,0)</f>
        <v>-9.3464223027694966E-13</v>
      </c>
      <c r="CA166" s="14" t="e">
        <f t="shared" si="170"/>
        <v>#NUM!</v>
      </c>
      <c r="CB166" s="22" t="e">
        <f t="shared" si="171"/>
        <v>#NUM!</v>
      </c>
      <c r="CC166" s="60" t="e">
        <f t="shared" si="119"/>
        <v>#NUM!</v>
      </c>
      <c r="CD166" s="60">
        <f ca="1">AVERAGE(OFFSET($CC$3,0,0,'Données projet'!$E$12+1,1))-AVERAGE(OFFSET($H$3,0,0,'Données projet'!$E$12+1,1))</f>
        <v>330.39429528665841</v>
      </c>
      <c r="CE166" s="60">
        <f t="shared" si="148"/>
        <v>186.45728006007261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-9.6633812063373625E-13</v>
      </c>
      <c r="CU166" s="18">
        <f>CT166*VLOOKUP('Données projet'!$B$13,Paramètres!$A$1:$I$89,3,0)*VLOOKUP('Données projet'!$B$13,Paramètres!$A$1:$I$89,5,0)</f>
        <v>-1.0401663530501537E-12</v>
      </c>
      <c r="CV166" s="14" t="e">
        <f t="shared" si="173"/>
        <v>#NUM!</v>
      </c>
      <c r="CW166" s="22" t="e">
        <f t="shared" si="174"/>
        <v>#NUM!</v>
      </c>
      <c r="CX166" s="60" t="e">
        <f t="shared" si="122"/>
        <v>#NUM!</v>
      </c>
      <c r="CY166" s="60">
        <f ca="1">AVERAGE(OFFSET($CX$3,0,0,'Données projet'!$E$13+1,1))-AVERAGE(OFFSET($H$3,0,0,'Données projet'!$E$13+1,1))</f>
        <v>376.96388721258387</v>
      </c>
      <c r="CZ166" s="60">
        <f t="shared" si="150"/>
        <v>211.14628470344377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1.7053025658242404E-13</v>
      </c>
      <c r="DP166" s="18">
        <f>DO166*VLOOKUP('Données projet'!$B$14,Paramètres!$A$1:$I$89,3,0)*VLOOKUP('Données projet'!$B$14,Paramètres!$A$1:$I$89,5,0)</f>
        <v>1.1439169611549005E-13</v>
      </c>
      <c r="DQ166" s="14">
        <f t="shared" si="176"/>
        <v>1.6918016515029816E-12</v>
      </c>
      <c r="DR166" s="22">
        <f t="shared" si="177"/>
        <v>3.1457867471021712E-12</v>
      </c>
      <c r="DS166" s="60">
        <f t="shared" si="125"/>
        <v>293.33333333333644</v>
      </c>
      <c r="DT166" s="60">
        <f ca="1">AVERAGE(OFFSET($DS$3,0,0,'Données projet'!$E$14+1,1))-AVERAGE(OFFSET($H$3,0,0,'Données projet'!$E$14+1,1))</f>
        <v>212.33913923444732</v>
      </c>
      <c r="DU166" s="60">
        <f t="shared" si="152"/>
        <v>183.51194426094372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0" t="e">
        <f t="shared" si="128"/>
        <v>#N/A</v>
      </c>
      <c r="EO166" s="60" t="e">
        <f ca="1">AVERAGE(OFFSET($EN$3,0,0,'Données projet'!$E$15+1,1))-AVERAGE(OFFSET($H$3,0,0,'Données projet'!$E$15+1,1))</f>
        <v>#N/A</v>
      </c>
      <c r="EP166" s="60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0" t="e">
        <f t="shared" si="131"/>
        <v>#N/A</v>
      </c>
      <c r="FJ166" s="60" t="e">
        <f ca="1">AVERAGE(OFFSET($FI$3,0,0,'Données projet'!$E$16+1,1))-AVERAGE(OFFSET($H$3,0,0,'Données projet'!$E$16+1,1))</f>
        <v>#N/A</v>
      </c>
      <c r="FK166" s="60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0" t="e">
        <f t="shared" si="134"/>
        <v>#N/A</v>
      </c>
      <c r="GE166" s="60" t="e">
        <f ca="1">AVERAGE(OFFSET($GD$3,0,0,'Données projet'!$E$17+1,1))-AVERAGE(OFFSET($H$3,0,0,'Données projet'!$E$17+1,1))</f>
        <v>#N/A</v>
      </c>
      <c r="GF166" s="60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0" t="e">
        <f t="shared" si="137"/>
        <v>#N/A</v>
      </c>
      <c r="GZ166" s="60" t="e">
        <f ca="1">AVERAGE(OFFSET($GY$3,0,0,'Données projet'!$E$18+1,1))-AVERAGE(OFFSET($H$3,0,0,'Données projet'!$E$18+1,1))</f>
        <v>#N/A</v>
      </c>
      <c r="HA166" s="60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5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2">
        <f t="shared" si="140"/>
        <v>24.455216283268463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8">
        <f t="shared" si="110"/>
        <v>491.88196836002629</v>
      </c>
      <c r="I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3.4106051316484809E-13</v>
      </c>
      <c r="O167" s="14">
        <f>N167*VLOOKUP('Données projet'!$B$9,Paramètres!$A$1:$I$89,3,0)*VLOOKUP('Données projet'!$B$9,Paramètres!$A$1:$I$89,5,0)</f>
        <v>1.5961632016114892E-13</v>
      </c>
      <c r="P167" s="14">
        <f t="shared" si="141"/>
        <v>2.2708641912150958E-12</v>
      </c>
      <c r="Q167" s="22">
        <f t="shared" si="162"/>
        <v>4.2330868906469593E-12</v>
      </c>
      <c r="R167" s="60">
        <f t="shared" si="109"/>
        <v>293.33333333333752</v>
      </c>
      <c r="S167" s="60">
        <f ca="1">AVERAGE(OFFSET($R$3,0,0,'Données projet'!$E$9+1,1))-AVERAGE(OFFSET($H$3,0,0,'Données projet'!$E$9+1,1))</f>
        <v>146.40889017442277</v>
      </c>
      <c r="T167" s="60">
        <f t="shared" si="142"/>
        <v>70.859031694091868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-1.1368683772161603E-13</v>
      </c>
      <c r="AJ167" s="14">
        <f>AI167*VLOOKUP('Données projet'!$B$10,Paramètres!$A$1:$I$89,3,0)*VLOOKUP('Données projet'!$B$10,Paramètres!$A$1:$I$89,5,0)</f>
        <v>-1.0286385077051818E-13</v>
      </c>
      <c r="AK167" s="14" t="e">
        <f t="shared" si="164"/>
        <v>#NUM!</v>
      </c>
      <c r="AL167" s="22" t="e">
        <f t="shared" si="165"/>
        <v>#NUM!</v>
      </c>
      <c r="AM167" s="60" t="e">
        <f t="shared" si="113"/>
        <v>#NUM!</v>
      </c>
      <c r="AN167" s="60">
        <f ca="1">AVERAGE(OFFSET($AM$3,0,0,'Données projet'!$E$10+1,1))-AVERAGE(OFFSET($H$3,0,0,'Données projet'!$E$10+1,1))</f>
        <v>404.14319681142746</v>
      </c>
      <c r="AO167" s="60">
        <f t="shared" si="144"/>
        <v>203.5274665601915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-9.6633812063373625E-13</v>
      </c>
      <c r="BE167" s="14">
        <f>BD167*VLOOKUP('Données projet'!$B$11,Paramètres!$A$1:$I$89,3,0)*VLOOKUP('Données projet'!$B$11,Paramètres!$A$1:$I$89,5,0)</f>
        <v>-9.7986685432260874E-13</v>
      </c>
      <c r="BF167" s="14" t="e">
        <f t="shared" si="167"/>
        <v>#NUM!</v>
      </c>
      <c r="BG167" s="22" t="e">
        <f t="shared" si="168"/>
        <v>#NUM!</v>
      </c>
      <c r="BH167" s="60" t="e">
        <f t="shared" si="116"/>
        <v>#NUM!</v>
      </c>
      <c r="BI167" s="60">
        <f ca="1">AVERAGE(OFFSET($BH$3,0,0,'Données projet'!$E$11+1,1))-AVERAGE(OFFSET($H$3,0,0,'Données projet'!$E$11+1,1))</f>
        <v>350.3652766444938</v>
      </c>
      <c r="BJ167" s="60">
        <f t="shared" si="146"/>
        <v>197.04549436738586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-9.6633812063373625E-13</v>
      </c>
      <c r="BZ167" s="14">
        <f>BY167*VLOOKUP('Données projet'!$B$12,Paramètres!$A$1:$I$89,3,0)*VLOOKUP('Données projet'!$B$12,Paramètres!$A$1:$I$89,5,0)</f>
        <v>-9.3464223027694966E-13</v>
      </c>
      <c r="CA167" s="14" t="e">
        <f t="shared" si="170"/>
        <v>#NUM!</v>
      </c>
      <c r="CB167" s="22" t="e">
        <f t="shared" si="171"/>
        <v>#NUM!</v>
      </c>
      <c r="CC167" s="60" t="e">
        <f t="shared" si="119"/>
        <v>#NUM!</v>
      </c>
      <c r="CD167" s="60">
        <f ca="1">AVERAGE(OFFSET($CC$3,0,0,'Données projet'!$E$12+1,1))-AVERAGE(OFFSET($H$3,0,0,'Données projet'!$E$12+1,1))</f>
        <v>330.39429528665841</v>
      </c>
      <c r="CE167" s="60">
        <f t="shared" si="148"/>
        <v>186.45728006007261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-9.6633812063373625E-13</v>
      </c>
      <c r="CU167" s="18">
        <f>CT167*VLOOKUP('Données projet'!$B$13,Paramètres!$A$1:$I$89,3,0)*VLOOKUP('Données projet'!$B$13,Paramètres!$A$1:$I$89,5,0)</f>
        <v>-1.0401663530501537E-12</v>
      </c>
      <c r="CV167" s="14" t="e">
        <f t="shared" si="173"/>
        <v>#NUM!</v>
      </c>
      <c r="CW167" s="22" t="e">
        <f t="shared" si="174"/>
        <v>#NUM!</v>
      </c>
      <c r="CX167" s="60" t="e">
        <f t="shared" si="122"/>
        <v>#NUM!</v>
      </c>
      <c r="CY167" s="60">
        <f ca="1">AVERAGE(OFFSET($CX$3,0,0,'Données projet'!$E$13+1,1))-AVERAGE(OFFSET($H$3,0,0,'Données projet'!$E$13+1,1))</f>
        <v>376.96388721258387</v>
      </c>
      <c r="CZ167" s="60">
        <f t="shared" si="150"/>
        <v>211.14628470344377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1.7053025658242404E-13</v>
      </c>
      <c r="DP167" s="18">
        <f>DO167*VLOOKUP('Données projet'!$B$14,Paramètres!$A$1:$I$89,3,0)*VLOOKUP('Données projet'!$B$14,Paramètres!$A$1:$I$89,5,0)</f>
        <v>1.1439169611549005E-13</v>
      </c>
      <c r="DQ167" s="14">
        <f t="shared" si="176"/>
        <v>1.6918016515029816E-12</v>
      </c>
      <c r="DR167" s="22">
        <f t="shared" si="177"/>
        <v>3.1457867471021712E-12</v>
      </c>
      <c r="DS167" s="60">
        <f t="shared" si="125"/>
        <v>293.33333333333644</v>
      </c>
      <c r="DT167" s="60">
        <f ca="1">AVERAGE(OFFSET($DS$3,0,0,'Données projet'!$E$14+1,1))-AVERAGE(OFFSET($H$3,0,0,'Données projet'!$E$14+1,1))</f>
        <v>212.33913923444732</v>
      </c>
      <c r="DU167" s="60">
        <f t="shared" si="152"/>
        <v>183.51194426094372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0" t="e">
        <f t="shared" si="128"/>
        <v>#N/A</v>
      </c>
      <c r="EO167" s="60" t="e">
        <f ca="1">AVERAGE(OFFSET($EN$3,0,0,'Données projet'!$E$15+1,1))-AVERAGE(OFFSET($H$3,0,0,'Données projet'!$E$15+1,1))</f>
        <v>#N/A</v>
      </c>
      <c r="EP167" s="60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0" t="e">
        <f t="shared" si="131"/>
        <v>#N/A</v>
      </c>
      <c r="FJ167" s="60" t="e">
        <f ca="1">AVERAGE(OFFSET($FI$3,0,0,'Données projet'!$E$16+1,1))-AVERAGE(OFFSET($H$3,0,0,'Données projet'!$E$16+1,1))</f>
        <v>#N/A</v>
      </c>
      <c r="FK167" s="60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0" t="e">
        <f t="shared" si="134"/>
        <v>#N/A</v>
      </c>
      <c r="GE167" s="60" t="e">
        <f ca="1">AVERAGE(OFFSET($GD$3,0,0,'Données projet'!$E$17+1,1))-AVERAGE(OFFSET($H$3,0,0,'Données projet'!$E$17+1,1))</f>
        <v>#N/A</v>
      </c>
      <c r="GF167" s="60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0" t="e">
        <f t="shared" si="137"/>
        <v>#N/A</v>
      </c>
      <c r="GZ167" s="60" t="e">
        <f ca="1">AVERAGE(OFFSET($GY$3,0,0,'Données projet'!$E$18+1,1))-AVERAGE(OFFSET($H$3,0,0,'Données projet'!$E$18+1,1))</f>
        <v>#N/A</v>
      </c>
      <c r="HA167" s="60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5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2">
        <f t="shared" si="140"/>
        <v>24.586929563904505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8">
        <f t="shared" si="110"/>
        <v>493.06231899046742</v>
      </c>
      <c r="I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3.4106051316484809E-13</v>
      </c>
      <c r="O168" s="14">
        <f>N168*VLOOKUP('Données projet'!$B$9,Paramètres!$A$1:$I$89,3,0)*VLOOKUP('Données projet'!$B$9,Paramètres!$A$1:$I$89,5,0)</f>
        <v>1.5961632016114892E-13</v>
      </c>
      <c r="P168" s="14">
        <f t="shared" si="141"/>
        <v>2.2708641912150958E-12</v>
      </c>
      <c r="Q168" s="22">
        <f t="shared" si="162"/>
        <v>4.2330868906469593E-12</v>
      </c>
      <c r="R168" s="60">
        <f t="shared" si="109"/>
        <v>293.33333333333752</v>
      </c>
      <c r="S168" s="60">
        <f ca="1">AVERAGE(OFFSET($R$3,0,0,'Données projet'!$E$9+1,1))-AVERAGE(OFFSET($H$3,0,0,'Données projet'!$E$9+1,1))</f>
        <v>146.40889017442277</v>
      </c>
      <c r="T168" s="60">
        <f t="shared" si="142"/>
        <v>70.859031694091868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-1.1368683772161603E-13</v>
      </c>
      <c r="AJ168" s="14">
        <f>AI168*VLOOKUP('Données projet'!$B$10,Paramètres!$A$1:$I$89,3,0)*VLOOKUP('Données projet'!$B$10,Paramètres!$A$1:$I$89,5,0)</f>
        <v>-1.0286385077051818E-13</v>
      </c>
      <c r="AK168" s="14" t="e">
        <f t="shared" si="164"/>
        <v>#NUM!</v>
      </c>
      <c r="AL168" s="22" t="e">
        <f t="shared" si="165"/>
        <v>#NUM!</v>
      </c>
      <c r="AM168" s="60" t="e">
        <f t="shared" si="113"/>
        <v>#NUM!</v>
      </c>
      <c r="AN168" s="60">
        <f ca="1">AVERAGE(OFFSET($AM$3,0,0,'Données projet'!$E$10+1,1))-AVERAGE(OFFSET($H$3,0,0,'Données projet'!$E$10+1,1))</f>
        <v>404.14319681142746</v>
      </c>
      <c r="AO168" s="60">
        <f t="shared" si="144"/>
        <v>203.5274665601915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-9.6633812063373625E-13</v>
      </c>
      <c r="BE168" s="14">
        <f>BD168*VLOOKUP('Données projet'!$B$11,Paramètres!$A$1:$I$89,3,0)*VLOOKUP('Données projet'!$B$11,Paramètres!$A$1:$I$89,5,0)</f>
        <v>-9.7986685432260874E-13</v>
      </c>
      <c r="BF168" s="14" t="e">
        <f t="shared" si="167"/>
        <v>#NUM!</v>
      </c>
      <c r="BG168" s="22" t="e">
        <f t="shared" si="168"/>
        <v>#NUM!</v>
      </c>
      <c r="BH168" s="60" t="e">
        <f t="shared" si="116"/>
        <v>#NUM!</v>
      </c>
      <c r="BI168" s="60">
        <f ca="1">AVERAGE(OFFSET($BH$3,0,0,'Données projet'!$E$11+1,1))-AVERAGE(OFFSET($H$3,0,0,'Données projet'!$E$11+1,1))</f>
        <v>350.3652766444938</v>
      </c>
      <c r="BJ168" s="60">
        <f t="shared" si="146"/>
        <v>197.04549436738586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-9.6633812063373625E-13</v>
      </c>
      <c r="BZ168" s="14">
        <f>BY168*VLOOKUP('Données projet'!$B$12,Paramètres!$A$1:$I$89,3,0)*VLOOKUP('Données projet'!$B$12,Paramètres!$A$1:$I$89,5,0)</f>
        <v>-9.3464223027694966E-13</v>
      </c>
      <c r="CA168" s="14" t="e">
        <f t="shared" si="170"/>
        <v>#NUM!</v>
      </c>
      <c r="CB168" s="22" t="e">
        <f t="shared" si="171"/>
        <v>#NUM!</v>
      </c>
      <c r="CC168" s="60" t="e">
        <f t="shared" si="119"/>
        <v>#NUM!</v>
      </c>
      <c r="CD168" s="60">
        <f ca="1">AVERAGE(OFFSET($CC$3,0,0,'Données projet'!$E$12+1,1))-AVERAGE(OFFSET($H$3,0,0,'Données projet'!$E$12+1,1))</f>
        <v>330.39429528665841</v>
      </c>
      <c r="CE168" s="60">
        <f t="shared" si="148"/>
        <v>186.45728006007261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-9.6633812063373625E-13</v>
      </c>
      <c r="CU168" s="18">
        <f>CT168*VLOOKUP('Données projet'!$B$13,Paramètres!$A$1:$I$89,3,0)*VLOOKUP('Données projet'!$B$13,Paramètres!$A$1:$I$89,5,0)</f>
        <v>-1.0401663530501537E-12</v>
      </c>
      <c r="CV168" s="14" t="e">
        <f t="shared" si="173"/>
        <v>#NUM!</v>
      </c>
      <c r="CW168" s="22" t="e">
        <f t="shared" si="174"/>
        <v>#NUM!</v>
      </c>
      <c r="CX168" s="60" t="e">
        <f t="shared" si="122"/>
        <v>#NUM!</v>
      </c>
      <c r="CY168" s="60">
        <f ca="1">AVERAGE(OFFSET($CX$3,0,0,'Données projet'!$E$13+1,1))-AVERAGE(OFFSET($H$3,0,0,'Données projet'!$E$13+1,1))</f>
        <v>376.96388721258387</v>
      </c>
      <c r="CZ168" s="60">
        <f t="shared" si="150"/>
        <v>211.14628470344377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1.7053025658242404E-13</v>
      </c>
      <c r="DP168" s="18">
        <f>DO168*VLOOKUP('Données projet'!$B$14,Paramètres!$A$1:$I$89,3,0)*VLOOKUP('Données projet'!$B$14,Paramètres!$A$1:$I$89,5,0)</f>
        <v>1.1439169611549005E-13</v>
      </c>
      <c r="DQ168" s="14">
        <f t="shared" si="176"/>
        <v>1.6918016515029816E-12</v>
      </c>
      <c r="DR168" s="22">
        <f t="shared" si="177"/>
        <v>3.1457867471021712E-12</v>
      </c>
      <c r="DS168" s="60">
        <f t="shared" si="125"/>
        <v>293.33333333333644</v>
      </c>
      <c r="DT168" s="60">
        <f ca="1">AVERAGE(OFFSET($DS$3,0,0,'Données projet'!$E$14+1,1))-AVERAGE(OFFSET($H$3,0,0,'Données projet'!$E$14+1,1))</f>
        <v>212.33913923444732</v>
      </c>
      <c r="DU168" s="60">
        <f t="shared" si="152"/>
        <v>183.51194426094372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0" t="e">
        <f t="shared" si="128"/>
        <v>#N/A</v>
      </c>
      <c r="EO168" s="60" t="e">
        <f ca="1">AVERAGE(OFFSET($EN$3,0,0,'Données projet'!$E$15+1,1))-AVERAGE(OFFSET($H$3,0,0,'Données projet'!$E$15+1,1))</f>
        <v>#N/A</v>
      </c>
      <c r="EP168" s="60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0" t="e">
        <f t="shared" si="131"/>
        <v>#N/A</v>
      </c>
      <c r="FJ168" s="60" t="e">
        <f ca="1">AVERAGE(OFFSET($FI$3,0,0,'Données projet'!$E$16+1,1))-AVERAGE(OFFSET($H$3,0,0,'Données projet'!$E$16+1,1))</f>
        <v>#N/A</v>
      </c>
      <c r="FK168" s="60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0" t="e">
        <f t="shared" si="134"/>
        <v>#N/A</v>
      </c>
      <c r="GE168" s="60" t="e">
        <f ca="1">AVERAGE(OFFSET($GD$3,0,0,'Données projet'!$E$17+1,1))-AVERAGE(OFFSET($H$3,0,0,'Données projet'!$E$17+1,1))</f>
        <v>#N/A</v>
      </c>
      <c r="GF168" s="60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0" t="e">
        <f t="shared" si="137"/>
        <v>#N/A</v>
      </c>
      <c r="GZ168" s="60" t="e">
        <f ca="1">AVERAGE(OFFSET($GY$3,0,0,'Données projet'!$E$18+1,1))-AVERAGE(OFFSET($H$3,0,0,'Données projet'!$E$18+1,1))</f>
        <v>#N/A</v>
      </c>
      <c r="HA168" s="60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5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2">
        <f t="shared" si="140"/>
        <v>24.718549958973419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8">
        <f t="shared" si="110"/>
        <v>494.24250784521246</v>
      </c>
      <c r="I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3.4106051316484809E-13</v>
      </c>
      <c r="O169" s="14">
        <f>N169*VLOOKUP('Données projet'!$B$9,Paramètres!$A$1:$I$89,3,0)*VLOOKUP('Données projet'!$B$9,Paramètres!$A$1:$I$89,5,0)</f>
        <v>1.5961632016114892E-13</v>
      </c>
      <c r="P169" s="14">
        <f t="shared" si="141"/>
        <v>2.2708641912150958E-12</v>
      </c>
      <c r="Q169" s="22">
        <f t="shared" si="162"/>
        <v>4.2330868906469593E-12</v>
      </c>
      <c r="R169" s="60">
        <f t="shared" si="109"/>
        <v>293.33333333333752</v>
      </c>
      <c r="S169" s="60">
        <f ca="1">AVERAGE(OFFSET($R$3,0,0,'Données projet'!$E$9+1,1))-AVERAGE(OFFSET($H$3,0,0,'Données projet'!$E$9+1,1))</f>
        <v>146.40889017442277</v>
      </c>
      <c r="T169" s="60">
        <f t="shared" si="142"/>
        <v>70.859031694091868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-1.1368683772161603E-13</v>
      </c>
      <c r="AJ169" s="14">
        <f>AI169*VLOOKUP('Données projet'!$B$10,Paramètres!$A$1:$I$89,3,0)*VLOOKUP('Données projet'!$B$10,Paramètres!$A$1:$I$89,5,0)</f>
        <v>-1.0286385077051818E-13</v>
      </c>
      <c r="AK169" s="14" t="e">
        <f t="shared" si="164"/>
        <v>#NUM!</v>
      </c>
      <c r="AL169" s="22" t="e">
        <f t="shared" si="165"/>
        <v>#NUM!</v>
      </c>
      <c r="AM169" s="60" t="e">
        <f t="shared" si="113"/>
        <v>#NUM!</v>
      </c>
      <c r="AN169" s="60">
        <f ca="1">AVERAGE(OFFSET($AM$3,0,0,'Données projet'!$E$10+1,1))-AVERAGE(OFFSET($H$3,0,0,'Données projet'!$E$10+1,1))</f>
        <v>404.14319681142746</v>
      </c>
      <c r="AO169" s="60">
        <f t="shared" si="144"/>
        <v>203.5274665601915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-9.6633812063373625E-13</v>
      </c>
      <c r="BE169" s="14">
        <f>BD169*VLOOKUP('Données projet'!$B$11,Paramètres!$A$1:$I$89,3,0)*VLOOKUP('Données projet'!$B$11,Paramètres!$A$1:$I$89,5,0)</f>
        <v>-9.7986685432260874E-13</v>
      </c>
      <c r="BF169" s="14" t="e">
        <f t="shared" si="167"/>
        <v>#NUM!</v>
      </c>
      <c r="BG169" s="22" t="e">
        <f t="shared" si="168"/>
        <v>#NUM!</v>
      </c>
      <c r="BH169" s="60" t="e">
        <f t="shared" si="116"/>
        <v>#NUM!</v>
      </c>
      <c r="BI169" s="60">
        <f ca="1">AVERAGE(OFFSET($BH$3,0,0,'Données projet'!$E$11+1,1))-AVERAGE(OFFSET($H$3,0,0,'Données projet'!$E$11+1,1))</f>
        <v>350.3652766444938</v>
      </c>
      <c r="BJ169" s="60">
        <f t="shared" si="146"/>
        <v>197.04549436738586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-9.6633812063373625E-13</v>
      </c>
      <c r="BZ169" s="14">
        <f>BY169*VLOOKUP('Données projet'!$B$12,Paramètres!$A$1:$I$89,3,0)*VLOOKUP('Données projet'!$B$12,Paramètres!$A$1:$I$89,5,0)</f>
        <v>-9.3464223027694966E-13</v>
      </c>
      <c r="CA169" s="14" t="e">
        <f t="shared" si="170"/>
        <v>#NUM!</v>
      </c>
      <c r="CB169" s="22" t="e">
        <f t="shared" si="171"/>
        <v>#NUM!</v>
      </c>
      <c r="CC169" s="60" t="e">
        <f t="shared" si="119"/>
        <v>#NUM!</v>
      </c>
      <c r="CD169" s="60">
        <f ca="1">AVERAGE(OFFSET($CC$3,0,0,'Données projet'!$E$12+1,1))-AVERAGE(OFFSET($H$3,0,0,'Données projet'!$E$12+1,1))</f>
        <v>330.39429528665841</v>
      </c>
      <c r="CE169" s="60">
        <f t="shared" si="148"/>
        <v>186.45728006007261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-9.6633812063373625E-13</v>
      </c>
      <c r="CU169" s="18">
        <f>CT169*VLOOKUP('Données projet'!$B$13,Paramètres!$A$1:$I$89,3,0)*VLOOKUP('Données projet'!$B$13,Paramètres!$A$1:$I$89,5,0)</f>
        <v>-1.0401663530501537E-12</v>
      </c>
      <c r="CV169" s="14" t="e">
        <f t="shared" si="173"/>
        <v>#NUM!</v>
      </c>
      <c r="CW169" s="22" t="e">
        <f t="shared" si="174"/>
        <v>#NUM!</v>
      </c>
      <c r="CX169" s="60" t="e">
        <f t="shared" si="122"/>
        <v>#NUM!</v>
      </c>
      <c r="CY169" s="60">
        <f ca="1">AVERAGE(OFFSET($CX$3,0,0,'Données projet'!$E$13+1,1))-AVERAGE(OFFSET($H$3,0,0,'Données projet'!$E$13+1,1))</f>
        <v>376.96388721258387</v>
      </c>
      <c r="CZ169" s="60">
        <f t="shared" si="150"/>
        <v>211.14628470344377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1.7053025658242404E-13</v>
      </c>
      <c r="DP169" s="18">
        <f>DO169*VLOOKUP('Données projet'!$B$14,Paramètres!$A$1:$I$89,3,0)*VLOOKUP('Données projet'!$B$14,Paramètres!$A$1:$I$89,5,0)</f>
        <v>1.1439169611549005E-13</v>
      </c>
      <c r="DQ169" s="14">
        <f t="shared" si="176"/>
        <v>1.6918016515029816E-12</v>
      </c>
      <c r="DR169" s="22">
        <f t="shared" si="177"/>
        <v>3.1457867471021712E-12</v>
      </c>
      <c r="DS169" s="60">
        <f t="shared" si="125"/>
        <v>293.33333333333644</v>
      </c>
      <c r="DT169" s="60">
        <f ca="1">AVERAGE(OFFSET($DS$3,0,0,'Données projet'!$E$14+1,1))-AVERAGE(OFFSET($H$3,0,0,'Données projet'!$E$14+1,1))</f>
        <v>212.33913923444732</v>
      </c>
      <c r="DU169" s="60">
        <f t="shared" si="152"/>
        <v>183.51194426094372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0" t="e">
        <f t="shared" si="128"/>
        <v>#N/A</v>
      </c>
      <c r="EO169" s="60" t="e">
        <f ca="1">AVERAGE(OFFSET($EN$3,0,0,'Données projet'!$E$15+1,1))-AVERAGE(OFFSET($H$3,0,0,'Données projet'!$E$15+1,1))</f>
        <v>#N/A</v>
      </c>
      <c r="EP169" s="60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0" t="e">
        <f t="shared" si="131"/>
        <v>#N/A</v>
      </c>
      <c r="FJ169" s="60" t="e">
        <f ca="1">AVERAGE(OFFSET($FI$3,0,0,'Données projet'!$E$16+1,1))-AVERAGE(OFFSET($H$3,0,0,'Données projet'!$E$16+1,1))</f>
        <v>#N/A</v>
      </c>
      <c r="FK169" s="60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0" t="e">
        <f t="shared" si="134"/>
        <v>#N/A</v>
      </c>
      <c r="GE169" s="60" t="e">
        <f ca="1">AVERAGE(OFFSET($GD$3,0,0,'Données projet'!$E$17+1,1))-AVERAGE(OFFSET($H$3,0,0,'Données projet'!$E$17+1,1))</f>
        <v>#N/A</v>
      </c>
      <c r="GF169" s="60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0" t="e">
        <f t="shared" si="137"/>
        <v>#N/A</v>
      </c>
      <c r="GZ169" s="60" t="e">
        <f ca="1">AVERAGE(OFFSET($GY$3,0,0,'Données projet'!$E$18+1,1))-AVERAGE(OFFSET($H$3,0,0,'Données projet'!$E$18+1,1))</f>
        <v>#N/A</v>
      </c>
      <c r="HA169" s="60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5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2">
        <f t="shared" si="140"/>
        <v>24.850078092947228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8">
        <f t="shared" si="110"/>
        <v>495.42253601188349</v>
      </c>
      <c r="I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3.4106051316484809E-13</v>
      </c>
      <c r="O170" s="14">
        <f>N170*VLOOKUP('Données projet'!$B$9,Paramètres!$A$1:$I$89,3,0)*VLOOKUP('Données projet'!$B$9,Paramètres!$A$1:$I$89,5,0)</f>
        <v>1.5961632016114892E-13</v>
      </c>
      <c r="P170" s="14">
        <f t="shared" si="141"/>
        <v>2.2708641912150958E-12</v>
      </c>
      <c r="Q170" s="22">
        <f t="shared" si="162"/>
        <v>4.2330868906469593E-12</v>
      </c>
      <c r="R170" s="60">
        <f t="shared" si="109"/>
        <v>293.33333333333752</v>
      </c>
      <c r="S170" s="60">
        <f ca="1">AVERAGE(OFFSET($R$3,0,0,'Données projet'!$E$9+1,1))-AVERAGE(OFFSET($H$3,0,0,'Données projet'!$E$9+1,1))</f>
        <v>146.40889017442277</v>
      </c>
      <c r="T170" s="60">
        <f t="shared" si="142"/>
        <v>70.859031694091868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-1.1368683772161603E-13</v>
      </c>
      <c r="AJ170" s="14">
        <f>AI170*VLOOKUP('Données projet'!$B$10,Paramètres!$A$1:$I$89,3,0)*VLOOKUP('Données projet'!$B$10,Paramètres!$A$1:$I$89,5,0)</f>
        <v>-1.0286385077051818E-13</v>
      </c>
      <c r="AK170" s="14" t="e">
        <f t="shared" si="164"/>
        <v>#NUM!</v>
      </c>
      <c r="AL170" s="22" t="e">
        <f t="shared" si="165"/>
        <v>#NUM!</v>
      </c>
      <c r="AM170" s="60" t="e">
        <f t="shared" si="113"/>
        <v>#NUM!</v>
      </c>
      <c r="AN170" s="60">
        <f ca="1">AVERAGE(OFFSET($AM$3,0,0,'Données projet'!$E$10+1,1))-AVERAGE(OFFSET($H$3,0,0,'Données projet'!$E$10+1,1))</f>
        <v>404.14319681142746</v>
      </c>
      <c r="AO170" s="60">
        <f t="shared" si="144"/>
        <v>203.5274665601915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-9.6633812063373625E-13</v>
      </c>
      <c r="BE170" s="14">
        <f>BD170*VLOOKUP('Données projet'!$B$11,Paramètres!$A$1:$I$89,3,0)*VLOOKUP('Données projet'!$B$11,Paramètres!$A$1:$I$89,5,0)</f>
        <v>-9.7986685432260874E-13</v>
      </c>
      <c r="BF170" s="14" t="e">
        <f t="shared" si="167"/>
        <v>#NUM!</v>
      </c>
      <c r="BG170" s="22" t="e">
        <f t="shared" si="168"/>
        <v>#NUM!</v>
      </c>
      <c r="BH170" s="60" t="e">
        <f t="shared" si="116"/>
        <v>#NUM!</v>
      </c>
      <c r="BI170" s="60">
        <f ca="1">AVERAGE(OFFSET($BH$3,0,0,'Données projet'!$E$11+1,1))-AVERAGE(OFFSET($H$3,0,0,'Données projet'!$E$11+1,1))</f>
        <v>350.3652766444938</v>
      </c>
      <c r="BJ170" s="60">
        <f t="shared" si="146"/>
        <v>197.04549436738586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-9.6633812063373625E-13</v>
      </c>
      <c r="BZ170" s="14">
        <f>BY170*VLOOKUP('Données projet'!$B$12,Paramètres!$A$1:$I$89,3,0)*VLOOKUP('Données projet'!$B$12,Paramètres!$A$1:$I$89,5,0)</f>
        <v>-9.3464223027694966E-13</v>
      </c>
      <c r="CA170" s="14" t="e">
        <f t="shared" si="170"/>
        <v>#NUM!</v>
      </c>
      <c r="CB170" s="22" t="e">
        <f t="shared" si="171"/>
        <v>#NUM!</v>
      </c>
      <c r="CC170" s="60" t="e">
        <f t="shared" si="119"/>
        <v>#NUM!</v>
      </c>
      <c r="CD170" s="60">
        <f ca="1">AVERAGE(OFFSET($CC$3,0,0,'Données projet'!$E$12+1,1))-AVERAGE(OFFSET($H$3,0,0,'Données projet'!$E$12+1,1))</f>
        <v>330.39429528665841</v>
      </c>
      <c r="CE170" s="60">
        <f t="shared" si="148"/>
        <v>186.45728006007261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-9.6633812063373625E-13</v>
      </c>
      <c r="CU170" s="18">
        <f>CT170*VLOOKUP('Données projet'!$B$13,Paramètres!$A$1:$I$89,3,0)*VLOOKUP('Données projet'!$B$13,Paramètres!$A$1:$I$89,5,0)</f>
        <v>-1.0401663530501537E-12</v>
      </c>
      <c r="CV170" s="14" t="e">
        <f t="shared" si="173"/>
        <v>#NUM!</v>
      </c>
      <c r="CW170" s="22" t="e">
        <f t="shared" si="174"/>
        <v>#NUM!</v>
      </c>
      <c r="CX170" s="60" t="e">
        <f t="shared" si="122"/>
        <v>#NUM!</v>
      </c>
      <c r="CY170" s="60">
        <f ca="1">AVERAGE(OFFSET($CX$3,0,0,'Données projet'!$E$13+1,1))-AVERAGE(OFFSET($H$3,0,0,'Données projet'!$E$13+1,1))</f>
        <v>376.96388721258387</v>
      </c>
      <c r="CZ170" s="60">
        <f t="shared" si="150"/>
        <v>211.14628470344377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1.7053025658242404E-13</v>
      </c>
      <c r="DP170" s="18">
        <f>DO170*VLOOKUP('Données projet'!$B$14,Paramètres!$A$1:$I$89,3,0)*VLOOKUP('Données projet'!$B$14,Paramètres!$A$1:$I$89,5,0)</f>
        <v>1.1439169611549005E-13</v>
      </c>
      <c r="DQ170" s="14">
        <f t="shared" si="176"/>
        <v>1.6918016515029816E-12</v>
      </c>
      <c r="DR170" s="22">
        <f t="shared" si="177"/>
        <v>3.1457867471021712E-12</v>
      </c>
      <c r="DS170" s="60">
        <f t="shared" si="125"/>
        <v>293.33333333333644</v>
      </c>
      <c r="DT170" s="60">
        <f ca="1">AVERAGE(OFFSET($DS$3,0,0,'Données projet'!$E$14+1,1))-AVERAGE(OFFSET($H$3,0,0,'Données projet'!$E$14+1,1))</f>
        <v>212.33913923444732</v>
      </c>
      <c r="DU170" s="60">
        <f t="shared" si="152"/>
        <v>183.51194426094372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0" t="e">
        <f t="shared" si="128"/>
        <v>#N/A</v>
      </c>
      <c r="EO170" s="60" t="e">
        <f ca="1">AVERAGE(OFFSET($EN$3,0,0,'Données projet'!$E$15+1,1))-AVERAGE(OFFSET($H$3,0,0,'Données projet'!$E$15+1,1))</f>
        <v>#N/A</v>
      </c>
      <c r="EP170" s="60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0" t="e">
        <f t="shared" si="131"/>
        <v>#N/A</v>
      </c>
      <c r="FJ170" s="60" t="e">
        <f ca="1">AVERAGE(OFFSET($FI$3,0,0,'Données projet'!$E$16+1,1))-AVERAGE(OFFSET($H$3,0,0,'Données projet'!$E$16+1,1))</f>
        <v>#N/A</v>
      </c>
      <c r="FK170" s="60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0" t="e">
        <f t="shared" si="134"/>
        <v>#N/A</v>
      </c>
      <c r="GE170" s="60" t="e">
        <f ca="1">AVERAGE(OFFSET($GD$3,0,0,'Données projet'!$E$17+1,1))-AVERAGE(OFFSET($H$3,0,0,'Données projet'!$E$17+1,1))</f>
        <v>#N/A</v>
      </c>
      <c r="GF170" s="60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0" t="e">
        <f t="shared" si="137"/>
        <v>#N/A</v>
      </c>
      <c r="GZ170" s="60" t="e">
        <f ca="1">AVERAGE(OFFSET($GY$3,0,0,'Données projet'!$E$18+1,1))-AVERAGE(OFFSET($H$3,0,0,'Données projet'!$E$18+1,1))</f>
        <v>#N/A</v>
      </c>
      <c r="HA170" s="60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5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2">
        <f t="shared" si="140"/>
        <v>24.981514582386627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8">
        <f t="shared" si="110"/>
        <v>496.60240456432382</v>
      </c>
      <c r="I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3.4106051316484809E-13</v>
      </c>
      <c r="O171" s="14">
        <f>N171*VLOOKUP('Données projet'!$B$9,Paramètres!$A$1:$I$89,3,0)*VLOOKUP('Données projet'!$B$9,Paramètres!$A$1:$I$89,5,0)</f>
        <v>1.5961632016114892E-13</v>
      </c>
      <c r="P171" s="14">
        <f t="shared" si="141"/>
        <v>2.2708641912150958E-12</v>
      </c>
      <c r="Q171" s="22">
        <f t="shared" si="162"/>
        <v>4.2330868906469593E-12</v>
      </c>
      <c r="R171" s="60">
        <f t="shared" si="109"/>
        <v>293.33333333333752</v>
      </c>
      <c r="S171" s="60">
        <f ca="1">AVERAGE(OFFSET($R$3,0,0,'Données projet'!$E$9+1,1))-AVERAGE(OFFSET($H$3,0,0,'Données projet'!$E$9+1,1))</f>
        <v>146.40889017442277</v>
      </c>
      <c r="T171" s="60">
        <f t="shared" si="142"/>
        <v>70.859031694091868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-1.1368683772161603E-13</v>
      </c>
      <c r="AJ171" s="14">
        <f>AI171*VLOOKUP('Données projet'!$B$10,Paramètres!$A$1:$I$89,3,0)*VLOOKUP('Données projet'!$B$10,Paramètres!$A$1:$I$89,5,0)</f>
        <v>-1.0286385077051818E-13</v>
      </c>
      <c r="AK171" s="14" t="e">
        <f t="shared" si="164"/>
        <v>#NUM!</v>
      </c>
      <c r="AL171" s="22" t="e">
        <f t="shared" si="165"/>
        <v>#NUM!</v>
      </c>
      <c r="AM171" s="60" t="e">
        <f t="shared" si="113"/>
        <v>#NUM!</v>
      </c>
      <c r="AN171" s="60">
        <f ca="1">AVERAGE(OFFSET($AM$3,0,0,'Données projet'!$E$10+1,1))-AVERAGE(OFFSET($H$3,0,0,'Données projet'!$E$10+1,1))</f>
        <v>404.14319681142746</v>
      </c>
      <c r="AO171" s="60">
        <f t="shared" si="144"/>
        <v>203.5274665601915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-9.6633812063373625E-13</v>
      </c>
      <c r="BE171" s="14">
        <f>BD171*VLOOKUP('Données projet'!$B$11,Paramètres!$A$1:$I$89,3,0)*VLOOKUP('Données projet'!$B$11,Paramètres!$A$1:$I$89,5,0)</f>
        <v>-9.7986685432260874E-13</v>
      </c>
      <c r="BF171" s="14" t="e">
        <f t="shared" si="167"/>
        <v>#NUM!</v>
      </c>
      <c r="BG171" s="22" t="e">
        <f t="shared" si="168"/>
        <v>#NUM!</v>
      </c>
      <c r="BH171" s="60" t="e">
        <f t="shared" si="116"/>
        <v>#NUM!</v>
      </c>
      <c r="BI171" s="60">
        <f ca="1">AVERAGE(OFFSET($BH$3,0,0,'Données projet'!$E$11+1,1))-AVERAGE(OFFSET($H$3,0,0,'Données projet'!$E$11+1,1))</f>
        <v>350.3652766444938</v>
      </c>
      <c r="BJ171" s="60">
        <f t="shared" si="146"/>
        <v>197.04549436738586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-9.6633812063373625E-13</v>
      </c>
      <c r="BZ171" s="14">
        <f>BY171*VLOOKUP('Données projet'!$B$12,Paramètres!$A$1:$I$89,3,0)*VLOOKUP('Données projet'!$B$12,Paramètres!$A$1:$I$89,5,0)</f>
        <v>-9.3464223027694966E-13</v>
      </c>
      <c r="CA171" s="14" t="e">
        <f t="shared" si="170"/>
        <v>#NUM!</v>
      </c>
      <c r="CB171" s="22" t="e">
        <f t="shared" si="171"/>
        <v>#NUM!</v>
      </c>
      <c r="CC171" s="60" t="e">
        <f t="shared" si="119"/>
        <v>#NUM!</v>
      </c>
      <c r="CD171" s="60">
        <f ca="1">AVERAGE(OFFSET($CC$3,0,0,'Données projet'!$E$12+1,1))-AVERAGE(OFFSET($H$3,0,0,'Données projet'!$E$12+1,1))</f>
        <v>330.39429528665841</v>
      </c>
      <c r="CE171" s="60">
        <f t="shared" si="148"/>
        <v>186.45728006007261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-9.6633812063373625E-13</v>
      </c>
      <c r="CU171" s="18">
        <f>CT171*VLOOKUP('Données projet'!$B$13,Paramètres!$A$1:$I$89,3,0)*VLOOKUP('Données projet'!$B$13,Paramètres!$A$1:$I$89,5,0)</f>
        <v>-1.0401663530501537E-12</v>
      </c>
      <c r="CV171" s="14" t="e">
        <f t="shared" si="173"/>
        <v>#NUM!</v>
      </c>
      <c r="CW171" s="22" t="e">
        <f t="shared" si="174"/>
        <v>#NUM!</v>
      </c>
      <c r="CX171" s="60" t="e">
        <f t="shared" si="122"/>
        <v>#NUM!</v>
      </c>
      <c r="CY171" s="60">
        <f ca="1">AVERAGE(OFFSET($CX$3,0,0,'Données projet'!$E$13+1,1))-AVERAGE(OFFSET($H$3,0,0,'Données projet'!$E$13+1,1))</f>
        <v>376.96388721258387</v>
      </c>
      <c r="CZ171" s="60">
        <f t="shared" si="150"/>
        <v>211.14628470344377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1.7053025658242404E-13</v>
      </c>
      <c r="DP171" s="18">
        <f>DO171*VLOOKUP('Données projet'!$B$14,Paramètres!$A$1:$I$89,3,0)*VLOOKUP('Données projet'!$B$14,Paramètres!$A$1:$I$89,5,0)</f>
        <v>1.1439169611549005E-13</v>
      </c>
      <c r="DQ171" s="14">
        <f t="shared" si="176"/>
        <v>1.6918016515029816E-12</v>
      </c>
      <c r="DR171" s="22">
        <f t="shared" si="177"/>
        <v>3.1457867471021712E-12</v>
      </c>
      <c r="DS171" s="60">
        <f t="shared" si="125"/>
        <v>293.33333333333644</v>
      </c>
      <c r="DT171" s="60">
        <f ca="1">AVERAGE(OFFSET($DS$3,0,0,'Données projet'!$E$14+1,1))-AVERAGE(OFFSET($H$3,0,0,'Données projet'!$E$14+1,1))</f>
        <v>212.33913923444732</v>
      </c>
      <c r="DU171" s="60">
        <f t="shared" si="152"/>
        <v>183.51194426094372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0" t="e">
        <f t="shared" si="128"/>
        <v>#N/A</v>
      </c>
      <c r="EO171" s="60" t="e">
        <f ca="1">AVERAGE(OFFSET($EN$3,0,0,'Données projet'!$E$15+1,1))-AVERAGE(OFFSET($H$3,0,0,'Données projet'!$E$15+1,1))</f>
        <v>#N/A</v>
      </c>
      <c r="EP171" s="60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0" t="e">
        <f t="shared" si="131"/>
        <v>#N/A</v>
      </c>
      <c r="FJ171" s="60" t="e">
        <f ca="1">AVERAGE(OFFSET($FI$3,0,0,'Données projet'!$E$16+1,1))-AVERAGE(OFFSET($H$3,0,0,'Données projet'!$E$16+1,1))</f>
        <v>#N/A</v>
      </c>
      <c r="FK171" s="60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0" t="e">
        <f t="shared" si="134"/>
        <v>#N/A</v>
      </c>
      <c r="GE171" s="60" t="e">
        <f ca="1">AVERAGE(OFFSET($GD$3,0,0,'Données projet'!$E$17+1,1))-AVERAGE(OFFSET($H$3,0,0,'Données projet'!$E$17+1,1))</f>
        <v>#N/A</v>
      </c>
      <c r="GF171" s="60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0" t="e">
        <f t="shared" si="137"/>
        <v>#N/A</v>
      </c>
      <c r="GZ171" s="60" t="e">
        <f ca="1">AVERAGE(OFFSET($GY$3,0,0,'Données projet'!$E$18+1,1))-AVERAGE(OFFSET($H$3,0,0,'Données projet'!$E$18+1,1))</f>
        <v>#N/A</v>
      </c>
      <c r="HA171" s="60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5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2">
        <f t="shared" si="140"/>
        <v>25.112860036087632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8">
        <f t="shared" si="110"/>
        <v>497.78211456285305</v>
      </c>
      <c r="I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3.4106051316484809E-13</v>
      </c>
      <c r="O172" s="14">
        <f>N172*VLOOKUP('Données projet'!$B$9,Paramètres!$A$1:$I$89,3,0)*VLOOKUP('Données projet'!$B$9,Paramètres!$A$1:$I$89,5,0)</f>
        <v>1.5961632016114892E-13</v>
      </c>
      <c r="P172" s="14">
        <f t="shared" si="141"/>
        <v>2.2708641912150958E-12</v>
      </c>
      <c r="Q172" s="22">
        <f t="shared" si="162"/>
        <v>4.2330868906469593E-12</v>
      </c>
      <c r="R172" s="60">
        <f t="shared" si="109"/>
        <v>293.33333333333752</v>
      </c>
      <c r="S172" s="60">
        <f ca="1">AVERAGE(OFFSET($R$3,0,0,'Données projet'!$E$9+1,1))-AVERAGE(OFFSET($H$3,0,0,'Données projet'!$E$9+1,1))</f>
        <v>146.40889017442277</v>
      </c>
      <c r="T172" s="60">
        <f t="shared" si="142"/>
        <v>70.859031694091868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-1.1368683772161603E-13</v>
      </c>
      <c r="AJ172" s="14">
        <f>AI172*VLOOKUP('Données projet'!$B$10,Paramètres!$A$1:$I$89,3,0)*VLOOKUP('Données projet'!$B$10,Paramètres!$A$1:$I$89,5,0)</f>
        <v>-1.0286385077051818E-13</v>
      </c>
      <c r="AK172" s="14" t="e">
        <f t="shared" si="164"/>
        <v>#NUM!</v>
      </c>
      <c r="AL172" s="22" t="e">
        <f t="shared" si="165"/>
        <v>#NUM!</v>
      </c>
      <c r="AM172" s="60" t="e">
        <f t="shared" si="113"/>
        <v>#NUM!</v>
      </c>
      <c r="AN172" s="60">
        <f ca="1">AVERAGE(OFFSET($AM$3,0,0,'Données projet'!$E$10+1,1))-AVERAGE(OFFSET($H$3,0,0,'Données projet'!$E$10+1,1))</f>
        <v>404.14319681142746</v>
      </c>
      <c r="AO172" s="60">
        <f t="shared" si="144"/>
        <v>203.5274665601915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-9.6633812063373625E-13</v>
      </c>
      <c r="BE172" s="14">
        <f>BD172*VLOOKUP('Données projet'!$B$11,Paramètres!$A$1:$I$89,3,0)*VLOOKUP('Données projet'!$B$11,Paramètres!$A$1:$I$89,5,0)</f>
        <v>-9.7986685432260874E-13</v>
      </c>
      <c r="BF172" s="14" t="e">
        <f t="shared" si="167"/>
        <v>#NUM!</v>
      </c>
      <c r="BG172" s="22" t="e">
        <f t="shared" si="168"/>
        <v>#NUM!</v>
      </c>
      <c r="BH172" s="60" t="e">
        <f t="shared" si="116"/>
        <v>#NUM!</v>
      </c>
      <c r="BI172" s="60">
        <f ca="1">AVERAGE(OFFSET($BH$3,0,0,'Données projet'!$E$11+1,1))-AVERAGE(OFFSET($H$3,0,0,'Données projet'!$E$11+1,1))</f>
        <v>350.3652766444938</v>
      </c>
      <c r="BJ172" s="60">
        <f t="shared" si="146"/>
        <v>197.04549436738586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-9.6633812063373625E-13</v>
      </c>
      <c r="BZ172" s="14">
        <f>BY172*VLOOKUP('Données projet'!$B$12,Paramètres!$A$1:$I$89,3,0)*VLOOKUP('Données projet'!$B$12,Paramètres!$A$1:$I$89,5,0)</f>
        <v>-9.3464223027694966E-13</v>
      </c>
      <c r="CA172" s="14" t="e">
        <f t="shared" si="170"/>
        <v>#NUM!</v>
      </c>
      <c r="CB172" s="22" t="e">
        <f t="shared" si="171"/>
        <v>#NUM!</v>
      </c>
      <c r="CC172" s="60" t="e">
        <f t="shared" si="119"/>
        <v>#NUM!</v>
      </c>
      <c r="CD172" s="60">
        <f ca="1">AVERAGE(OFFSET($CC$3,0,0,'Données projet'!$E$12+1,1))-AVERAGE(OFFSET($H$3,0,0,'Données projet'!$E$12+1,1))</f>
        <v>330.39429528665841</v>
      </c>
      <c r="CE172" s="60">
        <f t="shared" si="148"/>
        <v>186.45728006007261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-9.6633812063373625E-13</v>
      </c>
      <c r="CU172" s="18">
        <f>CT172*VLOOKUP('Données projet'!$B$13,Paramètres!$A$1:$I$89,3,0)*VLOOKUP('Données projet'!$B$13,Paramètres!$A$1:$I$89,5,0)</f>
        <v>-1.0401663530501537E-12</v>
      </c>
      <c r="CV172" s="14" t="e">
        <f t="shared" si="173"/>
        <v>#NUM!</v>
      </c>
      <c r="CW172" s="22" t="e">
        <f t="shared" si="174"/>
        <v>#NUM!</v>
      </c>
      <c r="CX172" s="60" t="e">
        <f t="shared" si="122"/>
        <v>#NUM!</v>
      </c>
      <c r="CY172" s="60">
        <f ca="1">AVERAGE(OFFSET($CX$3,0,0,'Données projet'!$E$13+1,1))-AVERAGE(OFFSET($H$3,0,0,'Données projet'!$E$13+1,1))</f>
        <v>376.96388721258387</v>
      </c>
      <c r="CZ172" s="60">
        <f t="shared" si="150"/>
        <v>211.14628470344377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1.7053025658242404E-13</v>
      </c>
      <c r="DP172" s="18">
        <f>DO172*VLOOKUP('Données projet'!$B$14,Paramètres!$A$1:$I$89,3,0)*VLOOKUP('Données projet'!$B$14,Paramètres!$A$1:$I$89,5,0)</f>
        <v>1.1439169611549005E-13</v>
      </c>
      <c r="DQ172" s="14">
        <f t="shared" si="176"/>
        <v>1.6918016515029816E-12</v>
      </c>
      <c r="DR172" s="22">
        <f t="shared" si="177"/>
        <v>3.1457867471021712E-12</v>
      </c>
      <c r="DS172" s="60">
        <f t="shared" si="125"/>
        <v>293.33333333333644</v>
      </c>
      <c r="DT172" s="60">
        <f ca="1">AVERAGE(OFFSET($DS$3,0,0,'Données projet'!$E$14+1,1))-AVERAGE(OFFSET($H$3,0,0,'Données projet'!$E$14+1,1))</f>
        <v>212.33913923444732</v>
      </c>
      <c r="DU172" s="60">
        <f t="shared" si="152"/>
        <v>183.51194426094372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0" t="e">
        <f t="shared" si="128"/>
        <v>#N/A</v>
      </c>
      <c r="EO172" s="60" t="e">
        <f ca="1">AVERAGE(OFFSET($EN$3,0,0,'Données projet'!$E$15+1,1))-AVERAGE(OFFSET($H$3,0,0,'Données projet'!$E$15+1,1))</f>
        <v>#N/A</v>
      </c>
      <c r="EP172" s="60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0" t="e">
        <f t="shared" si="131"/>
        <v>#N/A</v>
      </c>
      <c r="FJ172" s="60" t="e">
        <f ca="1">AVERAGE(OFFSET($FI$3,0,0,'Données projet'!$E$16+1,1))-AVERAGE(OFFSET($H$3,0,0,'Données projet'!$E$16+1,1))</f>
        <v>#N/A</v>
      </c>
      <c r="FK172" s="60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0" t="e">
        <f t="shared" si="134"/>
        <v>#N/A</v>
      </c>
      <c r="GE172" s="60" t="e">
        <f ca="1">AVERAGE(OFFSET($GD$3,0,0,'Données projet'!$E$17+1,1))-AVERAGE(OFFSET($H$3,0,0,'Données projet'!$E$17+1,1))</f>
        <v>#N/A</v>
      </c>
      <c r="GF172" s="60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0" t="e">
        <f t="shared" si="137"/>
        <v>#N/A</v>
      </c>
      <c r="GZ172" s="60" t="e">
        <f ca="1">AVERAGE(OFFSET($GY$3,0,0,'Données projet'!$E$18+1,1))-AVERAGE(OFFSET($H$3,0,0,'Données projet'!$E$18+1,1))</f>
        <v>#N/A</v>
      </c>
      <c r="HA172" s="60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5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2">
        <f t="shared" si="140"/>
        <v>25.244115055224771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8">
        <f t="shared" si="110"/>
        <v>498.96166705451697</v>
      </c>
      <c r="I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3.4106051316484809E-13</v>
      </c>
      <c r="O173" s="14">
        <f>N173*VLOOKUP('Données projet'!$B$9,Paramètres!$A$1:$I$89,3,0)*VLOOKUP('Données projet'!$B$9,Paramètres!$A$1:$I$89,5,0)</f>
        <v>1.5961632016114892E-13</v>
      </c>
      <c r="P173" s="14">
        <f t="shared" si="141"/>
        <v>2.2708641912150958E-12</v>
      </c>
      <c r="Q173" s="22">
        <f t="shared" si="162"/>
        <v>4.2330868906469593E-12</v>
      </c>
      <c r="R173" s="60">
        <f t="shared" si="109"/>
        <v>293.33333333333752</v>
      </c>
      <c r="S173" s="60">
        <f ca="1">AVERAGE(OFFSET($R$3,0,0,'Données projet'!$E$9+1,1))-AVERAGE(OFFSET($H$3,0,0,'Données projet'!$E$9+1,1))</f>
        <v>146.40889017442277</v>
      </c>
      <c r="T173" s="60">
        <f t="shared" si="142"/>
        <v>70.859031694091868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-1.1368683772161603E-13</v>
      </c>
      <c r="AJ173" s="14">
        <f>AI173*VLOOKUP('Données projet'!$B$10,Paramètres!$A$1:$I$89,3,0)*VLOOKUP('Données projet'!$B$10,Paramètres!$A$1:$I$89,5,0)</f>
        <v>-1.0286385077051818E-13</v>
      </c>
      <c r="AK173" s="14" t="e">
        <f t="shared" si="164"/>
        <v>#NUM!</v>
      </c>
      <c r="AL173" s="22" t="e">
        <f t="shared" si="165"/>
        <v>#NUM!</v>
      </c>
      <c r="AM173" s="60" t="e">
        <f t="shared" si="113"/>
        <v>#NUM!</v>
      </c>
      <c r="AN173" s="60">
        <f ca="1">AVERAGE(OFFSET($AM$3,0,0,'Données projet'!$E$10+1,1))-AVERAGE(OFFSET($H$3,0,0,'Données projet'!$E$10+1,1))</f>
        <v>404.14319681142746</v>
      </c>
      <c r="AO173" s="60">
        <f t="shared" si="144"/>
        <v>203.5274665601915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-9.6633812063373625E-13</v>
      </c>
      <c r="BE173" s="14">
        <f>BD173*VLOOKUP('Données projet'!$B$11,Paramètres!$A$1:$I$89,3,0)*VLOOKUP('Données projet'!$B$11,Paramètres!$A$1:$I$89,5,0)</f>
        <v>-9.7986685432260874E-13</v>
      </c>
      <c r="BF173" s="14" t="e">
        <f t="shared" si="167"/>
        <v>#NUM!</v>
      </c>
      <c r="BG173" s="22" t="e">
        <f t="shared" si="168"/>
        <v>#NUM!</v>
      </c>
      <c r="BH173" s="60" t="e">
        <f t="shared" si="116"/>
        <v>#NUM!</v>
      </c>
      <c r="BI173" s="60">
        <f ca="1">AVERAGE(OFFSET($BH$3,0,0,'Données projet'!$E$11+1,1))-AVERAGE(OFFSET($H$3,0,0,'Données projet'!$E$11+1,1))</f>
        <v>350.3652766444938</v>
      </c>
      <c r="BJ173" s="60">
        <f t="shared" si="146"/>
        <v>197.04549436738586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-9.6633812063373625E-13</v>
      </c>
      <c r="BZ173" s="14">
        <f>BY173*VLOOKUP('Données projet'!$B$12,Paramètres!$A$1:$I$89,3,0)*VLOOKUP('Données projet'!$B$12,Paramètres!$A$1:$I$89,5,0)</f>
        <v>-9.3464223027694966E-13</v>
      </c>
      <c r="CA173" s="14" t="e">
        <f t="shared" si="170"/>
        <v>#NUM!</v>
      </c>
      <c r="CB173" s="22" t="e">
        <f t="shared" si="171"/>
        <v>#NUM!</v>
      </c>
      <c r="CC173" s="60" t="e">
        <f t="shared" si="119"/>
        <v>#NUM!</v>
      </c>
      <c r="CD173" s="60">
        <f ca="1">AVERAGE(OFFSET($CC$3,0,0,'Données projet'!$E$12+1,1))-AVERAGE(OFFSET($H$3,0,0,'Données projet'!$E$12+1,1))</f>
        <v>330.39429528665841</v>
      </c>
      <c r="CE173" s="60">
        <f t="shared" si="148"/>
        <v>186.45728006007261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-9.6633812063373625E-13</v>
      </c>
      <c r="CU173" s="18">
        <f>CT173*VLOOKUP('Données projet'!$B$13,Paramètres!$A$1:$I$89,3,0)*VLOOKUP('Données projet'!$B$13,Paramètres!$A$1:$I$89,5,0)</f>
        <v>-1.0401663530501537E-12</v>
      </c>
      <c r="CV173" s="14" t="e">
        <f t="shared" si="173"/>
        <v>#NUM!</v>
      </c>
      <c r="CW173" s="22" t="e">
        <f t="shared" si="174"/>
        <v>#NUM!</v>
      </c>
      <c r="CX173" s="60" t="e">
        <f t="shared" si="122"/>
        <v>#NUM!</v>
      </c>
      <c r="CY173" s="60">
        <f ca="1">AVERAGE(OFFSET($CX$3,0,0,'Données projet'!$E$13+1,1))-AVERAGE(OFFSET($H$3,0,0,'Données projet'!$E$13+1,1))</f>
        <v>376.96388721258387</v>
      </c>
      <c r="CZ173" s="60">
        <f t="shared" si="150"/>
        <v>211.14628470344377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1.7053025658242404E-13</v>
      </c>
      <c r="DP173" s="18">
        <f>DO173*VLOOKUP('Données projet'!$B$14,Paramètres!$A$1:$I$89,3,0)*VLOOKUP('Données projet'!$B$14,Paramètres!$A$1:$I$89,5,0)</f>
        <v>1.1439169611549005E-13</v>
      </c>
      <c r="DQ173" s="14">
        <f t="shared" si="176"/>
        <v>1.6918016515029816E-12</v>
      </c>
      <c r="DR173" s="22">
        <f t="shared" si="177"/>
        <v>3.1457867471021712E-12</v>
      </c>
      <c r="DS173" s="60">
        <f t="shared" si="125"/>
        <v>293.33333333333644</v>
      </c>
      <c r="DT173" s="60">
        <f ca="1">AVERAGE(OFFSET($DS$3,0,0,'Données projet'!$E$14+1,1))-AVERAGE(OFFSET($H$3,0,0,'Données projet'!$E$14+1,1))</f>
        <v>212.33913923444732</v>
      </c>
      <c r="DU173" s="60">
        <f t="shared" si="152"/>
        <v>183.51194426094372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0" t="e">
        <f t="shared" si="128"/>
        <v>#N/A</v>
      </c>
      <c r="EO173" s="60" t="e">
        <f ca="1">AVERAGE(OFFSET($EN$3,0,0,'Données projet'!$E$15+1,1))-AVERAGE(OFFSET($H$3,0,0,'Données projet'!$E$15+1,1))</f>
        <v>#N/A</v>
      </c>
      <c r="EP173" s="60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0" t="e">
        <f t="shared" si="131"/>
        <v>#N/A</v>
      </c>
      <c r="FJ173" s="60" t="e">
        <f ca="1">AVERAGE(OFFSET($FI$3,0,0,'Données projet'!$E$16+1,1))-AVERAGE(OFFSET($H$3,0,0,'Données projet'!$E$16+1,1))</f>
        <v>#N/A</v>
      </c>
      <c r="FK173" s="60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0" t="e">
        <f t="shared" si="134"/>
        <v>#N/A</v>
      </c>
      <c r="GE173" s="60" t="e">
        <f ca="1">AVERAGE(OFFSET($GD$3,0,0,'Données projet'!$E$17+1,1))-AVERAGE(OFFSET($H$3,0,0,'Données projet'!$E$17+1,1))</f>
        <v>#N/A</v>
      </c>
      <c r="GF173" s="60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0" t="e">
        <f t="shared" si="137"/>
        <v>#N/A</v>
      </c>
      <c r="GZ173" s="60" t="e">
        <f ca="1">AVERAGE(OFFSET($GY$3,0,0,'Données projet'!$E$18+1,1))-AVERAGE(OFFSET($H$3,0,0,'Données projet'!$E$18+1,1))</f>
        <v>#N/A</v>
      </c>
      <c r="HA173" s="60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5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2">
        <f t="shared" si="140"/>
        <v>25.375280233490745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8">
        <f t="shared" si="110"/>
        <v>500.1410630733302</v>
      </c>
      <c r="I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3.4106051316484809E-13</v>
      </c>
      <c r="O174" s="14">
        <f>N174*VLOOKUP('Données projet'!$B$9,Paramètres!$A$1:$I$89,3,0)*VLOOKUP('Données projet'!$B$9,Paramètres!$A$1:$I$89,5,0)</f>
        <v>1.5961632016114892E-13</v>
      </c>
      <c r="P174" s="14">
        <f t="shared" si="141"/>
        <v>2.2708641912150958E-12</v>
      </c>
      <c r="Q174" s="22">
        <f t="shared" si="162"/>
        <v>4.2330868906469593E-12</v>
      </c>
      <c r="R174" s="60">
        <f t="shared" si="109"/>
        <v>293.33333333333752</v>
      </c>
      <c r="S174" s="60">
        <f ca="1">AVERAGE(OFFSET($R$3,0,0,'Données projet'!$E$9+1,1))-AVERAGE(OFFSET($H$3,0,0,'Données projet'!$E$9+1,1))</f>
        <v>146.40889017442277</v>
      </c>
      <c r="T174" s="60">
        <f t="shared" si="142"/>
        <v>70.859031694091868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-1.1368683772161603E-13</v>
      </c>
      <c r="AJ174" s="14">
        <f>AI174*VLOOKUP('Données projet'!$B$10,Paramètres!$A$1:$I$89,3,0)*VLOOKUP('Données projet'!$B$10,Paramètres!$A$1:$I$89,5,0)</f>
        <v>-1.0286385077051818E-13</v>
      </c>
      <c r="AK174" s="14" t="e">
        <f t="shared" si="164"/>
        <v>#NUM!</v>
      </c>
      <c r="AL174" s="22" t="e">
        <f t="shared" si="165"/>
        <v>#NUM!</v>
      </c>
      <c r="AM174" s="60" t="e">
        <f t="shared" si="113"/>
        <v>#NUM!</v>
      </c>
      <c r="AN174" s="60">
        <f ca="1">AVERAGE(OFFSET($AM$3,0,0,'Données projet'!$E$10+1,1))-AVERAGE(OFFSET($H$3,0,0,'Données projet'!$E$10+1,1))</f>
        <v>404.14319681142746</v>
      </c>
      <c r="AO174" s="60">
        <f t="shared" si="144"/>
        <v>203.5274665601915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-9.6633812063373625E-13</v>
      </c>
      <c r="BE174" s="14">
        <f>BD174*VLOOKUP('Données projet'!$B$11,Paramètres!$A$1:$I$89,3,0)*VLOOKUP('Données projet'!$B$11,Paramètres!$A$1:$I$89,5,0)</f>
        <v>-9.7986685432260874E-13</v>
      </c>
      <c r="BF174" s="14" t="e">
        <f t="shared" si="167"/>
        <v>#NUM!</v>
      </c>
      <c r="BG174" s="22" t="e">
        <f t="shared" si="168"/>
        <v>#NUM!</v>
      </c>
      <c r="BH174" s="60" t="e">
        <f t="shared" si="116"/>
        <v>#NUM!</v>
      </c>
      <c r="BI174" s="60">
        <f ca="1">AVERAGE(OFFSET($BH$3,0,0,'Données projet'!$E$11+1,1))-AVERAGE(OFFSET($H$3,0,0,'Données projet'!$E$11+1,1))</f>
        <v>350.3652766444938</v>
      </c>
      <c r="BJ174" s="60">
        <f t="shared" si="146"/>
        <v>197.04549436738586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-9.6633812063373625E-13</v>
      </c>
      <c r="BZ174" s="14">
        <f>BY174*VLOOKUP('Données projet'!$B$12,Paramètres!$A$1:$I$89,3,0)*VLOOKUP('Données projet'!$B$12,Paramètres!$A$1:$I$89,5,0)</f>
        <v>-9.3464223027694966E-13</v>
      </c>
      <c r="CA174" s="14" t="e">
        <f t="shared" si="170"/>
        <v>#NUM!</v>
      </c>
      <c r="CB174" s="22" t="e">
        <f t="shared" si="171"/>
        <v>#NUM!</v>
      </c>
      <c r="CC174" s="60" t="e">
        <f t="shared" si="119"/>
        <v>#NUM!</v>
      </c>
      <c r="CD174" s="60">
        <f ca="1">AVERAGE(OFFSET($CC$3,0,0,'Données projet'!$E$12+1,1))-AVERAGE(OFFSET($H$3,0,0,'Données projet'!$E$12+1,1))</f>
        <v>330.39429528665841</v>
      </c>
      <c r="CE174" s="60">
        <f t="shared" si="148"/>
        <v>186.45728006007261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-9.6633812063373625E-13</v>
      </c>
      <c r="CU174" s="18">
        <f>CT174*VLOOKUP('Données projet'!$B$13,Paramètres!$A$1:$I$89,3,0)*VLOOKUP('Données projet'!$B$13,Paramètres!$A$1:$I$89,5,0)</f>
        <v>-1.0401663530501537E-12</v>
      </c>
      <c r="CV174" s="14" t="e">
        <f t="shared" si="173"/>
        <v>#NUM!</v>
      </c>
      <c r="CW174" s="22" t="e">
        <f t="shared" si="174"/>
        <v>#NUM!</v>
      </c>
      <c r="CX174" s="60" t="e">
        <f t="shared" si="122"/>
        <v>#NUM!</v>
      </c>
      <c r="CY174" s="60">
        <f ca="1">AVERAGE(OFFSET($CX$3,0,0,'Données projet'!$E$13+1,1))-AVERAGE(OFFSET($H$3,0,0,'Données projet'!$E$13+1,1))</f>
        <v>376.96388721258387</v>
      </c>
      <c r="CZ174" s="60">
        <f t="shared" si="150"/>
        <v>211.14628470344377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1.7053025658242404E-13</v>
      </c>
      <c r="DP174" s="18">
        <f>DO174*VLOOKUP('Données projet'!$B$14,Paramètres!$A$1:$I$89,3,0)*VLOOKUP('Données projet'!$B$14,Paramètres!$A$1:$I$89,5,0)</f>
        <v>1.1439169611549005E-13</v>
      </c>
      <c r="DQ174" s="14">
        <f t="shared" si="176"/>
        <v>1.6918016515029816E-12</v>
      </c>
      <c r="DR174" s="22">
        <f t="shared" si="177"/>
        <v>3.1457867471021712E-12</v>
      </c>
      <c r="DS174" s="60">
        <f t="shared" si="125"/>
        <v>293.33333333333644</v>
      </c>
      <c r="DT174" s="60">
        <f ca="1">AVERAGE(OFFSET($DS$3,0,0,'Données projet'!$E$14+1,1))-AVERAGE(OFFSET($H$3,0,0,'Données projet'!$E$14+1,1))</f>
        <v>212.33913923444732</v>
      </c>
      <c r="DU174" s="60">
        <f t="shared" si="152"/>
        <v>183.51194426094372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0" t="e">
        <f t="shared" si="128"/>
        <v>#N/A</v>
      </c>
      <c r="EO174" s="60" t="e">
        <f ca="1">AVERAGE(OFFSET($EN$3,0,0,'Données projet'!$E$15+1,1))-AVERAGE(OFFSET($H$3,0,0,'Données projet'!$E$15+1,1))</f>
        <v>#N/A</v>
      </c>
      <c r="EP174" s="60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0" t="e">
        <f t="shared" si="131"/>
        <v>#N/A</v>
      </c>
      <c r="FJ174" s="60" t="e">
        <f ca="1">AVERAGE(OFFSET($FI$3,0,0,'Données projet'!$E$16+1,1))-AVERAGE(OFFSET($H$3,0,0,'Données projet'!$E$16+1,1))</f>
        <v>#N/A</v>
      </c>
      <c r="FK174" s="60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0" t="e">
        <f t="shared" si="134"/>
        <v>#N/A</v>
      </c>
      <c r="GE174" s="60" t="e">
        <f ca="1">AVERAGE(OFFSET($GD$3,0,0,'Données projet'!$E$17+1,1))-AVERAGE(OFFSET($H$3,0,0,'Données projet'!$E$17+1,1))</f>
        <v>#N/A</v>
      </c>
      <c r="GF174" s="60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0" t="e">
        <f t="shared" si="137"/>
        <v>#N/A</v>
      </c>
      <c r="GZ174" s="60" t="e">
        <f ca="1">AVERAGE(OFFSET($GY$3,0,0,'Données projet'!$E$18+1,1))-AVERAGE(OFFSET($H$3,0,0,'Données projet'!$E$18+1,1))</f>
        <v>#N/A</v>
      </c>
      <c r="HA174" s="60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5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2">
        <f t="shared" si="140"/>
        <v>25.506356157232712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8">
        <f t="shared" si="110"/>
        <v>501.32030364051411</v>
      </c>
      <c r="I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3.4106051316484809E-13</v>
      </c>
      <c r="O175" s="14">
        <f>N175*VLOOKUP('Données projet'!$B$9,Paramètres!$A$1:$I$89,3,0)*VLOOKUP('Données projet'!$B$9,Paramètres!$A$1:$I$89,5,0)</f>
        <v>1.5961632016114892E-13</v>
      </c>
      <c r="P175" s="14">
        <f t="shared" si="141"/>
        <v>2.2708641912150958E-12</v>
      </c>
      <c r="Q175" s="22">
        <f t="shared" si="162"/>
        <v>4.2330868906469593E-12</v>
      </c>
      <c r="R175" s="60">
        <f t="shared" si="109"/>
        <v>293.33333333333752</v>
      </c>
      <c r="S175" s="60">
        <f ca="1">AVERAGE(OFFSET($R$3,0,0,'Données projet'!$E$9+1,1))-AVERAGE(OFFSET($H$3,0,0,'Données projet'!$E$9+1,1))</f>
        <v>146.40889017442277</v>
      </c>
      <c r="T175" s="60">
        <f t="shared" si="142"/>
        <v>70.859031694091868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-1.1368683772161603E-13</v>
      </c>
      <c r="AJ175" s="14">
        <f>AI175*VLOOKUP('Données projet'!$B$10,Paramètres!$A$1:$I$89,3,0)*VLOOKUP('Données projet'!$B$10,Paramètres!$A$1:$I$89,5,0)</f>
        <v>-1.0286385077051818E-13</v>
      </c>
      <c r="AK175" s="14" t="e">
        <f t="shared" si="164"/>
        <v>#NUM!</v>
      </c>
      <c r="AL175" s="22" t="e">
        <f t="shared" si="165"/>
        <v>#NUM!</v>
      </c>
      <c r="AM175" s="60" t="e">
        <f t="shared" si="113"/>
        <v>#NUM!</v>
      </c>
      <c r="AN175" s="60">
        <f ca="1">AVERAGE(OFFSET($AM$3,0,0,'Données projet'!$E$10+1,1))-AVERAGE(OFFSET($H$3,0,0,'Données projet'!$E$10+1,1))</f>
        <v>404.14319681142746</v>
      </c>
      <c r="AO175" s="60">
        <f t="shared" si="144"/>
        <v>203.5274665601915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-9.6633812063373625E-13</v>
      </c>
      <c r="BE175" s="14">
        <f>BD175*VLOOKUP('Données projet'!$B$11,Paramètres!$A$1:$I$89,3,0)*VLOOKUP('Données projet'!$B$11,Paramètres!$A$1:$I$89,5,0)</f>
        <v>-9.7986685432260874E-13</v>
      </c>
      <c r="BF175" s="14" t="e">
        <f t="shared" si="167"/>
        <v>#NUM!</v>
      </c>
      <c r="BG175" s="22" t="e">
        <f t="shared" si="168"/>
        <v>#NUM!</v>
      </c>
      <c r="BH175" s="60" t="e">
        <f t="shared" si="116"/>
        <v>#NUM!</v>
      </c>
      <c r="BI175" s="60">
        <f ca="1">AVERAGE(OFFSET($BH$3,0,0,'Données projet'!$E$11+1,1))-AVERAGE(OFFSET($H$3,0,0,'Données projet'!$E$11+1,1))</f>
        <v>350.3652766444938</v>
      </c>
      <c r="BJ175" s="60">
        <f t="shared" si="146"/>
        <v>197.04549436738586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-9.6633812063373625E-13</v>
      </c>
      <c r="BZ175" s="14">
        <f>BY175*VLOOKUP('Données projet'!$B$12,Paramètres!$A$1:$I$89,3,0)*VLOOKUP('Données projet'!$B$12,Paramètres!$A$1:$I$89,5,0)</f>
        <v>-9.3464223027694966E-13</v>
      </c>
      <c r="CA175" s="14" t="e">
        <f t="shared" si="170"/>
        <v>#NUM!</v>
      </c>
      <c r="CB175" s="22" t="e">
        <f t="shared" si="171"/>
        <v>#NUM!</v>
      </c>
      <c r="CC175" s="60" t="e">
        <f t="shared" si="119"/>
        <v>#NUM!</v>
      </c>
      <c r="CD175" s="60">
        <f ca="1">AVERAGE(OFFSET($CC$3,0,0,'Données projet'!$E$12+1,1))-AVERAGE(OFFSET($H$3,0,0,'Données projet'!$E$12+1,1))</f>
        <v>330.39429528665841</v>
      </c>
      <c r="CE175" s="60">
        <f t="shared" si="148"/>
        <v>186.45728006007261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-9.6633812063373625E-13</v>
      </c>
      <c r="CU175" s="18">
        <f>CT175*VLOOKUP('Données projet'!$B$13,Paramètres!$A$1:$I$89,3,0)*VLOOKUP('Données projet'!$B$13,Paramètres!$A$1:$I$89,5,0)</f>
        <v>-1.0401663530501537E-12</v>
      </c>
      <c r="CV175" s="14" t="e">
        <f t="shared" si="173"/>
        <v>#NUM!</v>
      </c>
      <c r="CW175" s="22" t="e">
        <f t="shared" si="174"/>
        <v>#NUM!</v>
      </c>
      <c r="CX175" s="60" t="e">
        <f t="shared" si="122"/>
        <v>#NUM!</v>
      </c>
      <c r="CY175" s="60">
        <f ca="1">AVERAGE(OFFSET($CX$3,0,0,'Données projet'!$E$13+1,1))-AVERAGE(OFFSET($H$3,0,0,'Données projet'!$E$13+1,1))</f>
        <v>376.96388721258387</v>
      </c>
      <c r="CZ175" s="60">
        <f t="shared" si="150"/>
        <v>211.14628470344377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1.7053025658242404E-13</v>
      </c>
      <c r="DP175" s="18">
        <f>DO175*VLOOKUP('Données projet'!$B$14,Paramètres!$A$1:$I$89,3,0)*VLOOKUP('Données projet'!$B$14,Paramètres!$A$1:$I$89,5,0)</f>
        <v>1.1439169611549005E-13</v>
      </c>
      <c r="DQ175" s="14">
        <f t="shared" si="176"/>
        <v>1.6918016515029816E-12</v>
      </c>
      <c r="DR175" s="22">
        <f t="shared" si="177"/>
        <v>3.1457867471021712E-12</v>
      </c>
      <c r="DS175" s="60">
        <f t="shared" si="125"/>
        <v>293.33333333333644</v>
      </c>
      <c r="DT175" s="60">
        <f ca="1">AVERAGE(OFFSET($DS$3,0,0,'Données projet'!$E$14+1,1))-AVERAGE(OFFSET($H$3,0,0,'Données projet'!$E$14+1,1))</f>
        <v>212.33913923444732</v>
      </c>
      <c r="DU175" s="60">
        <f t="shared" si="152"/>
        <v>183.51194426094372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0" t="e">
        <f t="shared" si="128"/>
        <v>#N/A</v>
      </c>
      <c r="EO175" s="60" t="e">
        <f ca="1">AVERAGE(OFFSET($EN$3,0,0,'Données projet'!$E$15+1,1))-AVERAGE(OFFSET($H$3,0,0,'Données projet'!$E$15+1,1))</f>
        <v>#N/A</v>
      </c>
      <c r="EP175" s="60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0" t="e">
        <f t="shared" si="131"/>
        <v>#N/A</v>
      </c>
      <c r="FJ175" s="60" t="e">
        <f ca="1">AVERAGE(OFFSET($FI$3,0,0,'Données projet'!$E$16+1,1))-AVERAGE(OFFSET($H$3,0,0,'Données projet'!$E$16+1,1))</f>
        <v>#N/A</v>
      </c>
      <c r="FK175" s="60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0" t="e">
        <f t="shared" si="134"/>
        <v>#N/A</v>
      </c>
      <c r="GE175" s="60" t="e">
        <f ca="1">AVERAGE(OFFSET($GD$3,0,0,'Données projet'!$E$17+1,1))-AVERAGE(OFFSET($H$3,0,0,'Données projet'!$E$17+1,1))</f>
        <v>#N/A</v>
      </c>
      <c r="GF175" s="60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0" t="e">
        <f t="shared" si="137"/>
        <v>#N/A</v>
      </c>
      <c r="GZ175" s="60" t="e">
        <f ca="1">AVERAGE(OFFSET($GY$3,0,0,'Données projet'!$E$18+1,1))-AVERAGE(OFFSET($H$3,0,0,'Données projet'!$E$18+1,1))</f>
        <v>#N/A</v>
      </c>
      <c r="HA175" s="60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5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2">
        <f t="shared" si="140"/>
        <v>25.637343405585391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8">
        <f t="shared" si="110"/>
        <v>502.49938976472833</v>
      </c>
      <c r="I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3.4106051316484809E-13</v>
      </c>
      <c r="O176" s="14">
        <f>N176*VLOOKUP('Données projet'!$B$9,Paramètres!$A$1:$I$89,3,0)*VLOOKUP('Données projet'!$B$9,Paramètres!$A$1:$I$89,5,0)</f>
        <v>1.5961632016114892E-13</v>
      </c>
      <c r="P176" s="14">
        <f t="shared" si="141"/>
        <v>2.2708641912150958E-12</v>
      </c>
      <c r="Q176" s="22">
        <f t="shared" si="162"/>
        <v>4.2330868906469593E-12</v>
      </c>
      <c r="R176" s="60">
        <f t="shared" si="109"/>
        <v>293.33333333333752</v>
      </c>
      <c r="S176" s="60">
        <f ca="1">AVERAGE(OFFSET($R$3,0,0,'Données projet'!$E$9+1,1))-AVERAGE(OFFSET($H$3,0,0,'Données projet'!$E$9+1,1))</f>
        <v>146.40889017442277</v>
      </c>
      <c r="T176" s="60">
        <f t="shared" si="142"/>
        <v>70.859031694091868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-1.1368683772161603E-13</v>
      </c>
      <c r="AJ176" s="14">
        <f>AI176*VLOOKUP('Données projet'!$B$10,Paramètres!$A$1:$I$89,3,0)*VLOOKUP('Données projet'!$B$10,Paramètres!$A$1:$I$89,5,0)</f>
        <v>-1.0286385077051818E-13</v>
      </c>
      <c r="AK176" s="14" t="e">
        <f t="shared" si="164"/>
        <v>#NUM!</v>
      </c>
      <c r="AL176" s="22" t="e">
        <f t="shared" si="165"/>
        <v>#NUM!</v>
      </c>
      <c r="AM176" s="60" t="e">
        <f t="shared" si="113"/>
        <v>#NUM!</v>
      </c>
      <c r="AN176" s="60">
        <f ca="1">AVERAGE(OFFSET($AM$3,0,0,'Données projet'!$E$10+1,1))-AVERAGE(OFFSET($H$3,0,0,'Données projet'!$E$10+1,1))</f>
        <v>404.14319681142746</v>
      </c>
      <c r="AO176" s="60">
        <f t="shared" si="144"/>
        <v>203.5274665601915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-9.6633812063373625E-13</v>
      </c>
      <c r="BE176" s="14">
        <f>BD176*VLOOKUP('Données projet'!$B$11,Paramètres!$A$1:$I$89,3,0)*VLOOKUP('Données projet'!$B$11,Paramètres!$A$1:$I$89,5,0)</f>
        <v>-9.7986685432260874E-13</v>
      </c>
      <c r="BF176" s="14" t="e">
        <f t="shared" si="167"/>
        <v>#NUM!</v>
      </c>
      <c r="BG176" s="22" t="e">
        <f t="shared" si="168"/>
        <v>#NUM!</v>
      </c>
      <c r="BH176" s="60" t="e">
        <f t="shared" si="116"/>
        <v>#NUM!</v>
      </c>
      <c r="BI176" s="60">
        <f ca="1">AVERAGE(OFFSET($BH$3,0,0,'Données projet'!$E$11+1,1))-AVERAGE(OFFSET($H$3,0,0,'Données projet'!$E$11+1,1))</f>
        <v>350.3652766444938</v>
      </c>
      <c r="BJ176" s="60">
        <f t="shared" si="146"/>
        <v>197.04549436738586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-9.6633812063373625E-13</v>
      </c>
      <c r="BZ176" s="14">
        <f>BY176*VLOOKUP('Données projet'!$B$12,Paramètres!$A$1:$I$89,3,0)*VLOOKUP('Données projet'!$B$12,Paramètres!$A$1:$I$89,5,0)</f>
        <v>-9.3464223027694966E-13</v>
      </c>
      <c r="CA176" s="14" t="e">
        <f t="shared" si="170"/>
        <v>#NUM!</v>
      </c>
      <c r="CB176" s="22" t="e">
        <f t="shared" si="171"/>
        <v>#NUM!</v>
      </c>
      <c r="CC176" s="60" t="e">
        <f t="shared" si="119"/>
        <v>#NUM!</v>
      </c>
      <c r="CD176" s="60">
        <f ca="1">AVERAGE(OFFSET($CC$3,0,0,'Données projet'!$E$12+1,1))-AVERAGE(OFFSET($H$3,0,0,'Données projet'!$E$12+1,1))</f>
        <v>330.39429528665841</v>
      </c>
      <c r="CE176" s="60">
        <f t="shared" si="148"/>
        <v>186.45728006007261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-9.6633812063373625E-13</v>
      </c>
      <c r="CU176" s="18">
        <f>CT176*VLOOKUP('Données projet'!$B$13,Paramètres!$A$1:$I$89,3,0)*VLOOKUP('Données projet'!$B$13,Paramètres!$A$1:$I$89,5,0)</f>
        <v>-1.0401663530501537E-12</v>
      </c>
      <c r="CV176" s="14" t="e">
        <f t="shared" si="173"/>
        <v>#NUM!</v>
      </c>
      <c r="CW176" s="22" t="e">
        <f t="shared" si="174"/>
        <v>#NUM!</v>
      </c>
      <c r="CX176" s="60" t="e">
        <f t="shared" si="122"/>
        <v>#NUM!</v>
      </c>
      <c r="CY176" s="60">
        <f ca="1">AVERAGE(OFFSET($CX$3,0,0,'Données projet'!$E$13+1,1))-AVERAGE(OFFSET($H$3,0,0,'Données projet'!$E$13+1,1))</f>
        <v>376.96388721258387</v>
      </c>
      <c r="CZ176" s="60">
        <f t="shared" si="150"/>
        <v>211.14628470344377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1.7053025658242404E-13</v>
      </c>
      <c r="DP176" s="18">
        <f>DO176*VLOOKUP('Données projet'!$B$14,Paramètres!$A$1:$I$89,3,0)*VLOOKUP('Données projet'!$B$14,Paramètres!$A$1:$I$89,5,0)</f>
        <v>1.1439169611549005E-13</v>
      </c>
      <c r="DQ176" s="14">
        <f t="shared" si="176"/>
        <v>1.6918016515029816E-12</v>
      </c>
      <c r="DR176" s="22">
        <f t="shared" si="177"/>
        <v>3.1457867471021712E-12</v>
      </c>
      <c r="DS176" s="60">
        <f t="shared" si="125"/>
        <v>293.33333333333644</v>
      </c>
      <c r="DT176" s="60">
        <f ca="1">AVERAGE(OFFSET($DS$3,0,0,'Données projet'!$E$14+1,1))-AVERAGE(OFFSET($H$3,0,0,'Données projet'!$E$14+1,1))</f>
        <v>212.33913923444732</v>
      </c>
      <c r="DU176" s="60">
        <f t="shared" si="152"/>
        <v>183.51194426094372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0" t="e">
        <f t="shared" si="128"/>
        <v>#N/A</v>
      </c>
      <c r="EO176" s="60" t="e">
        <f ca="1">AVERAGE(OFFSET($EN$3,0,0,'Données projet'!$E$15+1,1))-AVERAGE(OFFSET($H$3,0,0,'Données projet'!$E$15+1,1))</f>
        <v>#N/A</v>
      </c>
      <c r="EP176" s="60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0" t="e">
        <f t="shared" si="131"/>
        <v>#N/A</v>
      </c>
      <c r="FJ176" s="60" t="e">
        <f ca="1">AVERAGE(OFFSET($FI$3,0,0,'Données projet'!$E$16+1,1))-AVERAGE(OFFSET($H$3,0,0,'Données projet'!$E$16+1,1))</f>
        <v>#N/A</v>
      </c>
      <c r="FK176" s="60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0" t="e">
        <f t="shared" si="134"/>
        <v>#N/A</v>
      </c>
      <c r="GE176" s="60" t="e">
        <f ca="1">AVERAGE(OFFSET($GD$3,0,0,'Données projet'!$E$17+1,1))-AVERAGE(OFFSET($H$3,0,0,'Données projet'!$E$17+1,1))</f>
        <v>#N/A</v>
      </c>
      <c r="GF176" s="60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0" t="e">
        <f t="shared" si="137"/>
        <v>#N/A</v>
      </c>
      <c r="GZ176" s="60" t="e">
        <f ca="1">AVERAGE(OFFSET($GY$3,0,0,'Données projet'!$E$18+1,1))-AVERAGE(OFFSET($H$3,0,0,'Données projet'!$E$18+1,1))</f>
        <v>#N/A</v>
      </c>
      <c r="HA176" s="60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5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2">
        <f t="shared" si="140"/>
        <v>25.768242550600831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8">
        <f t="shared" si="110"/>
        <v>503.67832244229692</v>
      </c>
      <c r="I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3.4106051316484809E-13</v>
      </c>
      <c r="O177" s="14">
        <f>N177*VLOOKUP('Données projet'!$B$9,Paramètres!$A$1:$I$89,3,0)*VLOOKUP('Données projet'!$B$9,Paramètres!$A$1:$I$89,5,0)</f>
        <v>1.5961632016114892E-13</v>
      </c>
      <c r="P177" s="14">
        <f t="shared" si="141"/>
        <v>2.2708641912150958E-12</v>
      </c>
      <c r="Q177" s="22">
        <f t="shared" si="162"/>
        <v>4.2330868906469593E-12</v>
      </c>
      <c r="R177" s="60">
        <f t="shared" si="109"/>
        <v>293.33333333333752</v>
      </c>
      <c r="S177" s="60">
        <f ca="1">AVERAGE(OFFSET($R$3,0,0,'Données projet'!$E$9+1,1))-AVERAGE(OFFSET($H$3,0,0,'Données projet'!$E$9+1,1))</f>
        <v>146.40889017442277</v>
      </c>
      <c r="T177" s="60">
        <f t="shared" si="142"/>
        <v>70.859031694091868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-1.1368683772161603E-13</v>
      </c>
      <c r="AJ177" s="14">
        <f>AI177*VLOOKUP('Données projet'!$B$10,Paramètres!$A$1:$I$89,3,0)*VLOOKUP('Données projet'!$B$10,Paramètres!$A$1:$I$89,5,0)</f>
        <v>-1.0286385077051818E-13</v>
      </c>
      <c r="AK177" s="14" t="e">
        <f t="shared" si="164"/>
        <v>#NUM!</v>
      </c>
      <c r="AL177" s="22" t="e">
        <f t="shared" si="165"/>
        <v>#NUM!</v>
      </c>
      <c r="AM177" s="60" t="e">
        <f t="shared" si="113"/>
        <v>#NUM!</v>
      </c>
      <c r="AN177" s="60">
        <f ca="1">AVERAGE(OFFSET($AM$3,0,0,'Données projet'!$E$10+1,1))-AVERAGE(OFFSET($H$3,0,0,'Données projet'!$E$10+1,1))</f>
        <v>404.14319681142746</v>
      </c>
      <c r="AO177" s="60">
        <f t="shared" si="144"/>
        <v>203.5274665601915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-9.6633812063373625E-13</v>
      </c>
      <c r="BE177" s="14">
        <f>BD177*VLOOKUP('Données projet'!$B$11,Paramètres!$A$1:$I$89,3,0)*VLOOKUP('Données projet'!$B$11,Paramètres!$A$1:$I$89,5,0)</f>
        <v>-9.7986685432260874E-13</v>
      </c>
      <c r="BF177" s="14" t="e">
        <f t="shared" si="167"/>
        <v>#NUM!</v>
      </c>
      <c r="BG177" s="22" t="e">
        <f t="shared" si="168"/>
        <v>#NUM!</v>
      </c>
      <c r="BH177" s="60" t="e">
        <f t="shared" si="116"/>
        <v>#NUM!</v>
      </c>
      <c r="BI177" s="60">
        <f ca="1">AVERAGE(OFFSET($BH$3,0,0,'Données projet'!$E$11+1,1))-AVERAGE(OFFSET($H$3,0,0,'Données projet'!$E$11+1,1))</f>
        <v>350.3652766444938</v>
      </c>
      <c r="BJ177" s="60">
        <f t="shared" si="146"/>
        <v>197.04549436738586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-9.6633812063373625E-13</v>
      </c>
      <c r="BZ177" s="14">
        <f>BY177*VLOOKUP('Données projet'!$B$12,Paramètres!$A$1:$I$89,3,0)*VLOOKUP('Données projet'!$B$12,Paramètres!$A$1:$I$89,5,0)</f>
        <v>-9.3464223027694966E-13</v>
      </c>
      <c r="CA177" s="14" t="e">
        <f t="shared" si="170"/>
        <v>#NUM!</v>
      </c>
      <c r="CB177" s="22" t="e">
        <f t="shared" si="171"/>
        <v>#NUM!</v>
      </c>
      <c r="CC177" s="60" t="e">
        <f t="shared" si="119"/>
        <v>#NUM!</v>
      </c>
      <c r="CD177" s="60">
        <f ca="1">AVERAGE(OFFSET($CC$3,0,0,'Données projet'!$E$12+1,1))-AVERAGE(OFFSET($H$3,0,0,'Données projet'!$E$12+1,1))</f>
        <v>330.39429528665841</v>
      </c>
      <c r="CE177" s="60">
        <f t="shared" si="148"/>
        <v>186.45728006007261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-9.6633812063373625E-13</v>
      </c>
      <c r="CU177" s="18">
        <f>CT177*VLOOKUP('Données projet'!$B$13,Paramètres!$A$1:$I$89,3,0)*VLOOKUP('Données projet'!$B$13,Paramètres!$A$1:$I$89,5,0)</f>
        <v>-1.0401663530501537E-12</v>
      </c>
      <c r="CV177" s="14" t="e">
        <f t="shared" si="173"/>
        <v>#NUM!</v>
      </c>
      <c r="CW177" s="22" t="e">
        <f t="shared" si="174"/>
        <v>#NUM!</v>
      </c>
      <c r="CX177" s="60" t="e">
        <f t="shared" si="122"/>
        <v>#NUM!</v>
      </c>
      <c r="CY177" s="60">
        <f ca="1">AVERAGE(OFFSET($CX$3,0,0,'Données projet'!$E$13+1,1))-AVERAGE(OFFSET($H$3,0,0,'Données projet'!$E$13+1,1))</f>
        <v>376.96388721258387</v>
      </c>
      <c r="CZ177" s="60">
        <f t="shared" si="150"/>
        <v>211.14628470344377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1.7053025658242404E-13</v>
      </c>
      <c r="DP177" s="18">
        <f>DO177*VLOOKUP('Données projet'!$B$14,Paramètres!$A$1:$I$89,3,0)*VLOOKUP('Données projet'!$B$14,Paramètres!$A$1:$I$89,5,0)</f>
        <v>1.1439169611549005E-13</v>
      </c>
      <c r="DQ177" s="14">
        <f t="shared" si="176"/>
        <v>1.6918016515029816E-12</v>
      </c>
      <c r="DR177" s="22">
        <f t="shared" si="177"/>
        <v>3.1457867471021712E-12</v>
      </c>
      <c r="DS177" s="60">
        <f t="shared" si="125"/>
        <v>293.33333333333644</v>
      </c>
      <c r="DT177" s="60">
        <f ca="1">AVERAGE(OFFSET($DS$3,0,0,'Données projet'!$E$14+1,1))-AVERAGE(OFFSET($H$3,0,0,'Données projet'!$E$14+1,1))</f>
        <v>212.33913923444732</v>
      </c>
      <c r="DU177" s="60">
        <f t="shared" si="152"/>
        <v>183.51194426094372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0" t="e">
        <f t="shared" si="128"/>
        <v>#N/A</v>
      </c>
      <c r="EO177" s="60" t="e">
        <f ca="1">AVERAGE(OFFSET($EN$3,0,0,'Données projet'!$E$15+1,1))-AVERAGE(OFFSET($H$3,0,0,'Données projet'!$E$15+1,1))</f>
        <v>#N/A</v>
      </c>
      <c r="EP177" s="60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0" t="e">
        <f t="shared" si="131"/>
        <v>#N/A</v>
      </c>
      <c r="FJ177" s="60" t="e">
        <f ca="1">AVERAGE(OFFSET($FI$3,0,0,'Données projet'!$E$16+1,1))-AVERAGE(OFFSET($H$3,0,0,'Données projet'!$E$16+1,1))</f>
        <v>#N/A</v>
      </c>
      <c r="FK177" s="60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0" t="e">
        <f t="shared" si="134"/>
        <v>#N/A</v>
      </c>
      <c r="GE177" s="60" t="e">
        <f ca="1">AVERAGE(OFFSET($GD$3,0,0,'Données projet'!$E$17+1,1))-AVERAGE(OFFSET($H$3,0,0,'Données projet'!$E$17+1,1))</f>
        <v>#N/A</v>
      </c>
      <c r="GF177" s="60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0" t="e">
        <f t="shared" si="137"/>
        <v>#N/A</v>
      </c>
      <c r="GZ177" s="60" t="e">
        <f ca="1">AVERAGE(OFFSET($GY$3,0,0,'Données projet'!$E$18+1,1))-AVERAGE(OFFSET($H$3,0,0,'Données projet'!$E$18+1,1))</f>
        <v>#N/A</v>
      </c>
      <c r="HA177" s="60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5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2">
        <f t="shared" si="140"/>
        <v>25.89905415737541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8">
        <f t="shared" si="110"/>
        <v>504.85710265742932</v>
      </c>
      <c r="I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3.4106051316484809E-13</v>
      </c>
      <c r="O178" s="14">
        <f>N178*VLOOKUP('Données projet'!$B$9,Paramètres!$A$1:$I$89,3,0)*VLOOKUP('Données projet'!$B$9,Paramètres!$A$1:$I$89,5,0)</f>
        <v>1.5961632016114892E-13</v>
      </c>
      <c r="P178" s="14">
        <f t="shared" si="141"/>
        <v>2.2708641912150958E-12</v>
      </c>
      <c r="Q178" s="22">
        <f t="shared" si="162"/>
        <v>4.2330868906469593E-12</v>
      </c>
      <c r="R178" s="60">
        <f t="shared" si="109"/>
        <v>293.33333333333752</v>
      </c>
      <c r="S178" s="60">
        <f ca="1">AVERAGE(OFFSET($R$3,0,0,'Données projet'!$E$9+1,1))-AVERAGE(OFFSET($H$3,0,0,'Données projet'!$E$9+1,1))</f>
        <v>146.40889017442277</v>
      </c>
      <c r="T178" s="60">
        <f t="shared" si="142"/>
        <v>70.859031694091868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-1.1368683772161603E-13</v>
      </c>
      <c r="AJ178" s="14">
        <f>AI178*VLOOKUP('Données projet'!$B$10,Paramètres!$A$1:$I$89,3,0)*VLOOKUP('Données projet'!$B$10,Paramètres!$A$1:$I$89,5,0)</f>
        <v>-1.0286385077051818E-13</v>
      </c>
      <c r="AK178" s="14" t="e">
        <f t="shared" si="164"/>
        <v>#NUM!</v>
      </c>
      <c r="AL178" s="22" t="e">
        <f t="shared" si="165"/>
        <v>#NUM!</v>
      </c>
      <c r="AM178" s="60" t="e">
        <f t="shared" si="113"/>
        <v>#NUM!</v>
      </c>
      <c r="AN178" s="60">
        <f ca="1">AVERAGE(OFFSET($AM$3,0,0,'Données projet'!$E$10+1,1))-AVERAGE(OFFSET($H$3,0,0,'Données projet'!$E$10+1,1))</f>
        <v>404.14319681142746</v>
      </c>
      <c r="AO178" s="60">
        <f t="shared" si="144"/>
        <v>203.5274665601915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-9.6633812063373625E-13</v>
      </c>
      <c r="BE178" s="14">
        <f>BD178*VLOOKUP('Données projet'!$B$11,Paramètres!$A$1:$I$89,3,0)*VLOOKUP('Données projet'!$B$11,Paramètres!$A$1:$I$89,5,0)</f>
        <v>-9.7986685432260874E-13</v>
      </c>
      <c r="BF178" s="14" t="e">
        <f t="shared" si="167"/>
        <v>#NUM!</v>
      </c>
      <c r="BG178" s="22" t="e">
        <f t="shared" si="168"/>
        <v>#NUM!</v>
      </c>
      <c r="BH178" s="60" t="e">
        <f t="shared" si="116"/>
        <v>#NUM!</v>
      </c>
      <c r="BI178" s="60">
        <f ca="1">AVERAGE(OFFSET($BH$3,0,0,'Données projet'!$E$11+1,1))-AVERAGE(OFFSET($H$3,0,0,'Données projet'!$E$11+1,1))</f>
        <v>350.3652766444938</v>
      </c>
      <c r="BJ178" s="60">
        <f t="shared" si="146"/>
        <v>197.04549436738586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-9.6633812063373625E-13</v>
      </c>
      <c r="BZ178" s="14">
        <f>BY178*VLOOKUP('Données projet'!$B$12,Paramètres!$A$1:$I$89,3,0)*VLOOKUP('Données projet'!$B$12,Paramètres!$A$1:$I$89,5,0)</f>
        <v>-9.3464223027694966E-13</v>
      </c>
      <c r="CA178" s="14" t="e">
        <f t="shared" si="170"/>
        <v>#NUM!</v>
      </c>
      <c r="CB178" s="22" t="e">
        <f t="shared" si="171"/>
        <v>#NUM!</v>
      </c>
      <c r="CC178" s="60" t="e">
        <f t="shared" si="119"/>
        <v>#NUM!</v>
      </c>
      <c r="CD178" s="60">
        <f ca="1">AVERAGE(OFFSET($CC$3,0,0,'Données projet'!$E$12+1,1))-AVERAGE(OFFSET($H$3,0,0,'Données projet'!$E$12+1,1))</f>
        <v>330.39429528665841</v>
      </c>
      <c r="CE178" s="60">
        <f t="shared" si="148"/>
        <v>186.45728006007261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-9.6633812063373625E-13</v>
      </c>
      <c r="CU178" s="18">
        <f>CT178*VLOOKUP('Données projet'!$B$13,Paramètres!$A$1:$I$89,3,0)*VLOOKUP('Données projet'!$B$13,Paramètres!$A$1:$I$89,5,0)</f>
        <v>-1.0401663530501537E-12</v>
      </c>
      <c r="CV178" s="14" t="e">
        <f t="shared" si="173"/>
        <v>#NUM!</v>
      </c>
      <c r="CW178" s="22" t="e">
        <f t="shared" si="174"/>
        <v>#NUM!</v>
      </c>
      <c r="CX178" s="60" t="e">
        <f t="shared" si="122"/>
        <v>#NUM!</v>
      </c>
      <c r="CY178" s="60">
        <f ca="1">AVERAGE(OFFSET($CX$3,0,0,'Données projet'!$E$13+1,1))-AVERAGE(OFFSET($H$3,0,0,'Données projet'!$E$13+1,1))</f>
        <v>376.96388721258387</v>
      </c>
      <c r="CZ178" s="60">
        <f t="shared" si="150"/>
        <v>211.14628470344377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1.7053025658242404E-13</v>
      </c>
      <c r="DP178" s="18">
        <f>DO178*VLOOKUP('Données projet'!$B$14,Paramètres!$A$1:$I$89,3,0)*VLOOKUP('Données projet'!$B$14,Paramètres!$A$1:$I$89,5,0)</f>
        <v>1.1439169611549005E-13</v>
      </c>
      <c r="DQ178" s="14">
        <f t="shared" si="176"/>
        <v>1.6918016515029816E-12</v>
      </c>
      <c r="DR178" s="22">
        <f t="shared" si="177"/>
        <v>3.1457867471021712E-12</v>
      </c>
      <c r="DS178" s="60">
        <f t="shared" si="125"/>
        <v>293.33333333333644</v>
      </c>
      <c r="DT178" s="60">
        <f ca="1">AVERAGE(OFFSET($DS$3,0,0,'Données projet'!$E$14+1,1))-AVERAGE(OFFSET($H$3,0,0,'Données projet'!$E$14+1,1))</f>
        <v>212.33913923444732</v>
      </c>
      <c r="DU178" s="60">
        <f t="shared" si="152"/>
        <v>183.51194426094372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0" t="e">
        <f t="shared" si="128"/>
        <v>#N/A</v>
      </c>
      <c r="EO178" s="60" t="e">
        <f ca="1">AVERAGE(OFFSET($EN$3,0,0,'Données projet'!$E$15+1,1))-AVERAGE(OFFSET($H$3,0,0,'Données projet'!$E$15+1,1))</f>
        <v>#N/A</v>
      </c>
      <c r="EP178" s="60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0" t="e">
        <f t="shared" si="131"/>
        <v>#N/A</v>
      </c>
      <c r="FJ178" s="60" t="e">
        <f ca="1">AVERAGE(OFFSET($FI$3,0,0,'Données projet'!$E$16+1,1))-AVERAGE(OFFSET($H$3,0,0,'Données projet'!$E$16+1,1))</f>
        <v>#N/A</v>
      </c>
      <c r="FK178" s="60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0" t="e">
        <f t="shared" si="134"/>
        <v>#N/A</v>
      </c>
      <c r="GE178" s="60" t="e">
        <f ca="1">AVERAGE(OFFSET($GD$3,0,0,'Données projet'!$E$17+1,1))-AVERAGE(OFFSET($H$3,0,0,'Données projet'!$E$17+1,1))</f>
        <v>#N/A</v>
      </c>
      <c r="GF178" s="60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0" t="e">
        <f t="shared" si="137"/>
        <v>#N/A</v>
      </c>
      <c r="GZ178" s="60" t="e">
        <f ca="1">AVERAGE(OFFSET($GY$3,0,0,'Données projet'!$E$18+1,1))-AVERAGE(OFFSET($H$3,0,0,'Données projet'!$E$18+1,1))</f>
        <v>#N/A</v>
      </c>
      <c r="HA178" s="60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5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2">
        <f t="shared" si="140"/>
        <v>26.029778784173445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8">
        <f t="shared" si="110"/>
        <v>506.03573138243593</v>
      </c>
      <c r="I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3.4106051316484809E-13</v>
      </c>
      <c r="O179" s="14">
        <f>N179*VLOOKUP('Données projet'!$B$9,Paramètres!$A$1:$I$89,3,0)*VLOOKUP('Données projet'!$B$9,Paramètres!$A$1:$I$89,5,0)</f>
        <v>1.5961632016114892E-13</v>
      </c>
      <c r="P179" s="14">
        <f t="shared" si="141"/>
        <v>2.2708641912150958E-12</v>
      </c>
      <c r="Q179" s="22">
        <f t="shared" si="162"/>
        <v>4.2330868906469593E-12</v>
      </c>
      <c r="R179" s="60">
        <f t="shared" si="109"/>
        <v>293.33333333333752</v>
      </c>
      <c r="S179" s="60">
        <f ca="1">AVERAGE(OFFSET($R$3,0,0,'Données projet'!$E$9+1,1))-AVERAGE(OFFSET($H$3,0,0,'Données projet'!$E$9+1,1))</f>
        <v>146.40889017442277</v>
      </c>
      <c r="T179" s="60">
        <f t="shared" si="142"/>
        <v>70.859031694091868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-1.1368683772161603E-13</v>
      </c>
      <c r="AJ179" s="14">
        <f>AI179*VLOOKUP('Données projet'!$B$10,Paramètres!$A$1:$I$89,3,0)*VLOOKUP('Données projet'!$B$10,Paramètres!$A$1:$I$89,5,0)</f>
        <v>-1.0286385077051818E-13</v>
      </c>
      <c r="AK179" s="14" t="e">
        <f t="shared" si="164"/>
        <v>#NUM!</v>
      </c>
      <c r="AL179" s="22" t="e">
        <f t="shared" si="165"/>
        <v>#NUM!</v>
      </c>
      <c r="AM179" s="60" t="e">
        <f t="shared" si="113"/>
        <v>#NUM!</v>
      </c>
      <c r="AN179" s="60">
        <f ca="1">AVERAGE(OFFSET($AM$3,0,0,'Données projet'!$E$10+1,1))-AVERAGE(OFFSET($H$3,0,0,'Données projet'!$E$10+1,1))</f>
        <v>404.14319681142746</v>
      </c>
      <c r="AO179" s="60">
        <f t="shared" si="144"/>
        <v>203.5274665601915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-9.6633812063373625E-13</v>
      </c>
      <c r="BE179" s="14">
        <f>BD179*VLOOKUP('Données projet'!$B$11,Paramètres!$A$1:$I$89,3,0)*VLOOKUP('Données projet'!$B$11,Paramètres!$A$1:$I$89,5,0)</f>
        <v>-9.7986685432260874E-13</v>
      </c>
      <c r="BF179" s="14" t="e">
        <f t="shared" si="167"/>
        <v>#NUM!</v>
      </c>
      <c r="BG179" s="22" t="e">
        <f t="shared" si="168"/>
        <v>#NUM!</v>
      </c>
      <c r="BH179" s="60" t="e">
        <f t="shared" si="116"/>
        <v>#NUM!</v>
      </c>
      <c r="BI179" s="60">
        <f ca="1">AVERAGE(OFFSET($BH$3,0,0,'Données projet'!$E$11+1,1))-AVERAGE(OFFSET($H$3,0,0,'Données projet'!$E$11+1,1))</f>
        <v>350.3652766444938</v>
      </c>
      <c r="BJ179" s="60">
        <f t="shared" si="146"/>
        <v>197.04549436738586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-9.6633812063373625E-13</v>
      </c>
      <c r="BZ179" s="14">
        <f>BY179*VLOOKUP('Données projet'!$B$12,Paramètres!$A$1:$I$89,3,0)*VLOOKUP('Données projet'!$B$12,Paramètres!$A$1:$I$89,5,0)</f>
        <v>-9.3464223027694966E-13</v>
      </c>
      <c r="CA179" s="14" t="e">
        <f t="shared" si="170"/>
        <v>#NUM!</v>
      </c>
      <c r="CB179" s="22" t="e">
        <f t="shared" si="171"/>
        <v>#NUM!</v>
      </c>
      <c r="CC179" s="60" t="e">
        <f t="shared" si="119"/>
        <v>#NUM!</v>
      </c>
      <c r="CD179" s="60">
        <f ca="1">AVERAGE(OFFSET($CC$3,0,0,'Données projet'!$E$12+1,1))-AVERAGE(OFFSET($H$3,0,0,'Données projet'!$E$12+1,1))</f>
        <v>330.39429528665841</v>
      </c>
      <c r="CE179" s="60">
        <f t="shared" si="148"/>
        <v>186.45728006007261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-9.6633812063373625E-13</v>
      </c>
      <c r="CU179" s="18">
        <f>CT179*VLOOKUP('Données projet'!$B$13,Paramètres!$A$1:$I$89,3,0)*VLOOKUP('Données projet'!$B$13,Paramètres!$A$1:$I$89,5,0)</f>
        <v>-1.0401663530501537E-12</v>
      </c>
      <c r="CV179" s="14" t="e">
        <f t="shared" si="173"/>
        <v>#NUM!</v>
      </c>
      <c r="CW179" s="22" t="e">
        <f t="shared" si="174"/>
        <v>#NUM!</v>
      </c>
      <c r="CX179" s="60" t="e">
        <f t="shared" si="122"/>
        <v>#NUM!</v>
      </c>
      <c r="CY179" s="60">
        <f ca="1">AVERAGE(OFFSET($CX$3,0,0,'Données projet'!$E$13+1,1))-AVERAGE(OFFSET($H$3,0,0,'Données projet'!$E$13+1,1))</f>
        <v>376.96388721258387</v>
      </c>
      <c r="CZ179" s="60">
        <f t="shared" si="150"/>
        <v>211.14628470344377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1.7053025658242404E-13</v>
      </c>
      <c r="DP179" s="18">
        <f>DO179*VLOOKUP('Données projet'!$B$14,Paramètres!$A$1:$I$89,3,0)*VLOOKUP('Données projet'!$B$14,Paramètres!$A$1:$I$89,5,0)</f>
        <v>1.1439169611549005E-13</v>
      </c>
      <c r="DQ179" s="14">
        <f t="shared" si="176"/>
        <v>1.6918016515029816E-12</v>
      </c>
      <c r="DR179" s="22">
        <f t="shared" si="177"/>
        <v>3.1457867471021712E-12</v>
      </c>
      <c r="DS179" s="60">
        <f t="shared" si="125"/>
        <v>293.33333333333644</v>
      </c>
      <c r="DT179" s="60">
        <f ca="1">AVERAGE(OFFSET($DS$3,0,0,'Données projet'!$E$14+1,1))-AVERAGE(OFFSET($H$3,0,0,'Données projet'!$E$14+1,1))</f>
        <v>212.33913923444732</v>
      </c>
      <c r="DU179" s="60">
        <f t="shared" si="152"/>
        <v>183.51194426094372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0" t="e">
        <f t="shared" si="128"/>
        <v>#N/A</v>
      </c>
      <c r="EO179" s="60" t="e">
        <f ca="1">AVERAGE(OFFSET($EN$3,0,0,'Données projet'!$E$15+1,1))-AVERAGE(OFFSET($H$3,0,0,'Données projet'!$E$15+1,1))</f>
        <v>#N/A</v>
      </c>
      <c r="EP179" s="60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0" t="e">
        <f t="shared" si="131"/>
        <v>#N/A</v>
      </c>
      <c r="FJ179" s="60" t="e">
        <f ca="1">AVERAGE(OFFSET($FI$3,0,0,'Données projet'!$E$16+1,1))-AVERAGE(OFFSET($H$3,0,0,'Données projet'!$E$16+1,1))</f>
        <v>#N/A</v>
      </c>
      <c r="FK179" s="60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0" t="e">
        <f t="shared" si="134"/>
        <v>#N/A</v>
      </c>
      <c r="GE179" s="60" t="e">
        <f ca="1">AVERAGE(OFFSET($GD$3,0,0,'Données projet'!$E$17+1,1))-AVERAGE(OFFSET($H$3,0,0,'Données projet'!$E$17+1,1))</f>
        <v>#N/A</v>
      </c>
      <c r="GF179" s="60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0" t="e">
        <f t="shared" si="137"/>
        <v>#N/A</v>
      </c>
      <c r="GZ179" s="60" t="e">
        <f ca="1">AVERAGE(OFFSET($GY$3,0,0,'Données projet'!$E$18+1,1))-AVERAGE(OFFSET($H$3,0,0,'Données projet'!$E$18+1,1))</f>
        <v>#N/A</v>
      </c>
      <c r="HA179" s="60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5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2">
        <f t="shared" si="140"/>
        <v>26.160416982548288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8">
        <f t="shared" si="110"/>
        <v>507.21420957793879</v>
      </c>
      <c r="I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3.4106051316484809E-13</v>
      </c>
      <c r="O180" s="14">
        <f>N180*VLOOKUP('Données projet'!$B$9,Paramètres!$A$1:$I$89,3,0)*VLOOKUP('Données projet'!$B$9,Paramètres!$A$1:$I$89,5,0)</f>
        <v>1.5961632016114892E-13</v>
      </c>
      <c r="P180" s="14">
        <f t="shared" si="141"/>
        <v>2.2708641912150958E-12</v>
      </c>
      <c r="Q180" s="22">
        <f t="shared" si="162"/>
        <v>4.2330868906469593E-12</v>
      </c>
      <c r="R180" s="60">
        <f t="shared" si="109"/>
        <v>293.33333333333752</v>
      </c>
      <c r="S180" s="60">
        <f ca="1">AVERAGE(OFFSET($R$3,0,0,'Données projet'!$E$9+1,1))-AVERAGE(OFFSET($H$3,0,0,'Données projet'!$E$9+1,1))</f>
        <v>146.40889017442277</v>
      </c>
      <c r="T180" s="60">
        <f t="shared" si="142"/>
        <v>70.859031694091868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-1.1368683772161603E-13</v>
      </c>
      <c r="AJ180" s="14">
        <f>AI180*VLOOKUP('Données projet'!$B$10,Paramètres!$A$1:$I$89,3,0)*VLOOKUP('Données projet'!$B$10,Paramètres!$A$1:$I$89,5,0)</f>
        <v>-1.0286385077051818E-13</v>
      </c>
      <c r="AK180" s="14" t="e">
        <f t="shared" si="164"/>
        <v>#NUM!</v>
      </c>
      <c r="AL180" s="22" t="e">
        <f t="shared" si="165"/>
        <v>#NUM!</v>
      </c>
      <c r="AM180" s="60" t="e">
        <f t="shared" si="113"/>
        <v>#NUM!</v>
      </c>
      <c r="AN180" s="60">
        <f ca="1">AVERAGE(OFFSET($AM$3,0,0,'Données projet'!$E$10+1,1))-AVERAGE(OFFSET($H$3,0,0,'Données projet'!$E$10+1,1))</f>
        <v>404.14319681142746</v>
      </c>
      <c r="AO180" s="60">
        <f t="shared" si="144"/>
        <v>203.5274665601915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-9.6633812063373625E-13</v>
      </c>
      <c r="BE180" s="14">
        <f>BD180*VLOOKUP('Données projet'!$B$11,Paramètres!$A$1:$I$89,3,0)*VLOOKUP('Données projet'!$B$11,Paramètres!$A$1:$I$89,5,0)</f>
        <v>-9.7986685432260874E-13</v>
      </c>
      <c r="BF180" s="14" t="e">
        <f t="shared" si="167"/>
        <v>#NUM!</v>
      </c>
      <c r="BG180" s="22" t="e">
        <f t="shared" si="168"/>
        <v>#NUM!</v>
      </c>
      <c r="BH180" s="60" t="e">
        <f t="shared" si="116"/>
        <v>#NUM!</v>
      </c>
      <c r="BI180" s="60">
        <f ca="1">AVERAGE(OFFSET($BH$3,0,0,'Données projet'!$E$11+1,1))-AVERAGE(OFFSET($H$3,0,0,'Données projet'!$E$11+1,1))</f>
        <v>350.3652766444938</v>
      </c>
      <c r="BJ180" s="60">
        <f t="shared" si="146"/>
        <v>197.04549436738586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-9.6633812063373625E-13</v>
      </c>
      <c r="BZ180" s="14">
        <f>BY180*VLOOKUP('Données projet'!$B$12,Paramètres!$A$1:$I$89,3,0)*VLOOKUP('Données projet'!$B$12,Paramètres!$A$1:$I$89,5,0)</f>
        <v>-9.3464223027694966E-13</v>
      </c>
      <c r="CA180" s="14" t="e">
        <f t="shared" si="170"/>
        <v>#NUM!</v>
      </c>
      <c r="CB180" s="22" t="e">
        <f t="shared" si="171"/>
        <v>#NUM!</v>
      </c>
      <c r="CC180" s="60" t="e">
        <f t="shared" si="119"/>
        <v>#NUM!</v>
      </c>
      <c r="CD180" s="60">
        <f ca="1">AVERAGE(OFFSET($CC$3,0,0,'Données projet'!$E$12+1,1))-AVERAGE(OFFSET($H$3,0,0,'Données projet'!$E$12+1,1))</f>
        <v>330.39429528665841</v>
      </c>
      <c r="CE180" s="60">
        <f t="shared" si="148"/>
        <v>186.45728006007261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-9.6633812063373625E-13</v>
      </c>
      <c r="CU180" s="18">
        <f>CT180*VLOOKUP('Données projet'!$B$13,Paramètres!$A$1:$I$89,3,0)*VLOOKUP('Données projet'!$B$13,Paramètres!$A$1:$I$89,5,0)</f>
        <v>-1.0401663530501537E-12</v>
      </c>
      <c r="CV180" s="14" t="e">
        <f t="shared" si="173"/>
        <v>#NUM!</v>
      </c>
      <c r="CW180" s="22" t="e">
        <f t="shared" si="174"/>
        <v>#NUM!</v>
      </c>
      <c r="CX180" s="60" t="e">
        <f t="shared" si="122"/>
        <v>#NUM!</v>
      </c>
      <c r="CY180" s="60">
        <f ca="1">AVERAGE(OFFSET($CX$3,0,0,'Données projet'!$E$13+1,1))-AVERAGE(OFFSET($H$3,0,0,'Données projet'!$E$13+1,1))</f>
        <v>376.96388721258387</v>
      </c>
      <c r="CZ180" s="60">
        <f t="shared" si="150"/>
        <v>211.14628470344377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1.7053025658242404E-13</v>
      </c>
      <c r="DP180" s="18">
        <f>DO180*VLOOKUP('Données projet'!$B$14,Paramètres!$A$1:$I$89,3,0)*VLOOKUP('Données projet'!$B$14,Paramètres!$A$1:$I$89,5,0)</f>
        <v>1.1439169611549005E-13</v>
      </c>
      <c r="DQ180" s="14">
        <f t="shared" si="176"/>
        <v>1.6918016515029816E-12</v>
      </c>
      <c r="DR180" s="22">
        <f t="shared" si="177"/>
        <v>3.1457867471021712E-12</v>
      </c>
      <c r="DS180" s="60">
        <f t="shared" si="125"/>
        <v>293.33333333333644</v>
      </c>
      <c r="DT180" s="60">
        <f ca="1">AVERAGE(OFFSET($DS$3,0,0,'Données projet'!$E$14+1,1))-AVERAGE(OFFSET($H$3,0,0,'Données projet'!$E$14+1,1))</f>
        <v>212.33913923444732</v>
      </c>
      <c r="DU180" s="60">
        <f t="shared" si="152"/>
        <v>183.51194426094372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0" t="e">
        <f t="shared" si="128"/>
        <v>#N/A</v>
      </c>
      <c r="EO180" s="60" t="e">
        <f ca="1">AVERAGE(OFFSET($EN$3,0,0,'Données projet'!$E$15+1,1))-AVERAGE(OFFSET($H$3,0,0,'Données projet'!$E$15+1,1))</f>
        <v>#N/A</v>
      </c>
      <c r="EP180" s="60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0" t="e">
        <f t="shared" si="131"/>
        <v>#N/A</v>
      </c>
      <c r="FJ180" s="60" t="e">
        <f ca="1">AVERAGE(OFFSET($FI$3,0,0,'Données projet'!$E$16+1,1))-AVERAGE(OFFSET($H$3,0,0,'Données projet'!$E$16+1,1))</f>
        <v>#N/A</v>
      </c>
      <c r="FK180" s="60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0" t="e">
        <f t="shared" si="134"/>
        <v>#N/A</v>
      </c>
      <c r="GE180" s="60" t="e">
        <f ca="1">AVERAGE(OFFSET($GD$3,0,0,'Données projet'!$E$17+1,1))-AVERAGE(OFFSET($H$3,0,0,'Données projet'!$E$17+1,1))</f>
        <v>#N/A</v>
      </c>
      <c r="GF180" s="60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0" t="e">
        <f t="shared" si="137"/>
        <v>#N/A</v>
      </c>
      <c r="GZ180" s="60" t="e">
        <f ca="1">AVERAGE(OFFSET($GY$3,0,0,'Données projet'!$E$18+1,1))-AVERAGE(OFFSET($H$3,0,0,'Données projet'!$E$18+1,1))</f>
        <v>#N/A</v>
      </c>
      <c r="HA180" s="60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5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2">
        <f t="shared" si="140"/>
        <v>26.290969297460425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8">
        <f t="shared" si="110"/>
        <v>508.39253819307743</v>
      </c>
      <c r="I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3.4106051316484809E-13</v>
      </c>
      <c r="O181" s="14">
        <f>N181*VLOOKUP('Données projet'!$B$9,Paramètres!$A$1:$I$89,3,0)*VLOOKUP('Données projet'!$B$9,Paramètres!$A$1:$I$89,5,0)</f>
        <v>1.5961632016114892E-13</v>
      </c>
      <c r="P181" s="14">
        <f t="shared" si="141"/>
        <v>2.2708641912150958E-12</v>
      </c>
      <c r="Q181" s="22">
        <f t="shared" si="162"/>
        <v>4.2330868906469593E-12</v>
      </c>
      <c r="R181" s="60">
        <f t="shared" si="109"/>
        <v>293.33333333333752</v>
      </c>
      <c r="S181" s="60">
        <f ca="1">AVERAGE(OFFSET($R$3,0,0,'Données projet'!$E$9+1,1))-AVERAGE(OFFSET($H$3,0,0,'Données projet'!$E$9+1,1))</f>
        <v>146.40889017442277</v>
      </c>
      <c r="T181" s="60">
        <f t="shared" si="142"/>
        <v>70.859031694091868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-1.1368683772161603E-13</v>
      </c>
      <c r="AJ181" s="14">
        <f>AI181*VLOOKUP('Données projet'!$B$10,Paramètres!$A$1:$I$89,3,0)*VLOOKUP('Données projet'!$B$10,Paramètres!$A$1:$I$89,5,0)</f>
        <v>-1.0286385077051818E-13</v>
      </c>
      <c r="AK181" s="14" t="e">
        <f t="shared" si="164"/>
        <v>#NUM!</v>
      </c>
      <c r="AL181" s="22" t="e">
        <f t="shared" si="165"/>
        <v>#NUM!</v>
      </c>
      <c r="AM181" s="60" t="e">
        <f t="shared" si="113"/>
        <v>#NUM!</v>
      </c>
      <c r="AN181" s="60">
        <f ca="1">AVERAGE(OFFSET($AM$3,0,0,'Données projet'!$E$10+1,1))-AVERAGE(OFFSET($H$3,0,0,'Données projet'!$E$10+1,1))</f>
        <v>404.14319681142746</v>
      </c>
      <c r="AO181" s="60">
        <f t="shared" si="144"/>
        <v>203.5274665601915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-9.6633812063373625E-13</v>
      </c>
      <c r="BE181" s="14">
        <f>BD181*VLOOKUP('Données projet'!$B$11,Paramètres!$A$1:$I$89,3,0)*VLOOKUP('Données projet'!$B$11,Paramètres!$A$1:$I$89,5,0)</f>
        <v>-9.7986685432260874E-13</v>
      </c>
      <c r="BF181" s="14" t="e">
        <f t="shared" si="167"/>
        <v>#NUM!</v>
      </c>
      <c r="BG181" s="22" t="e">
        <f t="shared" si="168"/>
        <v>#NUM!</v>
      </c>
      <c r="BH181" s="60" t="e">
        <f t="shared" si="116"/>
        <v>#NUM!</v>
      </c>
      <c r="BI181" s="60">
        <f ca="1">AVERAGE(OFFSET($BH$3,0,0,'Données projet'!$E$11+1,1))-AVERAGE(OFFSET($H$3,0,0,'Données projet'!$E$11+1,1))</f>
        <v>350.3652766444938</v>
      </c>
      <c r="BJ181" s="60">
        <f t="shared" si="146"/>
        <v>197.04549436738586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-9.6633812063373625E-13</v>
      </c>
      <c r="BZ181" s="14">
        <f>BY181*VLOOKUP('Données projet'!$B$12,Paramètres!$A$1:$I$89,3,0)*VLOOKUP('Données projet'!$B$12,Paramètres!$A$1:$I$89,5,0)</f>
        <v>-9.3464223027694966E-13</v>
      </c>
      <c r="CA181" s="14" t="e">
        <f t="shared" si="170"/>
        <v>#NUM!</v>
      </c>
      <c r="CB181" s="22" t="e">
        <f t="shared" si="171"/>
        <v>#NUM!</v>
      </c>
      <c r="CC181" s="60" t="e">
        <f t="shared" si="119"/>
        <v>#NUM!</v>
      </c>
      <c r="CD181" s="60">
        <f ca="1">AVERAGE(OFFSET($CC$3,0,0,'Données projet'!$E$12+1,1))-AVERAGE(OFFSET($H$3,0,0,'Données projet'!$E$12+1,1))</f>
        <v>330.39429528665841</v>
      </c>
      <c r="CE181" s="60">
        <f t="shared" si="148"/>
        <v>186.45728006007261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-9.6633812063373625E-13</v>
      </c>
      <c r="CU181" s="18">
        <f>CT181*VLOOKUP('Données projet'!$B$13,Paramètres!$A$1:$I$89,3,0)*VLOOKUP('Données projet'!$B$13,Paramètres!$A$1:$I$89,5,0)</f>
        <v>-1.0401663530501537E-12</v>
      </c>
      <c r="CV181" s="14" t="e">
        <f t="shared" si="173"/>
        <v>#NUM!</v>
      </c>
      <c r="CW181" s="22" t="e">
        <f t="shared" si="174"/>
        <v>#NUM!</v>
      </c>
      <c r="CX181" s="60" t="e">
        <f t="shared" si="122"/>
        <v>#NUM!</v>
      </c>
      <c r="CY181" s="60">
        <f ca="1">AVERAGE(OFFSET($CX$3,0,0,'Données projet'!$E$13+1,1))-AVERAGE(OFFSET($H$3,0,0,'Données projet'!$E$13+1,1))</f>
        <v>376.96388721258387</v>
      </c>
      <c r="CZ181" s="60">
        <f t="shared" si="150"/>
        <v>211.14628470344377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1.7053025658242404E-13</v>
      </c>
      <c r="DP181" s="18">
        <f>DO181*VLOOKUP('Données projet'!$B$14,Paramètres!$A$1:$I$89,3,0)*VLOOKUP('Données projet'!$B$14,Paramètres!$A$1:$I$89,5,0)</f>
        <v>1.1439169611549005E-13</v>
      </c>
      <c r="DQ181" s="14">
        <f t="shared" si="176"/>
        <v>1.6918016515029816E-12</v>
      </c>
      <c r="DR181" s="22">
        <f t="shared" si="177"/>
        <v>3.1457867471021712E-12</v>
      </c>
      <c r="DS181" s="60">
        <f t="shared" si="125"/>
        <v>293.33333333333644</v>
      </c>
      <c r="DT181" s="60">
        <f ca="1">AVERAGE(OFFSET($DS$3,0,0,'Données projet'!$E$14+1,1))-AVERAGE(OFFSET($H$3,0,0,'Données projet'!$E$14+1,1))</f>
        <v>212.33913923444732</v>
      </c>
      <c r="DU181" s="60">
        <f t="shared" si="152"/>
        <v>183.51194426094372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0" t="e">
        <f t="shared" si="128"/>
        <v>#N/A</v>
      </c>
      <c r="EO181" s="60" t="e">
        <f ca="1">AVERAGE(OFFSET($EN$3,0,0,'Données projet'!$E$15+1,1))-AVERAGE(OFFSET($H$3,0,0,'Données projet'!$E$15+1,1))</f>
        <v>#N/A</v>
      </c>
      <c r="EP181" s="60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0" t="e">
        <f t="shared" si="131"/>
        <v>#N/A</v>
      </c>
      <c r="FJ181" s="60" t="e">
        <f ca="1">AVERAGE(OFFSET($FI$3,0,0,'Données projet'!$E$16+1,1))-AVERAGE(OFFSET($H$3,0,0,'Données projet'!$E$16+1,1))</f>
        <v>#N/A</v>
      </c>
      <c r="FK181" s="60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0" t="e">
        <f t="shared" si="134"/>
        <v>#N/A</v>
      </c>
      <c r="GE181" s="60" t="e">
        <f ca="1">AVERAGE(OFFSET($GD$3,0,0,'Données projet'!$E$17+1,1))-AVERAGE(OFFSET($H$3,0,0,'Données projet'!$E$17+1,1))</f>
        <v>#N/A</v>
      </c>
      <c r="GF181" s="60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0" t="e">
        <f t="shared" si="137"/>
        <v>#N/A</v>
      </c>
      <c r="GZ181" s="60" t="e">
        <f ca="1">AVERAGE(OFFSET($GY$3,0,0,'Données projet'!$E$18+1,1))-AVERAGE(OFFSET($H$3,0,0,'Données projet'!$E$18+1,1))</f>
        <v>#N/A</v>
      </c>
      <c r="HA181" s="60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5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2">
        <f t="shared" si="140"/>
        <v>26.421436267392767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8">
        <f t="shared" si="110"/>
        <v>509.57071816570965</v>
      </c>
      <c r="I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3.4106051316484809E-13</v>
      </c>
      <c r="O182" s="14">
        <f>N182*VLOOKUP('Données projet'!$B$9,Paramètres!$A$1:$I$89,3,0)*VLOOKUP('Données projet'!$B$9,Paramètres!$A$1:$I$89,5,0)</f>
        <v>1.5961632016114892E-13</v>
      </c>
      <c r="P182" s="14">
        <f t="shared" si="141"/>
        <v>2.2708641912150958E-12</v>
      </c>
      <c r="Q182" s="22">
        <f t="shared" si="162"/>
        <v>4.2330868906469593E-12</v>
      </c>
      <c r="R182" s="60">
        <f t="shared" si="109"/>
        <v>293.33333333333752</v>
      </c>
      <c r="S182" s="60">
        <f ca="1">AVERAGE(OFFSET($R$3,0,0,'Données projet'!$E$9+1,1))-AVERAGE(OFFSET($H$3,0,0,'Données projet'!$E$9+1,1))</f>
        <v>146.40889017442277</v>
      </c>
      <c r="T182" s="60">
        <f t="shared" si="142"/>
        <v>70.859031694091868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-1.1368683772161603E-13</v>
      </c>
      <c r="AJ182" s="14">
        <f>AI182*VLOOKUP('Données projet'!$B$10,Paramètres!$A$1:$I$89,3,0)*VLOOKUP('Données projet'!$B$10,Paramètres!$A$1:$I$89,5,0)</f>
        <v>-1.0286385077051818E-13</v>
      </c>
      <c r="AK182" s="14" t="e">
        <f t="shared" si="164"/>
        <v>#NUM!</v>
      </c>
      <c r="AL182" s="22" t="e">
        <f t="shared" si="165"/>
        <v>#NUM!</v>
      </c>
      <c r="AM182" s="60" t="e">
        <f t="shared" si="113"/>
        <v>#NUM!</v>
      </c>
      <c r="AN182" s="60">
        <f ca="1">AVERAGE(OFFSET($AM$3,0,0,'Données projet'!$E$10+1,1))-AVERAGE(OFFSET($H$3,0,0,'Données projet'!$E$10+1,1))</f>
        <v>404.14319681142746</v>
      </c>
      <c r="AO182" s="60">
        <f t="shared" si="144"/>
        <v>203.5274665601915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-9.6633812063373625E-13</v>
      </c>
      <c r="BE182" s="14">
        <f>BD182*VLOOKUP('Données projet'!$B$11,Paramètres!$A$1:$I$89,3,0)*VLOOKUP('Données projet'!$B$11,Paramètres!$A$1:$I$89,5,0)</f>
        <v>-9.7986685432260874E-13</v>
      </c>
      <c r="BF182" s="14" t="e">
        <f t="shared" si="167"/>
        <v>#NUM!</v>
      </c>
      <c r="BG182" s="22" t="e">
        <f t="shared" si="168"/>
        <v>#NUM!</v>
      </c>
      <c r="BH182" s="60" t="e">
        <f t="shared" si="116"/>
        <v>#NUM!</v>
      </c>
      <c r="BI182" s="60">
        <f ca="1">AVERAGE(OFFSET($BH$3,0,0,'Données projet'!$E$11+1,1))-AVERAGE(OFFSET($H$3,0,0,'Données projet'!$E$11+1,1))</f>
        <v>350.3652766444938</v>
      </c>
      <c r="BJ182" s="60">
        <f t="shared" si="146"/>
        <v>197.04549436738586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-9.6633812063373625E-13</v>
      </c>
      <c r="BZ182" s="14">
        <f>BY182*VLOOKUP('Données projet'!$B$12,Paramètres!$A$1:$I$89,3,0)*VLOOKUP('Données projet'!$B$12,Paramètres!$A$1:$I$89,5,0)</f>
        <v>-9.3464223027694966E-13</v>
      </c>
      <c r="CA182" s="14" t="e">
        <f t="shared" si="170"/>
        <v>#NUM!</v>
      </c>
      <c r="CB182" s="22" t="e">
        <f t="shared" si="171"/>
        <v>#NUM!</v>
      </c>
      <c r="CC182" s="60" t="e">
        <f t="shared" si="119"/>
        <v>#NUM!</v>
      </c>
      <c r="CD182" s="60">
        <f ca="1">AVERAGE(OFFSET($CC$3,0,0,'Données projet'!$E$12+1,1))-AVERAGE(OFFSET($H$3,0,0,'Données projet'!$E$12+1,1))</f>
        <v>330.39429528665841</v>
      </c>
      <c r="CE182" s="60">
        <f t="shared" si="148"/>
        <v>186.45728006007261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-9.6633812063373625E-13</v>
      </c>
      <c r="CU182" s="18">
        <f>CT182*VLOOKUP('Données projet'!$B$13,Paramètres!$A$1:$I$89,3,0)*VLOOKUP('Données projet'!$B$13,Paramètres!$A$1:$I$89,5,0)</f>
        <v>-1.0401663530501537E-12</v>
      </c>
      <c r="CV182" s="14" t="e">
        <f t="shared" si="173"/>
        <v>#NUM!</v>
      </c>
      <c r="CW182" s="22" t="e">
        <f t="shared" si="174"/>
        <v>#NUM!</v>
      </c>
      <c r="CX182" s="60" t="e">
        <f t="shared" si="122"/>
        <v>#NUM!</v>
      </c>
      <c r="CY182" s="60">
        <f ca="1">AVERAGE(OFFSET($CX$3,0,0,'Données projet'!$E$13+1,1))-AVERAGE(OFFSET($H$3,0,0,'Données projet'!$E$13+1,1))</f>
        <v>376.96388721258387</v>
      </c>
      <c r="CZ182" s="60">
        <f t="shared" si="150"/>
        <v>211.14628470344377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1.7053025658242404E-13</v>
      </c>
      <c r="DP182" s="18">
        <f>DO182*VLOOKUP('Données projet'!$B$14,Paramètres!$A$1:$I$89,3,0)*VLOOKUP('Données projet'!$B$14,Paramètres!$A$1:$I$89,5,0)</f>
        <v>1.1439169611549005E-13</v>
      </c>
      <c r="DQ182" s="14">
        <f t="shared" si="176"/>
        <v>1.6918016515029816E-12</v>
      </c>
      <c r="DR182" s="22">
        <f t="shared" si="177"/>
        <v>3.1457867471021712E-12</v>
      </c>
      <c r="DS182" s="60">
        <f t="shared" si="125"/>
        <v>293.33333333333644</v>
      </c>
      <c r="DT182" s="60">
        <f ca="1">AVERAGE(OFFSET($DS$3,0,0,'Données projet'!$E$14+1,1))-AVERAGE(OFFSET($H$3,0,0,'Données projet'!$E$14+1,1))</f>
        <v>212.33913923444732</v>
      </c>
      <c r="DU182" s="60">
        <f t="shared" si="152"/>
        <v>183.51194426094372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0" t="e">
        <f t="shared" si="128"/>
        <v>#N/A</v>
      </c>
      <c r="EO182" s="60" t="e">
        <f ca="1">AVERAGE(OFFSET($EN$3,0,0,'Données projet'!$E$15+1,1))-AVERAGE(OFFSET($H$3,0,0,'Données projet'!$E$15+1,1))</f>
        <v>#N/A</v>
      </c>
      <c r="EP182" s="60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0" t="e">
        <f t="shared" si="131"/>
        <v>#N/A</v>
      </c>
      <c r="FJ182" s="60" t="e">
        <f ca="1">AVERAGE(OFFSET($FI$3,0,0,'Données projet'!$E$16+1,1))-AVERAGE(OFFSET($H$3,0,0,'Données projet'!$E$16+1,1))</f>
        <v>#N/A</v>
      </c>
      <c r="FK182" s="60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0" t="e">
        <f t="shared" si="134"/>
        <v>#N/A</v>
      </c>
      <c r="GE182" s="60" t="e">
        <f ca="1">AVERAGE(OFFSET($GD$3,0,0,'Données projet'!$E$17+1,1))-AVERAGE(OFFSET($H$3,0,0,'Données projet'!$E$17+1,1))</f>
        <v>#N/A</v>
      </c>
      <c r="GF182" s="60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0" t="e">
        <f t="shared" si="137"/>
        <v>#N/A</v>
      </c>
      <c r="GZ182" s="60" t="e">
        <f ca="1">AVERAGE(OFFSET($GY$3,0,0,'Données projet'!$E$18+1,1))-AVERAGE(OFFSET($H$3,0,0,'Données projet'!$E$18+1,1))</f>
        <v>#N/A</v>
      </c>
      <c r="HA182" s="60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5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2">
        <f t="shared" si="140"/>
        <v>26.551818424463544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8">
        <f t="shared" si="110"/>
        <v>510.74875042260788</v>
      </c>
      <c r="I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3.4106051316484809E-13</v>
      </c>
      <c r="O183" s="14">
        <f>N183*VLOOKUP('Données projet'!$B$9,Paramètres!$A$1:$I$89,3,0)*VLOOKUP('Données projet'!$B$9,Paramètres!$A$1:$I$89,5,0)</f>
        <v>1.5961632016114892E-13</v>
      </c>
      <c r="P183" s="14">
        <f t="shared" si="141"/>
        <v>2.2708641912150958E-12</v>
      </c>
      <c r="Q183" s="22">
        <f t="shared" si="162"/>
        <v>4.2330868906469593E-12</v>
      </c>
      <c r="R183" s="60">
        <f t="shared" si="109"/>
        <v>293.33333333333752</v>
      </c>
      <c r="S183" s="60">
        <f ca="1">AVERAGE(OFFSET($R$3,0,0,'Données projet'!$E$9+1,1))-AVERAGE(OFFSET($H$3,0,0,'Données projet'!$E$9+1,1))</f>
        <v>146.40889017442277</v>
      </c>
      <c r="T183" s="60">
        <f t="shared" si="142"/>
        <v>70.859031694091868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-1.1368683772161603E-13</v>
      </c>
      <c r="AJ183" s="14">
        <f>AI183*VLOOKUP('Données projet'!$B$10,Paramètres!$A$1:$I$89,3,0)*VLOOKUP('Données projet'!$B$10,Paramètres!$A$1:$I$89,5,0)</f>
        <v>-1.0286385077051818E-13</v>
      </c>
      <c r="AK183" s="14" t="e">
        <f t="shared" si="164"/>
        <v>#NUM!</v>
      </c>
      <c r="AL183" s="22" t="e">
        <f t="shared" si="165"/>
        <v>#NUM!</v>
      </c>
      <c r="AM183" s="60" t="e">
        <f t="shared" si="113"/>
        <v>#NUM!</v>
      </c>
      <c r="AN183" s="60">
        <f ca="1">AVERAGE(OFFSET($AM$3,0,0,'Données projet'!$E$10+1,1))-AVERAGE(OFFSET($H$3,0,0,'Données projet'!$E$10+1,1))</f>
        <v>404.14319681142746</v>
      </c>
      <c r="AO183" s="60">
        <f t="shared" si="144"/>
        <v>203.5274665601915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-9.6633812063373625E-13</v>
      </c>
      <c r="BE183" s="14">
        <f>BD183*VLOOKUP('Données projet'!$B$11,Paramètres!$A$1:$I$89,3,0)*VLOOKUP('Données projet'!$B$11,Paramètres!$A$1:$I$89,5,0)</f>
        <v>-9.7986685432260874E-13</v>
      </c>
      <c r="BF183" s="14" t="e">
        <f t="shared" si="167"/>
        <v>#NUM!</v>
      </c>
      <c r="BG183" s="22" t="e">
        <f t="shared" si="168"/>
        <v>#NUM!</v>
      </c>
      <c r="BH183" s="60" t="e">
        <f t="shared" si="116"/>
        <v>#NUM!</v>
      </c>
      <c r="BI183" s="60">
        <f ca="1">AVERAGE(OFFSET($BH$3,0,0,'Données projet'!$E$11+1,1))-AVERAGE(OFFSET($H$3,0,0,'Données projet'!$E$11+1,1))</f>
        <v>350.3652766444938</v>
      </c>
      <c r="BJ183" s="60">
        <f t="shared" si="146"/>
        <v>197.04549436738586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-9.6633812063373625E-13</v>
      </c>
      <c r="BZ183" s="14">
        <f>BY183*VLOOKUP('Données projet'!$B$12,Paramètres!$A$1:$I$89,3,0)*VLOOKUP('Données projet'!$B$12,Paramètres!$A$1:$I$89,5,0)</f>
        <v>-9.3464223027694966E-13</v>
      </c>
      <c r="CA183" s="14" t="e">
        <f t="shared" si="170"/>
        <v>#NUM!</v>
      </c>
      <c r="CB183" s="22" t="e">
        <f t="shared" si="171"/>
        <v>#NUM!</v>
      </c>
      <c r="CC183" s="60" t="e">
        <f t="shared" si="119"/>
        <v>#NUM!</v>
      </c>
      <c r="CD183" s="60">
        <f ca="1">AVERAGE(OFFSET($CC$3,0,0,'Données projet'!$E$12+1,1))-AVERAGE(OFFSET($H$3,0,0,'Données projet'!$E$12+1,1))</f>
        <v>330.39429528665841</v>
      </c>
      <c r="CE183" s="60">
        <f t="shared" si="148"/>
        <v>186.45728006007261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-9.6633812063373625E-13</v>
      </c>
      <c r="CU183" s="18">
        <f>CT183*VLOOKUP('Données projet'!$B$13,Paramètres!$A$1:$I$89,3,0)*VLOOKUP('Données projet'!$B$13,Paramètres!$A$1:$I$89,5,0)</f>
        <v>-1.0401663530501537E-12</v>
      </c>
      <c r="CV183" s="14" t="e">
        <f t="shared" si="173"/>
        <v>#NUM!</v>
      </c>
      <c r="CW183" s="22" t="e">
        <f t="shared" si="174"/>
        <v>#NUM!</v>
      </c>
      <c r="CX183" s="60" t="e">
        <f t="shared" si="122"/>
        <v>#NUM!</v>
      </c>
      <c r="CY183" s="60">
        <f ca="1">AVERAGE(OFFSET($CX$3,0,0,'Données projet'!$E$13+1,1))-AVERAGE(OFFSET($H$3,0,0,'Données projet'!$E$13+1,1))</f>
        <v>376.96388721258387</v>
      </c>
      <c r="CZ183" s="60">
        <f t="shared" si="150"/>
        <v>211.14628470344377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1.7053025658242404E-13</v>
      </c>
      <c r="DP183" s="18">
        <f>DO183*VLOOKUP('Données projet'!$B$14,Paramètres!$A$1:$I$89,3,0)*VLOOKUP('Données projet'!$B$14,Paramètres!$A$1:$I$89,5,0)</f>
        <v>1.1439169611549005E-13</v>
      </c>
      <c r="DQ183" s="14">
        <f t="shared" si="176"/>
        <v>1.6918016515029816E-12</v>
      </c>
      <c r="DR183" s="22">
        <f t="shared" si="177"/>
        <v>3.1457867471021712E-12</v>
      </c>
      <c r="DS183" s="60">
        <f t="shared" si="125"/>
        <v>293.33333333333644</v>
      </c>
      <c r="DT183" s="60">
        <f ca="1">AVERAGE(OFFSET($DS$3,0,0,'Données projet'!$E$14+1,1))-AVERAGE(OFFSET($H$3,0,0,'Données projet'!$E$14+1,1))</f>
        <v>212.33913923444732</v>
      </c>
      <c r="DU183" s="60">
        <f t="shared" si="152"/>
        <v>183.51194426094372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0" t="e">
        <f t="shared" si="128"/>
        <v>#N/A</v>
      </c>
      <c r="EO183" s="60" t="e">
        <f ca="1">AVERAGE(OFFSET($EN$3,0,0,'Données projet'!$E$15+1,1))-AVERAGE(OFFSET($H$3,0,0,'Données projet'!$E$15+1,1))</f>
        <v>#N/A</v>
      </c>
      <c r="EP183" s="60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0" t="e">
        <f t="shared" si="131"/>
        <v>#N/A</v>
      </c>
      <c r="FJ183" s="60" t="e">
        <f ca="1">AVERAGE(OFFSET($FI$3,0,0,'Données projet'!$E$16+1,1))-AVERAGE(OFFSET($H$3,0,0,'Données projet'!$E$16+1,1))</f>
        <v>#N/A</v>
      </c>
      <c r="FK183" s="60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0" t="e">
        <f t="shared" si="134"/>
        <v>#N/A</v>
      </c>
      <c r="GE183" s="60" t="e">
        <f ca="1">AVERAGE(OFFSET($GD$3,0,0,'Données projet'!$E$17+1,1))-AVERAGE(OFFSET($H$3,0,0,'Données projet'!$E$17+1,1))</f>
        <v>#N/A</v>
      </c>
      <c r="GF183" s="60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0" t="e">
        <f t="shared" si="137"/>
        <v>#N/A</v>
      </c>
      <c r="GZ183" s="60" t="e">
        <f ca="1">AVERAGE(OFFSET($GY$3,0,0,'Données projet'!$E$18+1,1))-AVERAGE(OFFSET($H$3,0,0,'Données projet'!$E$18+1,1))</f>
        <v>#N/A</v>
      </c>
      <c r="HA183" s="60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5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2">
        <f t="shared" si="140"/>
        <v>26.682116294536339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8">
        <f t="shared" si="110"/>
        <v>511.92663587965137</v>
      </c>
      <c r="I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3.4106051316484809E-13</v>
      </c>
      <c r="O184" s="14">
        <f>N184*VLOOKUP('Données projet'!$B$9,Paramètres!$A$1:$I$89,3,0)*VLOOKUP('Données projet'!$B$9,Paramètres!$A$1:$I$89,5,0)</f>
        <v>1.5961632016114892E-13</v>
      </c>
      <c r="P184" s="14">
        <f t="shared" si="141"/>
        <v>2.2708641912150958E-12</v>
      </c>
      <c r="Q184" s="22">
        <f t="shared" si="162"/>
        <v>4.2330868906469593E-12</v>
      </c>
      <c r="R184" s="60">
        <f t="shared" si="109"/>
        <v>293.33333333333752</v>
      </c>
      <c r="S184" s="60">
        <f ca="1">AVERAGE(OFFSET($R$3,0,0,'Données projet'!$E$9+1,1))-AVERAGE(OFFSET($H$3,0,0,'Données projet'!$E$9+1,1))</f>
        <v>146.40889017442277</v>
      </c>
      <c r="T184" s="60">
        <f t="shared" si="142"/>
        <v>70.859031694091868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-1.1368683772161603E-13</v>
      </c>
      <c r="AJ184" s="14">
        <f>AI184*VLOOKUP('Données projet'!$B$10,Paramètres!$A$1:$I$89,3,0)*VLOOKUP('Données projet'!$B$10,Paramètres!$A$1:$I$89,5,0)</f>
        <v>-1.0286385077051818E-13</v>
      </c>
      <c r="AK184" s="14" t="e">
        <f t="shared" si="164"/>
        <v>#NUM!</v>
      </c>
      <c r="AL184" s="22" t="e">
        <f t="shared" si="165"/>
        <v>#NUM!</v>
      </c>
      <c r="AM184" s="60" t="e">
        <f t="shared" si="113"/>
        <v>#NUM!</v>
      </c>
      <c r="AN184" s="60">
        <f ca="1">AVERAGE(OFFSET($AM$3,0,0,'Données projet'!$E$10+1,1))-AVERAGE(OFFSET($H$3,0,0,'Données projet'!$E$10+1,1))</f>
        <v>404.14319681142746</v>
      </c>
      <c r="AO184" s="60">
        <f t="shared" si="144"/>
        <v>203.5274665601915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-9.6633812063373625E-13</v>
      </c>
      <c r="BE184" s="14">
        <f>BD184*VLOOKUP('Données projet'!$B$11,Paramètres!$A$1:$I$89,3,0)*VLOOKUP('Données projet'!$B$11,Paramètres!$A$1:$I$89,5,0)</f>
        <v>-9.7986685432260874E-13</v>
      </c>
      <c r="BF184" s="14" t="e">
        <f t="shared" si="167"/>
        <v>#NUM!</v>
      </c>
      <c r="BG184" s="22" t="e">
        <f t="shared" si="168"/>
        <v>#NUM!</v>
      </c>
      <c r="BH184" s="60" t="e">
        <f t="shared" si="116"/>
        <v>#NUM!</v>
      </c>
      <c r="BI184" s="60">
        <f ca="1">AVERAGE(OFFSET($BH$3,0,0,'Données projet'!$E$11+1,1))-AVERAGE(OFFSET($H$3,0,0,'Données projet'!$E$11+1,1))</f>
        <v>350.3652766444938</v>
      </c>
      <c r="BJ184" s="60">
        <f t="shared" si="146"/>
        <v>197.04549436738586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-9.6633812063373625E-13</v>
      </c>
      <c r="BZ184" s="14">
        <f>BY184*VLOOKUP('Données projet'!$B$12,Paramètres!$A$1:$I$89,3,0)*VLOOKUP('Données projet'!$B$12,Paramètres!$A$1:$I$89,5,0)</f>
        <v>-9.3464223027694966E-13</v>
      </c>
      <c r="CA184" s="14" t="e">
        <f t="shared" si="170"/>
        <v>#NUM!</v>
      </c>
      <c r="CB184" s="22" t="e">
        <f t="shared" si="171"/>
        <v>#NUM!</v>
      </c>
      <c r="CC184" s="60" t="e">
        <f t="shared" si="119"/>
        <v>#NUM!</v>
      </c>
      <c r="CD184" s="60">
        <f ca="1">AVERAGE(OFFSET($CC$3,0,0,'Données projet'!$E$12+1,1))-AVERAGE(OFFSET($H$3,0,0,'Données projet'!$E$12+1,1))</f>
        <v>330.39429528665841</v>
      </c>
      <c r="CE184" s="60">
        <f t="shared" si="148"/>
        <v>186.45728006007261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-9.6633812063373625E-13</v>
      </c>
      <c r="CU184" s="18">
        <f>CT184*VLOOKUP('Données projet'!$B$13,Paramètres!$A$1:$I$89,3,0)*VLOOKUP('Données projet'!$B$13,Paramètres!$A$1:$I$89,5,0)</f>
        <v>-1.0401663530501537E-12</v>
      </c>
      <c r="CV184" s="14" t="e">
        <f t="shared" si="173"/>
        <v>#NUM!</v>
      </c>
      <c r="CW184" s="22" t="e">
        <f t="shared" si="174"/>
        <v>#NUM!</v>
      </c>
      <c r="CX184" s="60" t="e">
        <f t="shared" si="122"/>
        <v>#NUM!</v>
      </c>
      <c r="CY184" s="60">
        <f ca="1">AVERAGE(OFFSET($CX$3,0,0,'Données projet'!$E$13+1,1))-AVERAGE(OFFSET($H$3,0,0,'Données projet'!$E$13+1,1))</f>
        <v>376.96388721258387</v>
      </c>
      <c r="CZ184" s="60">
        <f t="shared" si="150"/>
        <v>211.14628470344377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1.7053025658242404E-13</v>
      </c>
      <c r="DP184" s="18">
        <f>DO184*VLOOKUP('Données projet'!$B$14,Paramètres!$A$1:$I$89,3,0)*VLOOKUP('Données projet'!$B$14,Paramètres!$A$1:$I$89,5,0)</f>
        <v>1.1439169611549005E-13</v>
      </c>
      <c r="DQ184" s="14">
        <f t="shared" si="176"/>
        <v>1.6918016515029816E-12</v>
      </c>
      <c r="DR184" s="22">
        <f t="shared" si="177"/>
        <v>3.1457867471021712E-12</v>
      </c>
      <c r="DS184" s="60">
        <f t="shared" si="125"/>
        <v>293.33333333333644</v>
      </c>
      <c r="DT184" s="60">
        <f ca="1">AVERAGE(OFFSET($DS$3,0,0,'Données projet'!$E$14+1,1))-AVERAGE(OFFSET($H$3,0,0,'Données projet'!$E$14+1,1))</f>
        <v>212.33913923444732</v>
      </c>
      <c r="DU184" s="60">
        <f t="shared" si="152"/>
        <v>183.51194426094372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0" t="e">
        <f t="shared" si="128"/>
        <v>#N/A</v>
      </c>
      <c r="EO184" s="60" t="e">
        <f ca="1">AVERAGE(OFFSET($EN$3,0,0,'Données projet'!$E$15+1,1))-AVERAGE(OFFSET($H$3,0,0,'Données projet'!$E$15+1,1))</f>
        <v>#N/A</v>
      </c>
      <c r="EP184" s="60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0" t="e">
        <f t="shared" si="131"/>
        <v>#N/A</v>
      </c>
      <c r="FJ184" s="60" t="e">
        <f ca="1">AVERAGE(OFFSET($FI$3,0,0,'Données projet'!$E$16+1,1))-AVERAGE(OFFSET($H$3,0,0,'Données projet'!$E$16+1,1))</f>
        <v>#N/A</v>
      </c>
      <c r="FK184" s="60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0" t="e">
        <f t="shared" si="134"/>
        <v>#N/A</v>
      </c>
      <c r="GE184" s="60" t="e">
        <f ca="1">AVERAGE(OFFSET($GD$3,0,0,'Données projet'!$E$17+1,1))-AVERAGE(OFFSET($H$3,0,0,'Données projet'!$E$17+1,1))</f>
        <v>#N/A</v>
      </c>
      <c r="GF184" s="60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0" t="e">
        <f t="shared" si="137"/>
        <v>#N/A</v>
      </c>
      <c r="GZ184" s="60" t="e">
        <f ca="1">AVERAGE(OFFSET($GY$3,0,0,'Données projet'!$E$18+1,1))-AVERAGE(OFFSET($H$3,0,0,'Données projet'!$E$18+1,1))</f>
        <v>#N/A</v>
      </c>
      <c r="HA184" s="60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5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2">
        <f t="shared" si="140"/>
        <v>26.812330397327784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8">
        <f t="shared" si="110"/>
        <v>513.10437544201318</v>
      </c>
      <c r="I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3.4106051316484809E-13</v>
      </c>
      <c r="O185" s="14">
        <f>N185*VLOOKUP('Données projet'!$B$9,Paramètres!$A$1:$I$89,3,0)*VLOOKUP('Données projet'!$B$9,Paramètres!$A$1:$I$89,5,0)</f>
        <v>1.5961632016114892E-13</v>
      </c>
      <c r="P185" s="14">
        <f t="shared" si="141"/>
        <v>2.2708641912150958E-12</v>
      </c>
      <c r="Q185" s="22">
        <f t="shared" si="162"/>
        <v>4.2330868906469593E-12</v>
      </c>
      <c r="R185" s="60">
        <f t="shared" si="109"/>
        <v>293.33333333333752</v>
      </c>
      <c r="S185" s="60">
        <f ca="1">AVERAGE(OFFSET($R$3,0,0,'Données projet'!$E$9+1,1))-AVERAGE(OFFSET($H$3,0,0,'Données projet'!$E$9+1,1))</f>
        <v>146.40889017442277</v>
      </c>
      <c r="T185" s="60">
        <f t="shared" si="142"/>
        <v>70.859031694091868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-1.1368683772161603E-13</v>
      </c>
      <c r="AJ185" s="14">
        <f>AI185*VLOOKUP('Données projet'!$B$10,Paramètres!$A$1:$I$89,3,0)*VLOOKUP('Données projet'!$B$10,Paramètres!$A$1:$I$89,5,0)</f>
        <v>-1.0286385077051818E-13</v>
      </c>
      <c r="AK185" s="14" t="e">
        <f t="shared" si="164"/>
        <v>#NUM!</v>
      </c>
      <c r="AL185" s="22" t="e">
        <f t="shared" si="165"/>
        <v>#NUM!</v>
      </c>
      <c r="AM185" s="60" t="e">
        <f t="shared" si="113"/>
        <v>#NUM!</v>
      </c>
      <c r="AN185" s="60">
        <f ca="1">AVERAGE(OFFSET($AM$3,0,0,'Données projet'!$E$10+1,1))-AVERAGE(OFFSET($H$3,0,0,'Données projet'!$E$10+1,1))</f>
        <v>404.14319681142746</v>
      </c>
      <c r="AO185" s="60">
        <f t="shared" si="144"/>
        <v>203.5274665601915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-9.6633812063373625E-13</v>
      </c>
      <c r="BE185" s="14">
        <f>BD185*VLOOKUP('Données projet'!$B$11,Paramètres!$A$1:$I$89,3,0)*VLOOKUP('Données projet'!$B$11,Paramètres!$A$1:$I$89,5,0)</f>
        <v>-9.7986685432260874E-13</v>
      </c>
      <c r="BF185" s="14" t="e">
        <f t="shared" si="167"/>
        <v>#NUM!</v>
      </c>
      <c r="BG185" s="22" t="e">
        <f t="shared" si="168"/>
        <v>#NUM!</v>
      </c>
      <c r="BH185" s="60" t="e">
        <f t="shared" si="116"/>
        <v>#NUM!</v>
      </c>
      <c r="BI185" s="60">
        <f ca="1">AVERAGE(OFFSET($BH$3,0,0,'Données projet'!$E$11+1,1))-AVERAGE(OFFSET($H$3,0,0,'Données projet'!$E$11+1,1))</f>
        <v>350.3652766444938</v>
      </c>
      <c r="BJ185" s="60">
        <f t="shared" si="146"/>
        <v>197.04549436738586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-9.6633812063373625E-13</v>
      </c>
      <c r="BZ185" s="14">
        <f>BY185*VLOOKUP('Données projet'!$B$12,Paramètres!$A$1:$I$89,3,0)*VLOOKUP('Données projet'!$B$12,Paramètres!$A$1:$I$89,5,0)</f>
        <v>-9.3464223027694966E-13</v>
      </c>
      <c r="CA185" s="14" t="e">
        <f t="shared" si="170"/>
        <v>#NUM!</v>
      </c>
      <c r="CB185" s="22" t="e">
        <f t="shared" si="171"/>
        <v>#NUM!</v>
      </c>
      <c r="CC185" s="60" t="e">
        <f t="shared" si="119"/>
        <v>#NUM!</v>
      </c>
      <c r="CD185" s="60">
        <f ca="1">AVERAGE(OFFSET($CC$3,0,0,'Données projet'!$E$12+1,1))-AVERAGE(OFFSET($H$3,0,0,'Données projet'!$E$12+1,1))</f>
        <v>330.39429528665841</v>
      </c>
      <c r="CE185" s="60">
        <f t="shared" si="148"/>
        <v>186.45728006007261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-9.6633812063373625E-13</v>
      </c>
      <c r="CU185" s="18">
        <f>CT185*VLOOKUP('Données projet'!$B$13,Paramètres!$A$1:$I$89,3,0)*VLOOKUP('Données projet'!$B$13,Paramètres!$A$1:$I$89,5,0)</f>
        <v>-1.0401663530501537E-12</v>
      </c>
      <c r="CV185" s="14" t="e">
        <f t="shared" si="173"/>
        <v>#NUM!</v>
      </c>
      <c r="CW185" s="22" t="e">
        <f t="shared" si="174"/>
        <v>#NUM!</v>
      </c>
      <c r="CX185" s="60" t="e">
        <f t="shared" si="122"/>
        <v>#NUM!</v>
      </c>
      <c r="CY185" s="60">
        <f ca="1">AVERAGE(OFFSET($CX$3,0,0,'Données projet'!$E$13+1,1))-AVERAGE(OFFSET($H$3,0,0,'Données projet'!$E$13+1,1))</f>
        <v>376.96388721258387</v>
      </c>
      <c r="CZ185" s="60">
        <f t="shared" si="150"/>
        <v>211.14628470344377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1.7053025658242404E-13</v>
      </c>
      <c r="DP185" s="18">
        <f>DO185*VLOOKUP('Données projet'!$B$14,Paramètres!$A$1:$I$89,3,0)*VLOOKUP('Données projet'!$B$14,Paramètres!$A$1:$I$89,5,0)</f>
        <v>1.1439169611549005E-13</v>
      </c>
      <c r="DQ185" s="14">
        <f t="shared" si="176"/>
        <v>1.6918016515029816E-12</v>
      </c>
      <c r="DR185" s="22">
        <f t="shared" si="177"/>
        <v>3.1457867471021712E-12</v>
      </c>
      <c r="DS185" s="60">
        <f t="shared" si="125"/>
        <v>293.33333333333644</v>
      </c>
      <c r="DT185" s="60">
        <f ca="1">AVERAGE(OFFSET($DS$3,0,0,'Données projet'!$E$14+1,1))-AVERAGE(OFFSET($H$3,0,0,'Données projet'!$E$14+1,1))</f>
        <v>212.33913923444732</v>
      </c>
      <c r="DU185" s="60">
        <f t="shared" si="152"/>
        <v>183.51194426094372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0" t="e">
        <f t="shared" si="128"/>
        <v>#N/A</v>
      </c>
      <c r="EO185" s="60" t="e">
        <f ca="1">AVERAGE(OFFSET($EN$3,0,0,'Données projet'!$E$15+1,1))-AVERAGE(OFFSET($H$3,0,0,'Données projet'!$E$15+1,1))</f>
        <v>#N/A</v>
      </c>
      <c r="EP185" s="60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0" t="e">
        <f t="shared" si="131"/>
        <v>#N/A</v>
      </c>
      <c r="FJ185" s="60" t="e">
        <f ca="1">AVERAGE(OFFSET($FI$3,0,0,'Données projet'!$E$16+1,1))-AVERAGE(OFFSET($H$3,0,0,'Données projet'!$E$16+1,1))</f>
        <v>#N/A</v>
      </c>
      <c r="FK185" s="60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0" t="e">
        <f t="shared" si="134"/>
        <v>#N/A</v>
      </c>
      <c r="GE185" s="60" t="e">
        <f ca="1">AVERAGE(OFFSET($GD$3,0,0,'Données projet'!$E$17+1,1))-AVERAGE(OFFSET($H$3,0,0,'Données projet'!$E$17+1,1))</f>
        <v>#N/A</v>
      </c>
      <c r="GF185" s="60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0" t="e">
        <f t="shared" si="137"/>
        <v>#N/A</v>
      </c>
      <c r="GZ185" s="60" t="e">
        <f ca="1">AVERAGE(OFFSET($GY$3,0,0,'Données projet'!$E$18+1,1))-AVERAGE(OFFSET($H$3,0,0,'Données projet'!$E$18+1,1))</f>
        <v>#N/A</v>
      </c>
      <c r="HA185" s="60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5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2">
        <f t="shared" si="140"/>
        <v>26.942461246512842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8">
        <f t="shared" si="110"/>
        <v>514.28197000434375</v>
      </c>
      <c r="I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3.4106051316484809E-13</v>
      </c>
      <c r="O186" s="14">
        <f>N186*VLOOKUP('Données projet'!$B$9,Paramètres!$A$1:$I$89,3,0)*VLOOKUP('Données projet'!$B$9,Paramètres!$A$1:$I$89,5,0)</f>
        <v>1.5961632016114892E-13</v>
      </c>
      <c r="P186" s="14">
        <f t="shared" si="141"/>
        <v>2.2708641912150958E-12</v>
      </c>
      <c r="Q186" s="22">
        <f t="shared" si="162"/>
        <v>4.2330868906469593E-12</v>
      </c>
      <c r="R186" s="60">
        <f t="shared" si="109"/>
        <v>293.33333333333752</v>
      </c>
      <c r="S186" s="60">
        <f ca="1">AVERAGE(OFFSET($R$3,0,0,'Données projet'!$E$9+1,1))-AVERAGE(OFFSET($H$3,0,0,'Données projet'!$E$9+1,1))</f>
        <v>146.40889017442277</v>
      </c>
      <c r="T186" s="60">
        <f t="shared" si="142"/>
        <v>70.859031694091868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-1.1368683772161603E-13</v>
      </c>
      <c r="AJ186" s="14">
        <f>AI186*VLOOKUP('Données projet'!$B$10,Paramètres!$A$1:$I$89,3,0)*VLOOKUP('Données projet'!$B$10,Paramètres!$A$1:$I$89,5,0)</f>
        <v>-1.0286385077051818E-13</v>
      </c>
      <c r="AK186" s="14" t="e">
        <f t="shared" si="164"/>
        <v>#NUM!</v>
      </c>
      <c r="AL186" s="22" t="e">
        <f t="shared" si="165"/>
        <v>#NUM!</v>
      </c>
      <c r="AM186" s="60" t="e">
        <f t="shared" si="113"/>
        <v>#NUM!</v>
      </c>
      <c r="AN186" s="60">
        <f ca="1">AVERAGE(OFFSET($AM$3,0,0,'Données projet'!$E$10+1,1))-AVERAGE(OFFSET($H$3,0,0,'Données projet'!$E$10+1,1))</f>
        <v>404.14319681142746</v>
      </c>
      <c r="AO186" s="60">
        <f t="shared" si="144"/>
        <v>203.5274665601915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-9.6633812063373625E-13</v>
      </c>
      <c r="BE186" s="14">
        <f>BD186*VLOOKUP('Données projet'!$B$11,Paramètres!$A$1:$I$89,3,0)*VLOOKUP('Données projet'!$B$11,Paramètres!$A$1:$I$89,5,0)</f>
        <v>-9.7986685432260874E-13</v>
      </c>
      <c r="BF186" s="14" t="e">
        <f t="shared" si="167"/>
        <v>#NUM!</v>
      </c>
      <c r="BG186" s="22" t="e">
        <f t="shared" si="168"/>
        <v>#NUM!</v>
      </c>
      <c r="BH186" s="60" t="e">
        <f t="shared" si="116"/>
        <v>#NUM!</v>
      </c>
      <c r="BI186" s="60">
        <f ca="1">AVERAGE(OFFSET($BH$3,0,0,'Données projet'!$E$11+1,1))-AVERAGE(OFFSET($H$3,0,0,'Données projet'!$E$11+1,1))</f>
        <v>350.3652766444938</v>
      </c>
      <c r="BJ186" s="60">
        <f t="shared" si="146"/>
        <v>197.04549436738586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-9.6633812063373625E-13</v>
      </c>
      <c r="BZ186" s="14">
        <f>BY186*VLOOKUP('Données projet'!$B$12,Paramètres!$A$1:$I$89,3,0)*VLOOKUP('Données projet'!$B$12,Paramètres!$A$1:$I$89,5,0)</f>
        <v>-9.3464223027694966E-13</v>
      </c>
      <c r="CA186" s="14" t="e">
        <f t="shared" si="170"/>
        <v>#NUM!</v>
      </c>
      <c r="CB186" s="22" t="e">
        <f t="shared" si="171"/>
        <v>#NUM!</v>
      </c>
      <c r="CC186" s="60" t="e">
        <f t="shared" si="119"/>
        <v>#NUM!</v>
      </c>
      <c r="CD186" s="60">
        <f ca="1">AVERAGE(OFFSET($CC$3,0,0,'Données projet'!$E$12+1,1))-AVERAGE(OFFSET($H$3,0,0,'Données projet'!$E$12+1,1))</f>
        <v>330.39429528665841</v>
      </c>
      <c r="CE186" s="60">
        <f t="shared" si="148"/>
        <v>186.45728006007261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-9.6633812063373625E-13</v>
      </c>
      <c r="CU186" s="18">
        <f>CT186*VLOOKUP('Données projet'!$B$13,Paramètres!$A$1:$I$89,3,0)*VLOOKUP('Données projet'!$B$13,Paramètres!$A$1:$I$89,5,0)</f>
        <v>-1.0401663530501537E-12</v>
      </c>
      <c r="CV186" s="14" t="e">
        <f t="shared" si="173"/>
        <v>#NUM!</v>
      </c>
      <c r="CW186" s="22" t="e">
        <f t="shared" si="174"/>
        <v>#NUM!</v>
      </c>
      <c r="CX186" s="60" t="e">
        <f t="shared" si="122"/>
        <v>#NUM!</v>
      </c>
      <c r="CY186" s="60">
        <f ca="1">AVERAGE(OFFSET($CX$3,0,0,'Données projet'!$E$13+1,1))-AVERAGE(OFFSET($H$3,0,0,'Données projet'!$E$13+1,1))</f>
        <v>376.96388721258387</v>
      </c>
      <c r="CZ186" s="60">
        <f t="shared" si="150"/>
        <v>211.14628470344377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1.7053025658242404E-13</v>
      </c>
      <c r="DP186" s="18">
        <f>DO186*VLOOKUP('Données projet'!$B$14,Paramètres!$A$1:$I$89,3,0)*VLOOKUP('Données projet'!$B$14,Paramètres!$A$1:$I$89,5,0)</f>
        <v>1.1439169611549005E-13</v>
      </c>
      <c r="DQ186" s="14">
        <f t="shared" si="176"/>
        <v>1.6918016515029816E-12</v>
      </c>
      <c r="DR186" s="22">
        <f t="shared" si="177"/>
        <v>3.1457867471021712E-12</v>
      </c>
      <c r="DS186" s="60">
        <f t="shared" si="125"/>
        <v>293.33333333333644</v>
      </c>
      <c r="DT186" s="60">
        <f ca="1">AVERAGE(OFFSET($DS$3,0,0,'Données projet'!$E$14+1,1))-AVERAGE(OFFSET($H$3,0,0,'Données projet'!$E$14+1,1))</f>
        <v>212.33913923444732</v>
      </c>
      <c r="DU186" s="60">
        <f t="shared" si="152"/>
        <v>183.51194426094372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0" t="e">
        <f t="shared" si="128"/>
        <v>#N/A</v>
      </c>
      <c r="EO186" s="60" t="e">
        <f ca="1">AVERAGE(OFFSET($EN$3,0,0,'Données projet'!$E$15+1,1))-AVERAGE(OFFSET($H$3,0,0,'Données projet'!$E$15+1,1))</f>
        <v>#N/A</v>
      </c>
      <c r="EP186" s="60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0" t="e">
        <f t="shared" si="131"/>
        <v>#N/A</v>
      </c>
      <c r="FJ186" s="60" t="e">
        <f ca="1">AVERAGE(OFFSET($FI$3,0,0,'Données projet'!$E$16+1,1))-AVERAGE(OFFSET($H$3,0,0,'Données projet'!$E$16+1,1))</f>
        <v>#N/A</v>
      </c>
      <c r="FK186" s="60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0" t="e">
        <f t="shared" si="134"/>
        <v>#N/A</v>
      </c>
      <c r="GE186" s="60" t="e">
        <f ca="1">AVERAGE(OFFSET($GD$3,0,0,'Données projet'!$E$17+1,1))-AVERAGE(OFFSET($H$3,0,0,'Données projet'!$E$17+1,1))</f>
        <v>#N/A</v>
      </c>
      <c r="GF186" s="60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0" t="e">
        <f t="shared" si="137"/>
        <v>#N/A</v>
      </c>
      <c r="GZ186" s="60" t="e">
        <f ca="1">AVERAGE(OFFSET($GY$3,0,0,'Données projet'!$E$18+1,1))-AVERAGE(OFFSET($H$3,0,0,'Données projet'!$E$18+1,1))</f>
        <v>#N/A</v>
      </c>
      <c r="HA186" s="60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5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2">
        <f t="shared" si="140"/>
        <v>27.072509349827552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8">
        <f t="shared" si="110"/>
        <v>515.45942045095035</v>
      </c>
      <c r="I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3.4106051316484809E-13</v>
      </c>
      <c r="O187" s="14">
        <f>N187*VLOOKUP('Données projet'!$B$9,Paramètres!$A$1:$I$89,3,0)*VLOOKUP('Données projet'!$B$9,Paramètres!$A$1:$I$89,5,0)</f>
        <v>1.5961632016114892E-13</v>
      </c>
      <c r="P187" s="14">
        <f t="shared" si="141"/>
        <v>2.2708641912150958E-12</v>
      </c>
      <c r="Q187" s="22">
        <f t="shared" si="162"/>
        <v>4.2330868906469593E-12</v>
      </c>
      <c r="R187" s="60">
        <f t="shared" si="109"/>
        <v>293.33333333333752</v>
      </c>
      <c r="S187" s="60">
        <f ca="1">AVERAGE(OFFSET($R$3,0,0,'Données projet'!$E$9+1,1))-AVERAGE(OFFSET($H$3,0,0,'Données projet'!$E$9+1,1))</f>
        <v>146.40889017442277</v>
      </c>
      <c r="T187" s="60">
        <f t="shared" si="142"/>
        <v>70.859031694091868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-1.1368683772161603E-13</v>
      </c>
      <c r="AJ187" s="14">
        <f>AI187*VLOOKUP('Données projet'!$B$10,Paramètres!$A$1:$I$89,3,0)*VLOOKUP('Données projet'!$B$10,Paramètres!$A$1:$I$89,5,0)</f>
        <v>-1.0286385077051818E-13</v>
      </c>
      <c r="AK187" s="14" t="e">
        <f t="shared" si="164"/>
        <v>#NUM!</v>
      </c>
      <c r="AL187" s="22" t="e">
        <f t="shared" si="165"/>
        <v>#NUM!</v>
      </c>
      <c r="AM187" s="60" t="e">
        <f t="shared" si="113"/>
        <v>#NUM!</v>
      </c>
      <c r="AN187" s="60">
        <f ca="1">AVERAGE(OFFSET($AM$3,0,0,'Données projet'!$E$10+1,1))-AVERAGE(OFFSET($H$3,0,0,'Données projet'!$E$10+1,1))</f>
        <v>404.14319681142746</v>
      </c>
      <c r="AO187" s="60">
        <f t="shared" si="144"/>
        <v>203.5274665601915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-9.6633812063373625E-13</v>
      </c>
      <c r="BE187" s="14">
        <f>BD187*VLOOKUP('Données projet'!$B$11,Paramètres!$A$1:$I$89,3,0)*VLOOKUP('Données projet'!$B$11,Paramètres!$A$1:$I$89,5,0)</f>
        <v>-9.7986685432260874E-13</v>
      </c>
      <c r="BF187" s="14" t="e">
        <f t="shared" si="167"/>
        <v>#NUM!</v>
      </c>
      <c r="BG187" s="22" t="e">
        <f t="shared" si="168"/>
        <v>#NUM!</v>
      </c>
      <c r="BH187" s="60" t="e">
        <f t="shared" si="116"/>
        <v>#NUM!</v>
      </c>
      <c r="BI187" s="60">
        <f ca="1">AVERAGE(OFFSET($BH$3,0,0,'Données projet'!$E$11+1,1))-AVERAGE(OFFSET($H$3,0,0,'Données projet'!$E$11+1,1))</f>
        <v>350.3652766444938</v>
      </c>
      <c r="BJ187" s="60">
        <f t="shared" si="146"/>
        <v>197.04549436738586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-9.6633812063373625E-13</v>
      </c>
      <c r="BZ187" s="14">
        <f>BY187*VLOOKUP('Données projet'!$B$12,Paramètres!$A$1:$I$89,3,0)*VLOOKUP('Données projet'!$B$12,Paramètres!$A$1:$I$89,5,0)</f>
        <v>-9.3464223027694966E-13</v>
      </c>
      <c r="CA187" s="14" t="e">
        <f t="shared" si="170"/>
        <v>#NUM!</v>
      </c>
      <c r="CB187" s="22" t="e">
        <f t="shared" si="171"/>
        <v>#NUM!</v>
      </c>
      <c r="CC187" s="60" t="e">
        <f t="shared" si="119"/>
        <v>#NUM!</v>
      </c>
      <c r="CD187" s="60">
        <f ca="1">AVERAGE(OFFSET($CC$3,0,0,'Données projet'!$E$12+1,1))-AVERAGE(OFFSET($H$3,0,0,'Données projet'!$E$12+1,1))</f>
        <v>330.39429528665841</v>
      </c>
      <c r="CE187" s="60">
        <f t="shared" si="148"/>
        <v>186.45728006007261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-9.6633812063373625E-13</v>
      </c>
      <c r="CU187" s="18">
        <f>CT187*VLOOKUP('Données projet'!$B$13,Paramètres!$A$1:$I$89,3,0)*VLOOKUP('Données projet'!$B$13,Paramètres!$A$1:$I$89,5,0)</f>
        <v>-1.0401663530501537E-12</v>
      </c>
      <c r="CV187" s="14" t="e">
        <f t="shared" si="173"/>
        <v>#NUM!</v>
      </c>
      <c r="CW187" s="22" t="e">
        <f t="shared" si="174"/>
        <v>#NUM!</v>
      </c>
      <c r="CX187" s="60" t="e">
        <f t="shared" si="122"/>
        <v>#NUM!</v>
      </c>
      <c r="CY187" s="60">
        <f ca="1">AVERAGE(OFFSET($CX$3,0,0,'Données projet'!$E$13+1,1))-AVERAGE(OFFSET($H$3,0,0,'Données projet'!$E$13+1,1))</f>
        <v>376.96388721258387</v>
      </c>
      <c r="CZ187" s="60">
        <f t="shared" si="150"/>
        <v>211.14628470344377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1.7053025658242404E-13</v>
      </c>
      <c r="DP187" s="18">
        <f>DO187*VLOOKUP('Données projet'!$B$14,Paramètres!$A$1:$I$89,3,0)*VLOOKUP('Données projet'!$B$14,Paramètres!$A$1:$I$89,5,0)</f>
        <v>1.1439169611549005E-13</v>
      </c>
      <c r="DQ187" s="14">
        <f t="shared" si="176"/>
        <v>1.6918016515029816E-12</v>
      </c>
      <c r="DR187" s="22">
        <f t="shared" si="177"/>
        <v>3.1457867471021712E-12</v>
      </c>
      <c r="DS187" s="60">
        <f t="shared" si="125"/>
        <v>293.33333333333644</v>
      </c>
      <c r="DT187" s="60">
        <f ca="1">AVERAGE(OFFSET($DS$3,0,0,'Données projet'!$E$14+1,1))-AVERAGE(OFFSET($H$3,0,0,'Données projet'!$E$14+1,1))</f>
        <v>212.33913923444732</v>
      </c>
      <c r="DU187" s="60">
        <f t="shared" si="152"/>
        <v>183.51194426094372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0" t="e">
        <f t="shared" si="128"/>
        <v>#N/A</v>
      </c>
      <c r="EO187" s="60" t="e">
        <f ca="1">AVERAGE(OFFSET($EN$3,0,0,'Données projet'!$E$15+1,1))-AVERAGE(OFFSET($H$3,0,0,'Données projet'!$E$15+1,1))</f>
        <v>#N/A</v>
      </c>
      <c r="EP187" s="60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0" t="e">
        <f t="shared" si="131"/>
        <v>#N/A</v>
      </c>
      <c r="FJ187" s="60" t="e">
        <f ca="1">AVERAGE(OFFSET($FI$3,0,0,'Données projet'!$E$16+1,1))-AVERAGE(OFFSET($H$3,0,0,'Données projet'!$E$16+1,1))</f>
        <v>#N/A</v>
      </c>
      <c r="FK187" s="60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0" t="e">
        <f t="shared" si="134"/>
        <v>#N/A</v>
      </c>
      <c r="GE187" s="60" t="e">
        <f ca="1">AVERAGE(OFFSET($GD$3,0,0,'Données projet'!$E$17+1,1))-AVERAGE(OFFSET($H$3,0,0,'Données projet'!$E$17+1,1))</f>
        <v>#N/A</v>
      </c>
      <c r="GF187" s="60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0" t="e">
        <f t="shared" si="137"/>
        <v>#N/A</v>
      </c>
      <c r="GZ187" s="60" t="e">
        <f ca="1">AVERAGE(OFFSET($GY$3,0,0,'Données projet'!$E$18+1,1))-AVERAGE(OFFSET($H$3,0,0,'Données projet'!$E$18+1,1))</f>
        <v>#N/A</v>
      </c>
      <c r="HA187" s="60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5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2">
        <f t="shared" si="140"/>
        <v>27.202475209169677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8">
        <f t="shared" si="110"/>
        <v>516.63672765597119</v>
      </c>
      <c r="I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3.4106051316484809E-13</v>
      </c>
      <c r="O188" s="14">
        <f>N188*VLOOKUP('Données projet'!$B$9,Paramètres!$A$1:$I$89,3,0)*VLOOKUP('Données projet'!$B$9,Paramètres!$A$1:$I$89,5,0)</f>
        <v>1.5961632016114892E-13</v>
      </c>
      <c r="P188" s="14">
        <f t="shared" si="141"/>
        <v>2.2708641912150958E-12</v>
      </c>
      <c r="Q188" s="22">
        <f t="shared" si="162"/>
        <v>4.2330868906469593E-12</v>
      </c>
      <c r="R188" s="60">
        <f t="shared" si="109"/>
        <v>293.33333333333752</v>
      </c>
      <c r="S188" s="60">
        <f ca="1">AVERAGE(OFFSET($R$3,0,0,'Données projet'!$E$9+1,1))-AVERAGE(OFFSET($H$3,0,0,'Données projet'!$E$9+1,1))</f>
        <v>146.40889017442277</v>
      </c>
      <c r="T188" s="60">
        <f t="shared" si="142"/>
        <v>70.859031694091868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-1.1368683772161603E-13</v>
      </c>
      <c r="AJ188" s="14">
        <f>AI188*VLOOKUP('Données projet'!$B$10,Paramètres!$A$1:$I$89,3,0)*VLOOKUP('Données projet'!$B$10,Paramètres!$A$1:$I$89,5,0)</f>
        <v>-1.0286385077051818E-13</v>
      </c>
      <c r="AK188" s="14" t="e">
        <f t="shared" si="164"/>
        <v>#NUM!</v>
      </c>
      <c r="AL188" s="22" t="e">
        <f t="shared" si="165"/>
        <v>#NUM!</v>
      </c>
      <c r="AM188" s="60" t="e">
        <f t="shared" si="113"/>
        <v>#NUM!</v>
      </c>
      <c r="AN188" s="60">
        <f ca="1">AVERAGE(OFFSET($AM$3,0,0,'Données projet'!$E$10+1,1))-AVERAGE(OFFSET($H$3,0,0,'Données projet'!$E$10+1,1))</f>
        <v>404.14319681142746</v>
      </c>
      <c r="AO188" s="60">
        <f t="shared" si="144"/>
        <v>203.5274665601915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-9.6633812063373625E-13</v>
      </c>
      <c r="BE188" s="14">
        <f>BD188*VLOOKUP('Données projet'!$B$11,Paramètres!$A$1:$I$89,3,0)*VLOOKUP('Données projet'!$B$11,Paramètres!$A$1:$I$89,5,0)</f>
        <v>-9.7986685432260874E-13</v>
      </c>
      <c r="BF188" s="14" t="e">
        <f t="shared" si="167"/>
        <v>#NUM!</v>
      </c>
      <c r="BG188" s="22" t="e">
        <f t="shared" si="168"/>
        <v>#NUM!</v>
      </c>
      <c r="BH188" s="60" t="e">
        <f t="shared" si="116"/>
        <v>#NUM!</v>
      </c>
      <c r="BI188" s="60">
        <f ca="1">AVERAGE(OFFSET($BH$3,0,0,'Données projet'!$E$11+1,1))-AVERAGE(OFFSET($H$3,0,0,'Données projet'!$E$11+1,1))</f>
        <v>350.3652766444938</v>
      </c>
      <c r="BJ188" s="60">
        <f t="shared" si="146"/>
        <v>197.04549436738586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-9.6633812063373625E-13</v>
      </c>
      <c r="BZ188" s="14">
        <f>BY188*VLOOKUP('Données projet'!$B$12,Paramètres!$A$1:$I$89,3,0)*VLOOKUP('Données projet'!$B$12,Paramètres!$A$1:$I$89,5,0)</f>
        <v>-9.3464223027694966E-13</v>
      </c>
      <c r="CA188" s="14" t="e">
        <f t="shared" si="170"/>
        <v>#NUM!</v>
      </c>
      <c r="CB188" s="22" t="e">
        <f t="shared" si="171"/>
        <v>#NUM!</v>
      </c>
      <c r="CC188" s="60" t="e">
        <f t="shared" si="119"/>
        <v>#NUM!</v>
      </c>
      <c r="CD188" s="60">
        <f ca="1">AVERAGE(OFFSET($CC$3,0,0,'Données projet'!$E$12+1,1))-AVERAGE(OFFSET($H$3,0,0,'Données projet'!$E$12+1,1))</f>
        <v>330.39429528665841</v>
      </c>
      <c r="CE188" s="60">
        <f t="shared" si="148"/>
        <v>186.45728006007261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-9.6633812063373625E-13</v>
      </c>
      <c r="CU188" s="18">
        <f>CT188*VLOOKUP('Données projet'!$B$13,Paramètres!$A$1:$I$89,3,0)*VLOOKUP('Données projet'!$B$13,Paramètres!$A$1:$I$89,5,0)</f>
        <v>-1.0401663530501537E-12</v>
      </c>
      <c r="CV188" s="14" t="e">
        <f t="shared" si="173"/>
        <v>#NUM!</v>
      </c>
      <c r="CW188" s="22" t="e">
        <f t="shared" si="174"/>
        <v>#NUM!</v>
      </c>
      <c r="CX188" s="60" t="e">
        <f t="shared" si="122"/>
        <v>#NUM!</v>
      </c>
      <c r="CY188" s="60">
        <f ca="1">AVERAGE(OFFSET($CX$3,0,0,'Données projet'!$E$13+1,1))-AVERAGE(OFFSET($H$3,0,0,'Données projet'!$E$13+1,1))</f>
        <v>376.96388721258387</v>
      </c>
      <c r="CZ188" s="60">
        <f t="shared" si="150"/>
        <v>211.14628470344377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1.7053025658242404E-13</v>
      </c>
      <c r="DP188" s="18">
        <f>DO188*VLOOKUP('Données projet'!$B$14,Paramètres!$A$1:$I$89,3,0)*VLOOKUP('Données projet'!$B$14,Paramètres!$A$1:$I$89,5,0)</f>
        <v>1.1439169611549005E-13</v>
      </c>
      <c r="DQ188" s="14">
        <f t="shared" si="176"/>
        <v>1.6918016515029816E-12</v>
      </c>
      <c r="DR188" s="22">
        <f t="shared" si="177"/>
        <v>3.1457867471021712E-12</v>
      </c>
      <c r="DS188" s="60">
        <f t="shared" si="125"/>
        <v>293.33333333333644</v>
      </c>
      <c r="DT188" s="60">
        <f ca="1">AVERAGE(OFFSET($DS$3,0,0,'Données projet'!$E$14+1,1))-AVERAGE(OFFSET($H$3,0,0,'Données projet'!$E$14+1,1))</f>
        <v>212.33913923444732</v>
      </c>
      <c r="DU188" s="60">
        <f t="shared" si="152"/>
        <v>183.51194426094372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0" t="e">
        <f t="shared" si="128"/>
        <v>#N/A</v>
      </c>
      <c r="EO188" s="60" t="e">
        <f ca="1">AVERAGE(OFFSET($EN$3,0,0,'Données projet'!$E$15+1,1))-AVERAGE(OFFSET($H$3,0,0,'Données projet'!$E$15+1,1))</f>
        <v>#N/A</v>
      </c>
      <c r="EP188" s="60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0" t="e">
        <f t="shared" si="131"/>
        <v>#N/A</v>
      </c>
      <c r="FJ188" s="60" t="e">
        <f ca="1">AVERAGE(OFFSET($FI$3,0,0,'Données projet'!$E$16+1,1))-AVERAGE(OFFSET($H$3,0,0,'Données projet'!$E$16+1,1))</f>
        <v>#N/A</v>
      </c>
      <c r="FK188" s="60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0" t="e">
        <f t="shared" si="134"/>
        <v>#N/A</v>
      </c>
      <c r="GE188" s="60" t="e">
        <f ca="1">AVERAGE(OFFSET($GD$3,0,0,'Données projet'!$E$17+1,1))-AVERAGE(OFFSET($H$3,0,0,'Données projet'!$E$17+1,1))</f>
        <v>#N/A</v>
      </c>
      <c r="GF188" s="60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0" t="e">
        <f t="shared" si="137"/>
        <v>#N/A</v>
      </c>
      <c r="GZ188" s="60" t="e">
        <f ca="1">AVERAGE(OFFSET($GY$3,0,0,'Données projet'!$E$18+1,1))-AVERAGE(OFFSET($H$3,0,0,'Données projet'!$E$18+1,1))</f>
        <v>#N/A</v>
      </c>
      <c r="HA188" s="60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5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2">
        <f t="shared" si="140"/>
        <v>27.332359320697009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8">
        <f t="shared" si="110"/>
        <v>517.81389248354799</v>
      </c>
      <c r="I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3.4106051316484809E-13</v>
      </c>
      <c r="O189" s="14">
        <f>N189*VLOOKUP('Données projet'!$B$9,Paramètres!$A$1:$I$89,3,0)*VLOOKUP('Données projet'!$B$9,Paramètres!$A$1:$I$89,5,0)</f>
        <v>1.5961632016114892E-13</v>
      </c>
      <c r="P189" s="14">
        <f t="shared" si="141"/>
        <v>2.2708641912150958E-12</v>
      </c>
      <c r="Q189" s="22">
        <f t="shared" si="162"/>
        <v>4.2330868906469593E-12</v>
      </c>
      <c r="R189" s="60">
        <f t="shared" si="109"/>
        <v>293.33333333333752</v>
      </c>
      <c r="S189" s="60">
        <f ca="1">AVERAGE(OFFSET($R$3,0,0,'Données projet'!$E$9+1,1))-AVERAGE(OFFSET($H$3,0,0,'Données projet'!$E$9+1,1))</f>
        <v>146.40889017442277</v>
      </c>
      <c r="T189" s="60">
        <f t="shared" si="142"/>
        <v>70.859031694091868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-1.1368683772161603E-13</v>
      </c>
      <c r="AJ189" s="14">
        <f>AI189*VLOOKUP('Données projet'!$B$10,Paramètres!$A$1:$I$89,3,0)*VLOOKUP('Données projet'!$B$10,Paramètres!$A$1:$I$89,5,0)</f>
        <v>-1.0286385077051818E-13</v>
      </c>
      <c r="AK189" s="14" t="e">
        <f t="shared" si="164"/>
        <v>#NUM!</v>
      </c>
      <c r="AL189" s="22" t="e">
        <f t="shared" si="165"/>
        <v>#NUM!</v>
      </c>
      <c r="AM189" s="60" t="e">
        <f t="shared" si="113"/>
        <v>#NUM!</v>
      </c>
      <c r="AN189" s="60">
        <f ca="1">AVERAGE(OFFSET($AM$3,0,0,'Données projet'!$E$10+1,1))-AVERAGE(OFFSET($H$3,0,0,'Données projet'!$E$10+1,1))</f>
        <v>404.14319681142746</v>
      </c>
      <c r="AO189" s="60">
        <f t="shared" si="144"/>
        <v>203.5274665601915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-9.6633812063373625E-13</v>
      </c>
      <c r="BE189" s="14">
        <f>BD189*VLOOKUP('Données projet'!$B$11,Paramètres!$A$1:$I$89,3,0)*VLOOKUP('Données projet'!$B$11,Paramètres!$A$1:$I$89,5,0)</f>
        <v>-9.7986685432260874E-13</v>
      </c>
      <c r="BF189" s="14" t="e">
        <f t="shared" si="167"/>
        <v>#NUM!</v>
      </c>
      <c r="BG189" s="22" t="e">
        <f t="shared" si="168"/>
        <v>#NUM!</v>
      </c>
      <c r="BH189" s="60" t="e">
        <f t="shared" si="116"/>
        <v>#NUM!</v>
      </c>
      <c r="BI189" s="60">
        <f ca="1">AVERAGE(OFFSET($BH$3,0,0,'Données projet'!$E$11+1,1))-AVERAGE(OFFSET($H$3,0,0,'Données projet'!$E$11+1,1))</f>
        <v>350.3652766444938</v>
      </c>
      <c r="BJ189" s="60">
        <f t="shared" si="146"/>
        <v>197.04549436738586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-9.6633812063373625E-13</v>
      </c>
      <c r="BZ189" s="14">
        <f>BY189*VLOOKUP('Données projet'!$B$12,Paramètres!$A$1:$I$89,3,0)*VLOOKUP('Données projet'!$B$12,Paramètres!$A$1:$I$89,5,0)</f>
        <v>-9.3464223027694966E-13</v>
      </c>
      <c r="CA189" s="14" t="e">
        <f t="shared" si="170"/>
        <v>#NUM!</v>
      </c>
      <c r="CB189" s="22" t="e">
        <f t="shared" si="171"/>
        <v>#NUM!</v>
      </c>
      <c r="CC189" s="60" t="e">
        <f t="shared" si="119"/>
        <v>#NUM!</v>
      </c>
      <c r="CD189" s="60">
        <f ca="1">AVERAGE(OFFSET($CC$3,0,0,'Données projet'!$E$12+1,1))-AVERAGE(OFFSET($H$3,0,0,'Données projet'!$E$12+1,1))</f>
        <v>330.39429528665841</v>
      </c>
      <c r="CE189" s="60">
        <f t="shared" si="148"/>
        <v>186.45728006007261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-9.6633812063373625E-13</v>
      </c>
      <c r="CU189" s="18">
        <f>CT189*VLOOKUP('Données projet'!$B$13,Paramètres!$A$1:$I$89,3,0)*VLOOKUP('Données projet'!$B$13,Paramètres!$A$1:$I$89,5,0)</f>
        <v>-1.0401663530501537E-12</v>
      </c>
      <c r="CV189" s="14" t="e">
        <f t="shared" si="173"/>
        <v>#NUM!</v>
      </c>
      <c r="CW189" s="22" t="e">
        <f t="shared" si="174"/>
        <v>#NUM!</v>
      </c>
      <c r="CX189" s="60" t="e">
        <f t="shared" si="122"/>
        <v>#NUM!</v>
      </c>
      <c r="CY189" s="60">
        <f ca="1">AVERAGE(OFFSET($CX$3,0,0,'Données projet'!$E$13+1,1))-AVERAGE(OFFSET($H$3,0,0,'Données projet'!$E$13+1,1))</f>
        <v>376.96388721258387</v>
      </c>
      <c r="CZ189" s="60">
        <f t="shared" si="150"/>
        <v>211.14628470344377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1.7053025658242404E-13</v>
      </c>
      <c r="DP189" s="18">
        <f>DO189*VLOOKUP('Données projet'!$B$14,Paramètres!$A$1:$I$89,3,0)*VLOOKUP('Données projet'!$B$14,Paramètres!$A$1:$I$89,5,0)</f>
        <v>1.1439169611549005E-13</v>
      </c>
      <c r="DQ189" s="14">
        <f t="shared" si="176"/>
        <v>1.6918016515029816E-12</v>
      </c>
      <c r="DR189" s="22">
        <f t="shared" si="177"/>
        <v>3.1457867471021712E-12</v>
      </c>
      <c r="DS189" s="60">
        <f t="shared" si="125"/>
        <v>293.33333333333644</v>
      </c>
      <c r="DT189" s="60">
        <f ca="1">AVERAGE(OFFSET($DS$3,0,0,'Données projet'!$E$14+1,1))-AVERAGE(OFFSET($H$3,0,0,'Données projet'!$E$14+1,1))</f>
        <v>212.33913923444732</v>
      </c>
      <c r="DU189" s="60">
        <f t="shared" si="152"/>
        <v>183.51194426094372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0" t="e">
        <f t="shared" si="128"/>
        <v>#N/A</v>
      </c>
      <c r="EO189" s="60" t="e">
        <f ca="1">AVERAGE(OFFSET($EN$3,0,0,'Données projet'!$E$15+1,1))-AVERAGE(OFFSET($H$3,0,0,'Données projet'!$E$15+1,1))</f>
        <v>#N/A</v>
      </c>
      <c r="EP189" s="60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0" t="e">
        <f t="shared" si="131"/>
        <v>#N/A</v>
      </c>
      <c r="FJ189" s="60" t="e">
        <f ca="1">AVERAGE(OFFSET($FI$3,0,0,'Données projet'!$E$16+1,1))-AVERAGE(OFFSET($H$3,0,0,'Données projet'!$E$16+1,1))</f>
        <v>#N/A</v>
      </c>
      <c r="FK189" s="60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0" t="e">
        <f t="shared" si="134"/>
        <v>#N/A</v>
      </c>
      <c r="GE189" s="60" t="e">
        <f ca="1">AVERAGE(OFFSET($GD$3,0,0,'Données projet'!$E$17+1,1))-AVERAGE(OFFSET($H$3,0,0,'Données projet'!$E$17+1,1))</f>
        <v>#N/A</v>
      </c>
      <c r="GF189" s="60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0" t="e">
        <f t="shared" si="137"/>
        <v>#N/A</v>
      </c>
      <c r="GZ189" s="60" t="e">
        <f ca="1">AVERAGE(OFFSET($GY$3,0,0,'Données projet'!$E$18+1,1))-AVERAGE(OFFSET($H$3,0,0,'Données projet'!$E$18+1,1))</f>
        <v>#N/A</v>
      </c>
      <c r="HA189" s="60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5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2">
        <f t="shared" si="140"/>
        <v>27.462162174923463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8">
        <f t="shared" si="110"/>
        <v>518.99091578799244</v>
      </c>
      <c r="I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3.4106051316484809E-13</v>
      </c>
      <c r="O190" s="14">
        <f>N190*VLOOKUP('Données projet'!$B$9,Paramètres!$A$1:$I$89,3,0)*VLOOKUP('Données projet'!$B$9,Paramètres!$A$1:$I$89,5,0)</f>
        <v>1.5961632016114892E-13</v>
      </c>
      <c r="P190" s="14">
        <f t="shared" si="141"/>
        <v>2.2708641912150958E-12</v>
      </c>
      <c r="Q190" s="22">
        <f t="shared" si="162"/>
        <v>4.2330868906469593E-12</v>
      </c>
      <c r="R190" s="60">
        <f t="shared" si="109"/>
        <v>293.33333333333752</v>
      </c>
      <c r="S190" s="60">
        <f ca="1">AVERAGE(OFFSET($R$3,0,0,'Données projet'!$E$9+1,1))-AVERAGE(OFFSET($H$3,0,0,'Données projet'!$E$9+1,1))</f>
        <v>146.40889017442277</v>
      </c>
      <c r="T190" s="60">
        <f t="shared" si="142"/>
        <v>70.859031694091868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-1.1368683772161603E-13</v>
      </c>
      <c r="AJ190" s="14">
        <f>AI190*VLOOKUP('Données projet'!$B$10,Paramètres!$A$1:$I$89,3,0)*VLOOKUP('Données projet'!$B$10,Paramètres!$A$1:$I$89,5,0)</f>
        <v>-1.0286385077051818E-13</v>
      </c>
      <c r="AK190" s="14" t="e">
        <f t="shared" si="164"/>
        <v>#NUM!</v>
      </c>
      <c r="AL190" s="22" t="e">
        <f t="shared" si="165"/>
        <v>#NUM!</v>
      </c>
      <c r="AM190" s="60" t="e">
        <f t="shared" si="113"/>
        <v>#NUM!</v>
      </c>
      <c r="AN190" s="60">
        <f ca="1">AVERAGE(OFFSET($AM$3,0,0,'Données projet'!$E$10+1,1))-AVERAGE(OFFSET($H$3,0,0,'Données projet'!$E$10+1,1))</f>
        <v>404.14319681142746</v>
      </c>
      <c r="AO190" s="60">
        <f t="shared" si="144"/>
        <v>203.5274665601915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-9.6633812063373625E-13</v>
      </c>
      <c r="BE190" s="14">
        <f>BD190*VLOOKUP('Données projet'!$B$11,Paramètres!$A$1:$I$89,3,0)*VLOOKUP('Données projet'!$B$11,Paramètres!$A$1:$I$89,5,0)</f>
        <v>-9.7986685432260874E-13</v>
      </c>
      <c r="BF190" s="14" t="e">
        <f t="shared" si="167"/>
        <v>#NUM!</v>
      </c>
      <c r="BG190" s="22" t="e">
        <f t="shared" si="168"/>
        <v>#NUM!</v>
      </c>
      <c r="BH190" s="60" t="e">
        <f t="shared" si="116"/>
        <v>#NUM!</v>
      </c>
      <c r="BI190" s="60">
        <f ca="1">AVERAGE(OFFSET($BH$3,0,0,'Données projet'!$E$11+1,1))-AVERAGE(OFFSET($H$3,0,0,'Données projet'!$E$11+1,1))</f>
        <v>350.3652766444938</v>
      </c>
      <c r="BJ190" s="60">
        <f t="shared" si="146"/>
        <v>197.04549436738586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-9.6633812063373625E-13</v>
      </c>
      <c r="BZ190" s="14">
        <f>BY190*VLOOKUP('Données projet'!$B$12,Paramètres!$A$1:$I$89,3,0)*VLOOKUP('Données projet'!$B$12,Paramètres!$A$1:$I$89,5,0)</f>
        <v>-9.3464223027694966E-13</v>
      </c>
      <c r="CA190" s="14" t="e">
        <f t="shared" si="170"/>
        <v>#NUM!</v>
      </c>
      <c r="CB190" s="22" t="e">
        <f t="shared" si="171"/>
        <v>#NUM!</v>
      </c>
      <c r="CC190" s="60" t="e">
        <f t="shared" si="119"/>
        <v>#NUM!</v>
      </c>
      <c r="CD190" s="60">
        <f ca="1">AVERAGE(OFFSET($CC$3,0,0,'Données projet'!$E$12+1,1))-AVERAGE(OFFSET($H$3,0,0,'Données projet'!$E$12+1,1))</f>
        <v>330.39429528665841</v>
      </c>
      <c r="CE190" s="60">
        <f t="shared" si="148"/>
        <v>186.45728006007261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-9.6633812063373625E-13</v>
      </c>
      <c r="CU190" s="18">
        <f>CT190*VLOOKUP('Données projet'!$B$13,Paramètres!$A$1:$I$89,3,0)*VLOOKUP('Données projet'!$B$13,Paramètres!$A$1:$I$89,5,0)</f>
        <v>-1.0401663530501537E-12</v>
      </c>
      <c r="CV190" s="14" t="e">
        <f t="shared" si="173"/>
        <v>#NUM!</v>
      </c>
      <c r="CW190" s="22" t="e">
        <f t="shared" si="174"/>
        <v>#NUM!</v>
      </c>
      <c r="CX190" s="60" t="e">
        <f t="shared" si="122"/>
        <v>#NUM!</v>
      </c>
      <c r="CY190" s="60">
        <f ca="1">AVERAGE(OFFSET($CX$3,0,0,'Données projet'!$E$13+1,1))-AVERAGE(OFFSET($H$3,0,0,'Données projet'!$E$13+1,1))</f>
        <v>376.96388721258387</v>
      </c>
      <c r="CZ190" s="60">
        <f t="shared" si="150"/>
        <v>211.14628470344377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1.7053025658242404E-13</v>
      </c>
      <c r="DP190" s="18">
        <f>DO190*VLOOKUP('Données projet'!$B$14,Paramètres!$A$1:$I$89,3,0)*VLOOKUP('Données projet'!$B$14,Paramètres!$A$1:$I$89,5,0)</f>
        <v>1.1439169611549005E-13</v>
      </c>
      <c r="DQ190" s="14">
        <f t="shared" si="176"/>
        <v>1.6918016515029816E-12</v>
      </c>
      <c r="DR190" s="22">
        <f t="shared" si="177"/>
        <v>3.1457867471021712E-12</v>
      </c>
      <c r="DS190" s="60">
        <f t="shared" si="125"/>
        <v>293.33333333333644</v>
      </c>
      <c r="DT190" s="60">
        <f ca="1">AVERAGE(OFFSET($DS$3,0,0,'Données projet'!$E$14+1,1))-AVERAGE(OFFSET($H$3,0,0,'Données projet'!$E$14+1,1))</f>
        <v>212.33913923444732</v>
      </c>
      <c r="DU190" s="60">
        <f t="shared" si="152"/>
        <v>183.51194426094372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0" t="e">
        <f t="shared" si="128"/>
        <v>#N/A</v>
      </c>
      <c r="EO190" s="60" t="e">
        <f ca="1">AVERAGE(OFFSET($EN$3,0,0,'Données projet'!$E$15+1,1))-AVERAGE(OFFSET($H$3,0,0,'Données projet'!$E$15+1,1))</f>
        <v>#N/A</v>
      </c>
      <c r="EP190" s="60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0" t="e">
        <f t="shared" si="131"/>
        <v>#N/A</v>
      </c>
      <c r="FJ190" s="60" t="e">
        <f ca="1">AVERAGE(OFFSET($FI$3,0,0,'Données projet'!$E$16+1,1))-AVERAGE(OFFSET($H$3,0,0,'Données projet'!$E$16+1,1))</f>
        <v>#N/A</v>
      </c>
      <c r="FK190" s="60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0" t="e">
        <f t="shared" si="134"/>
        <v>#N/A</v>
      </c>
      <c r="GE190" s="60" t="e">
        <f ca="1">AVERAGE(OFFSET($GD$3,0,0,'Données projet'!$E$17+1,1))-AVERAGE(OFFSET($H$3,0,0,'Données projet'!$E$17+1,1))</f>
        <v>#N/A</v>
      </c>
      <c r="GF190" s="60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0" t="e">
        <f t="shared" si="137"/>
        <v>#N/A</v>
      </c>
      <c r="GZ190" s="60" t="e">
        <f ca="1">AVERAGE(OFFSET($GY$3,0,0,'Données projet'!$E$18+1,1))-AVERAGE(OFFSET($H$3,0,0,'Données projet'!$E$18+1,1))</f>
        <v>#N/A</v>
      </c>
      <c r="HA190" s="60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5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2">
        <f t="shared" si="140"/>
        <v>27.591884256813145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8">
        <f t="shared" si="110"/>
        <v>520.16779841395021</v>
      </c>
      <c r="I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3.4106051316484809E-13</v>
      </c>
      <c r="O191" s="14">
        <f>N191*VLOOKUP('Données projet'!$B$9,Paramètres!$A$1:$I$89,3,0)*VLOOKUP('Données projet'!$B$9,Paramètres!$A$1:$I$89,5,0)</f>
        <v>1.5961632016114892E-13</v>
      </c>
      <c r="P191" s="14">
        <f t="shared" si="141"/>
        <v>2.2708641912150958E-12</v>
      </c>
      <c r="Q191" s="22">
        <f t="shared" si="162"/>
        <v>4.2330868906469593E-12</v>
      </c>
      <c r="R191" s="60">
        <f t="shared" si="109"/>
        <v>293.33333333333752</v>
      </c>
      <c r="S191" s="60">
        <f ca="1">AVERAGE(OFFSET($R$3,0,0,'Données projet'!$E$9+1,1))-AVERAGE(OFFSET($H$3,0,0,'Données projet'!$E$9+1,1))</f>
        <v>146.40889017442277</v>
      </c>
      <c r="T191" s="60">
        <f t="shared" si="142"/>
        <v>70.859031694091868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-1.1368683772161603E-13</v>
      </c>
      <c r="AJ191" s="14">
        <f>AI191*VLOOKUP('Données projet'!$B$10,Paramètres!$A$1:$I$89,3,0)*VLOOKUP('Données projet'!$B$10,Paramètres!$A$1:$I$89,5,0)</f>
        <v>-1.0286385077051818E-13</v>
      </c>
      <c r="AK191" s="14" t="e">
        <f t="shared" si="164"/>
        <v>#NUM!</v>
      </c>
      <c r="AL191" s="22" t="e">
        <f t="shared" si="165"/>
        <v>#NUM!</v>
      </c>
      <c r="AM191" s="60" t="e">
        <f t="shared" si="113"/>
        <v>#NUM!</v>
      </c>
      <c r="AN191" s="60">
        <f ca="1">AVERAGE(OFFSET($AM$3,0,0,'Données projet'!$E$10+1,1))-AVERAGE(OFFSET($H$3,0,0,'Données projet'!$E$10+1,1))</f>
        <v>404.14319681142746</v>
      </c>
      <c r="AO191" s="60">
        <f t="shared" si="144"/>
        <v>203.5274665601915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-9.6633812063373625E-13</v>
      </c>
      <c r="BE191" s="14">
        <f>BD191*VLOOKUP('Données projet'!$B$11,Paramètres!$A$1:$I$89,3,0)*VLOOKUP('Données projet'!$B$11,Paramètres!$A$1:$I$89,5,0)</f>
        <v>-9.7986685432260874E-13</v>
      </c>
      <c r="BF191" s="14" t="e">
        <f t="shared" si="167"/>
        <v>#NUM!</v>
      </c>
      <c r="BG191" s="22" t="e">
        <f t="shared" si="168"/>
        <v>#NUM!</v>
      </c>
      <c r="BH191" s="60" t="e">
        <f t="shared" si="116"/>
        <v>#NUM!</v>
      </c>
      <c r="BI191" s="60">
        <f ca="1">AVERAGE(OFFSET($BH$3,0,0,'Données projet'!$E$11+1,1))-AVERAGE(OFFSET($H$3,0,0,'Données projet'!$E$11+1,1))</f>
        <v>350.3652766444938</v>
      </c>
      <c r="BJ191" s="60">
        <f t="shared" si="146"/>
        <v>197.04549436738586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-9.6633812063373625E-13</v>
      </c>
      <c r="BZ191" s="14">
        <f>BY191*VLOOKUP('Données projet'!$B$12,Paramètres!$A$1:$I$89,3,0)*VLOOKUP('Données projet'!$B$12,Paramètres!$A$1:$I$89,5,0)</f>
        <v>-9.3464223027694966E-13</v>
      </c>
      <c r="CA191" s="14" t="e">
        <f t="shared" si="170"/>
        <v>#NUM!</v>
      </c>
      <c r="CB191" s="22" t="e">
        <f t="shared" si="171"/>
        <v>#NUM!</v>
      </c>
      <c r="CC191" s="60" t="e">
        <f t="shared" si="119"/>
        <v>#NUM!</v>
      </c>
      <c r="CD191" s="60">
        <f ca="1">AVERAGE(OFFSET($CC$3,0,0,'Données projet'!$E$12+1,1))-AVERAGE(OFFSET($H$3,0,0,'Données projet'!$E$12+1,1))</f>
        <v>330.39429528665841</v>
      </c>
      <c r="CE191" s="60">
        <f t="shared" si="148"/>
        <v>186.45728006007261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-9.6633812063373625E-13</v>
      </c>
      <c r="CU191" s="18">
        <f>CT191*VLOOKUP('Données projet'!$B$13,Paramètres!$A$1:$I$89,3,0)*VLOOKUP('Données projet'!$B$13,Paramètres!$A$1:$I$89,5,0)</f>
        <v>-1.0401663530501537E-12</v>
      </c>
      <c r="CV191" s="14" t="e">
        <f t="shared" si="173"/>
        <v>#NUM!</v>
      </c>
      <c r="CW191" s="22" t="e">
        <f t="shared" si="174"/>
        <v>#NUM!</v>
      </c>
      <c r="CX191" s="60" t="e">
        <f t="shared" si="122"/>
        <v>#NUM!</v>
      </c>
      <c r="CY191" s="60">
        <f ca="1">AVERAGE(OFFSET($CX$3,0,0,'Données projet'!$E$13+1,1))-AVERAGE(OFFSET($H$3,0,0,'Données projet'!$E$13+1,1))</f>
        <v>376.96388721258387</v>
      </c>
      <c r="CZ191" s="60">
        <f t="shared" si="150"/>
        <v>211.14628470344377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1.7053025658242404E-13</v>
      </c>
      <c r="DP191" s="18">
        <f>DO191*VLOOKUP('Données projet'!$B$14,Paramètres!$A$1:$I$89,3,0)*VLOOKUP('Données projet'!$B$14,Paramètres!$A$1:$I$89,5,0)</f>
        <v>1.1439169611549005E-13</v>
      </c>
      <c r="DQ191" s="14">
        <f t="shared" si="176"/>
        <v>1.6918016515029816E-12</v>
      </c>
      <c r="DR191" s="22">
        <f t="shared" si="177"/>
        <v>3.1457867471021712E-12</v>
      </c>
      <c r="DS191" s="60">
        <f t="shared" si="125"/>
        <v>293.33333333333644</v>
      </c>
      <c r="DT191" s="60">
        <f ca="1">AVERAGE(OFFSET($DS$3,0,0,'Données projet'!$E$14+1,1))-AVERAGE(OFFSET($H$3,0,0,'Données projet'!$E$14+1,1))</f>
        <v>212.33913923444732</v>
      </c>
      <c r="DU191" s="60">
        <f t="shared" si="152"/>
        <v>183.51194426094372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0" t="e">
        <f t="shared" si="128"/>
        <v>#N/A</v>
      </c>
      <c r="EO191" s="60" t="e">
        <f ca="1">AVERAGE(OFFSET($EN$3,0,0,'Données projet'!$E$15+1,1))-AVERAGE(OFFSET($H$3,0,0,'Données projet'!$E$15+1,1))</f>
        <v>#N/A</v>
      </c>
      <c r="EP191" s="60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0" t="e">
        <f t="shared" si="131"/>
        <v>#N/A</v>
      </c>
      <c r="FJ191" s="60" t="e">
        <f ca="1">AVERAGE(OFFSET($FI$3,0,0,'Données projet'!$E$16+1,1))-AVERAGE(OFFSET($H$3,0,0,'Données projet'!$E$16+1,1))</f>
        <v>#N/A</v>
      </c>
      <c r="FK191" s="60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0" t="e">
        <f t="shared" si="134"/>
        <v>#N/A</v>
      </c>
      <c r="GE191" s="60" t="e">
        <f ca="1">AVERAGE(OFFSET($GD$3,0,0,'Données projet'!$E$17+1,1))-AVERAGE(OFFSET($H$3,0,0,'Données projet'!$E$17+1,1))</f>
        <v>#N/A</v>
      </c>
      <c r="GF191" s="60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0" t="e">
        <f t="shared" si="137"/>
        <v>#N/A</v>
      </c>
      <c r="GZ191" s="60" t="e">
        <f ca="1">AVERAGE(OFFSET($GY$3,0,0,'Données projet'!$E$18+1,1))-AVERAGE(OFFSET($H$3,0,0,'Données projet'!$E$18+1,1))</f>
        <v>#N/A</v>
      </c>
      <c r="HA191" s="60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5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2">
        <f t="shared" si="140"/>
        <v>27.721526045872363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8">
        <f t="shared" si="110"/>
        <v>521.34454119656175</v>
      </c>
      <c r="I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3.4106051316484809E-13</v>
      </c>
      <c r="O192" s="14">
        <f>N192*VLOOKUP('Données projet'!$B$9,Paramètres!$A$1:$I$89,3,0)*VLOOKUP('Données projet'!$B$9,Paramètres!$A$1:$I$89,5,0)</f>
        <v>1.5961632016114892E-13</v>
      </c>
      <c r="P192" s="14">
        <f t="shared" si="141"/>
        <v>2.2708641912150958E-12</v>
      </c>
      <c r="Q192" s="22">
        <f t="shared" si="162"/>
        <v>4.2330868906469593E-12</v>
      </c>
      <c r="R192" s="60">
        <f t="shared" si="109"/>
        <v>293.33333333333752</v>
      </c>
      <c r="S192" s="60">
        <f ca="1">AVERAGE(OFFSET($R$3,0,0,'Données projet'!$E$9+1,1))-AVERAGE(OFFSET($H$3,0,0,'Données projet'!$E$9+1,1))</f>
        <v>146.40889017442277</v>
      </c>
      <c r="T192" s="60">
        <f t="shared" si="142"/>
        <v>70.859031694091868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-1.1368683772161603E-13</v>
      </c>
      <c r="AJ192" s="14">
        <f>AI192*VLOOKUP('Données projet'!$B$10,Paramètres!$A$1:$I$89,3,0)*VLOOKUP('Données projet'!$B$10,Paramètres!$A$1:$I$89,5,0)</f>
        <v>-1.0286385077051818E-13</v>
      </c>
      <c r="AK192" s="14" t="e">
        <f t="shared" si="164"/>
        <v>#NUM!</v>
      </c>
      <c r="AL192" s="22" t="e">
        <f t="shared" si="165"/>
        <v>#NUM!</v>
      </c>
      <c r="AM192" s="60" t="e">
        <f t="shared" si="113"/>
        <v>#NUM!</v>
      </c>
      <c r="AN192" s="60">
        <f ca="1">AVERAGE(OFFSET($AM$3,0,0,'Données projet'!$E$10+1,1))-AVERAGE(OFFSET($H$3,0,0,'Données projet'!$E$10+1,1))</f>
        <v>404.14319681142746</v>
      </c>
      <c r="AO192" s="60">
        <f t="shared" si="144"/>
        <v>203.5274665601915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-9.6633812063373625E-13</v>
      </c>
      <c r="BE192" s="14">
        <f>BD192*VLOOKUP('Données projet'!$B$11,Paramètres!$A$1:$I$89,3,0)*VLOOKUP('Données projet'!$B$11,Paramètres!$A$1:$I$89,5,0)</f>
        <v>-9.7986685432260874E-13</v>
      </c>
      <c r="BF192" s="14" t="e">
        <f t="shared" si="167"/>
        <v>#NUM!</v>
      </c>
      <c r="BG192" s="22" t="e">
        <f t="shared" si="168"/>
        <v>#NUM!</v>
      </c>
      <c r="BH192" s="60" t="e">
        <f t="shared" si="116"/>
        <v>#NUM!</v>
      </c>
      <c r="BI192" s="60">
        <f ca="1">AVERAGE(OFFSET($BH$3,0,0,'Données projet'!$E$11+1,1))-AVERAGE(OFFSET($H$3,0,0,'Données projet'!$E$11+1,1))</f>
        <v>350.3652766444938</v>
      </c>
      <c r="BJ192" s="60">
        <f t="shared" si="146"/>
        <v>197.04549436738586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-9.6633812063373625E-13</v>
      </c>
      <c r="BZ192" s="14">
        <f>BY192*VLOOKUP('Données projet'!$B$12,Paramètres!$A$1:$I$89,3,0)*VLOOKUP('Données projet'!$B$12,Paramètres!$A$1:$I$89,5,0)</f>
        <v>-9.3464223027694966E-13</v>
      </c>
      <c r="CA192" s="14" t="e">
        <f t="shared" si="170"/>
        <v>#NUM!</v>
      </c>
      <c r="CB192" s="22" t="e">
        <f t="shared" si="171"/>
        <v>#NUM!</v>
      </c>
      <c r="CC192" s="60" t="e">
        <f t="shared" si="119"/>
        <v>#NUM!</v>
      </c>
      <c r="CD192" s="60">
        <f ca="1">AVERAGE(OFFSET($CC$3,0,0,'Données projet'!$E$12+1,1))-AVERAGE(OFFSET($H$3,0,0,'Données projet'!$E$12+1,1))</f>
        <v>330.39429528665841</v>
      </c>
      <c r="CE192" s="60">
        <f t="shared" si="148"/>
        <v>186.45728006007261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-9.6633812063373625E-13</v>
      </c>
      <c r="CU192" s="18">
        <f>CT192*VLOOKUP('Données projet'!$B$13,Paramètres!$A$1:$I$89,3,0)*VLOOKUP('Données projet'!$B$13,Paramètres!$A$1:$I$89,5,0)</f>
        <v>-1.0401663530501537E-12</v>
      </c>
      <c r="CV192" s="14" t="e">
        <f t="shared" si="173"/>
        <v>#NUM!</v>
      </c>
      <c r="CW192" s="22" t="e">
        <f t="shared" si="174"/>
        <v>#NUM!</v>
      </c>
      <c r="CX192" s="60" t="e">
        <f t="shared" si="122"/>
        <v>#NUM!</v>
      </c>
      <c r="CY192" s="60">
        <f ca="1">AVERAGE(OFFSET($CX$3,0,0,'Données projet'!$E$13+1,1))-AVERAGE(OFFSET($H$3,0,0,'Données projet'!$E$13+1,1))</f>
        <v>376.96388721258387</v>
      </c>
      <c r="CZ192" s="60">
        <f t="shared" si="150"/>
        <v>211.14628470344377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1.7053025658242404E-13</v>
      </c>
      <c r="DP192" s="18">
        <f>DO192*VLOOKUP('Données projet'!$B$14,Paramètres!$A$1:$I$89,3,0)*VLOOKUP('Données projet'!$B$14,Paramètres!$A$1:$I$89,5,0)</f>
        <v>1.1439169611549005E-13</v>
      </c>
      <c r="DQ192" s="14">
        <f t="shared" si="176"/>
        <v>1.6918016515029816E-12</v>
      </c>
      <c r="DR192" s="22">
        <f t="shared" si="177"/>
        <v>3.1457867471021712E-12</v>
      </c>
      <c r="DS192" s="60">
        <f t="shared" si="125"/>
        <v>293.33333333333644</v>
      </c>
      <c r="DT192" s="60">
        <f ca="1">AVERAGE(OFFSET($DS$3,0,0,'Données projet'!$E$14+1,1))-AVERAGE(OFFSET($H$3,0,0,'Données projet'!$E$14+1,1))</f>
        <v>212.33913923444732</v>
      </c>
      <c r="DU192" s="60">
        <f t="shared" si="152"/>
        <v>183.51194426094372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0" t="e">
        <f t="shared" si="128"/>
        <v>#N/A</v>
      </c>
      <c r="EO192" s="60" t="e">
        <f ca="1">AVERAGE(OFFSET($EN$3,0,0,'Données projet'!$E$15+1,1))-AVERAGE(OFFSET($H$3,0,0,'Données projet'!$E$15+1,1))</f>
        <v>#N/A</v>
      </c>
      <c r="EP192" s="60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0" t="e">
        <f t="shared" si="131"/>
        <v>#N/A</v>
      </c>
      <c r="FJ192" s="60" t="e">
        <f ca="1">AVERAGE(OFFSET($FI$3,0,0,'Données projet'!$E$16+1,1))-AVERAGE(OFFSET($H$3,0,0,'Données projet'!$E$16+1,1))</f>
        <v>#N/A</v>
      </c>
      <c r="FK192" s="60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0" t="e">
        <f t="shared" si="134"/>
        <v>#N/A</v>
      </c>
      <c r="GE192" s="60" t="e">
        <f ca="1">AVERAGE(OFFSET($GD$3,0,0,'Données projet'!$E$17+1,1))-AVERAGE(OFFSET($H$3,0,0,'Données projet'!$E$17+1,1))</f>
        <v>#N/A</v>
      </c>
      <c r="GF192" s="60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0" t="e">
        <f t="shared" si="137"/>
        <v>#N/A</v>
      </c>
      <c r="GZ192" s="60" t="e">
        <f ca="1">AVERAGE(OFFSET($GY$3,0,0,'Données projet'!$E$18+1,1))-AVERAGE(OFFSET($H$3,0,0,'Données projet'!$E$18+1,1))</f>
        <v>#N/A</v>
      </c>
      <c r="HA192" s="60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5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2">
        <f t="shared" si="140"/>
        <v>27.851088016239451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8">
        <f t="shared" si="110"/>
        <v>522.52114496161767</v>
      </c>
      <c r="I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3.4106051316484809E-13</v>
      </c>
      <c r="O193" s="14">
        <f>N193*VLOOKUP('Données projet'!$B$9,Paramètres!$A$1:$I$89,3,0)*VLOOKUP('Données projet'!$B$9,Paramètres!$A$1:$I$89,5,0)</f>
        <v>1.5961632016114892E-13</v>
      </c>
      <c r="P193" s="14">
        <f t="shared" si="141"/>
        <v>2.2708641912150958E-12</v>
      </c>
      <c r="Q193" s="22">
        <f t="shared" si="162"/>
        <v>4.2330868906469593E-12</v>
      </c>
      <c r="R193" s="60">
        <f t="shared" si="109"/>
        <v>293.33333333333752</v>
      </c>
      <c r="S193" s="60">
        <f ca="1">AVERAGE(OFFSET($R$3,0,0,'Données projet'!$E$9+1,1))-AVERAGE(OFFSET($H$3,0,0,'Données projet'!$E$9+1,1))</f>
        <v>146.40889017442277</v>
      </c>
      <c r="T193" s="60">
        <f t="shared" si="142"/>
        <v>70.859031694091868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-1.1368683772161603E-13</v>
      </c>
      <c r="AJ193" s="14">
        <f>AI193*VLOOKUP('Données projet'!$B$10,Paramètres!$A$1:$I$89,3,0)*VLOOKUP('Données projet'!$B$10,Paramètres!$A$1:$I$89,5,0)</f>
        <v>-1.0286385077051818E-13</v>
      </c>
      <c r="AK193" s="14" t="e">
        <f t="shared" si="164"/>
        <v>#NUM!</v>
      </c>
      <c r="AL193" s="22" t="e">
        <f t="shared" si="165"/>
        <v>#NUM!</v>
      </c>
      <c r="AM193" s="60" t="e">
        <f t="shared" si="113"/>
        <v>#NUM!</v>
      </c>
      <c r="AN193" s="60">
        <f ca="1">AVERAGE(OFFSET($AM$3,0,0,'Données projet'!$E$10+1,1))-AVERAGE(OFFSET($H$3,0,0,'Données projet'!$E$10+1,1))</f>
        <v>404.14319681142746</v>
      </c>
      <c r="AO193" s="60">
        <f t="shared" si="144"/>
        <v>203.5274665601915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-9.6633812063373625E-13</v>
      </c>
      <c r="BE193" s="14">
        <f>BD193*VLOOKUP('Données projet'!$B$11,Paramètres!$A$1:$I$89,3,0)*VLOOKUP('Données projet'!$B$11,Paramètres!$A$1:$I$89,5,0)</f>
        <v>-9.7986685432260874E-13</v>
      </c>
      <c r="BF193" s="14" t="e">
        <f t="shared" si="167"/>
        <v>#NUM!</v>
      </c>
      <c r="BG193" s="22" t="e">
        <f t="shared" si="168"/>
        <v>#NUM!</v>
      </c>
      <c r="BH193" s="60" t="e">
        <f t="shared" si="116"/>
        <v>#NUM!</v>
      </c>
      <c r="BI193" s="60">
        <f ca="1">AVERAGE(OFFSET($BH$3,0,0,'Données projet'!$E$11+1,1))-AVERAGE(OFFSET($H$3,0,0,'Données projet'!$E$11+1,1))</f>
        <v>350.3652766444938</v>
      </c>
      <c r="BJ193" s="60">
        <f t="shared" si="146"/>
        <v>197.04549436738586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-9.6633812063373625E-13</v>
      </c>
      <c r="BZ193" s="14">
        <f>BY193*VLOOKUP('Données projet'!$B$12,Paramètres!$A$1:$I$89,3,0)*VLOOKUP('Données projet'!$B$12,Paramètres!$A$1:$I$89,5,0)</f>
        <v>-9.3464223027694966E-13</v>
      </c>
      <c r="CA193" s="14" t="e">
        <f t="shared" si="170"/>
        <v>#NUM!</v>
      </c>
      <c r="CB193" s="22" t="e">
        <f t="shared" si="171"/>
        <v>#NUM!</v>
      </c>
      <c r="CC193" s="60" t="e">
        <f t="shared" si="119"/>
        <v>#NUM!</v>
      </c>
      <c r="CD193" s="60">
        <f ca="1">AVERAGE(OFFSET($CC$3,0,0,'Données projet'!$E$12+1,1))-AVERAGE(OFFSET($H$3,0,0,'Données projet'!$E$12+1,1))</f>
        <v>330.39429528665841</v>
      </c>
      <c r="CE193" s="60">
        <f t="shared" si="148"/>
        <v>186.45728006007261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-9.6633812063373625E-13</v>
      </c>
      <c r="CU193" s="18">
        <f>CT193*VLOOKUP('Données projet'!$B$13,Paramètres!$A$1:$I$89,3,0)*VLOOKUP('Données projet'!$B$13,Paramètres!$A$1:$I$89,5,0)</f>
        <v>-1.0401663530501537E-12</v>
      </c>
      <c r="CV193" s="14" t="e">
        <f t="shared" si="173"/>
        <v>#NUM!</v>
      </c>
      <c r="CW193" s="22" t="e">
        <f t="shared" si="174"/>
        <v>#NUM!</v>
      </c>
      <c r="CX193" s="60" t="e">
        <f t="shared" si="122"/>
        <v>#NUM!</v>
      </c>
      <c r="CY193" s="60">
        <f ca="1">AVERAGE(OFFSET($CX$3,0,0,'Données projet'!$E$13+1,1))-AVERAGE(OFFSET($H$3,0,0,'Données projet'!$E$13+1,1))</f>
        <v>376.96388721258387</v>
      </c>
      <c r="CZ193" s="60">
        <f t="shared" si="150"/>
        <v>211.14628470344377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1.7053025658242404E-13</v>
      </c>
      <c r="DP193" s="18">
        <f>DO193*VLOOKUP('Données projet'!$B$14,Paramètres!$A$1:$I$89,3,0)*VLOOKUP('Données projet'!$B$14,Paramètres!$A$1:$I$89,5,0)</f>
        <v>1.1439169611549005E-13</v>
      </c>
      <c r="DQ193" s="14">
        <f t="shared" si="176"/>
        <v>1.6918016515029816E-12</v>
      </c>
      <c r="DR193" s="22">
        <f t="shared" si="177"/>
        <v>3.1457867471021712E-12</v>
      </c>
      <c r="DS193" s="60">
        <f t="shared" si="125"/>
        <v>293.33333333333644</v>
      </c>
      <c r="DT193" s="60">
        <f ca="1">AVERAGE(OFFSET($DS$3,0,0,'Données projet'!$E$14+1,1))-AVERAGE(OFFSET($H$3,0,0,'Données projet'!$E$14+1,1))</f>
        <v>212.33913923444732</v>
      </c>
      <c r="DU193" s="60">
        <f t="shared" si="152"/>
        <v>183.51194426094372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0" t="e">
        <f t="shared" si="128"/>
        <v>#N/A</v>
      </c>
      <c r="EO193" s="60" t="e">
        <f ca="1">AVERAGE(OFFSET($EN$3,0,0,'Données projet'!$E$15+1,1))-AVERAGE(OFFSET($H$3,0,0,'Données projet'!$E$15+1,1))</f>
        <v>#N/A</v>
      </c>
      <c r="EP193" s="60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0" t="e">
        <f t="shared" si="131"/>
        <v>#N/A</v>
      </c>
      <c r="FJ193" s="60" t="e">
        <f ca="1">AVERAGE(OFFSET($FI$3,0,0,'Données projet'!$E$16+1,1))-AVERAGE(OFFSET($H$3,0,0,'Données projet'!$E$16+1,1))</f>
        <v>#N/A</v>
      </c>
      <c r="FK193" s="60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0" t="e">
        <f t="shared" si="134"/>
        <v>#N/A</v>
      </c>
      <c r="GE193" s="60" t="e">
        <f ca="1">AVERAGE(OFFSET($GD$3,0,0,'Données projet'!$E$17+1,1))-AVERAGE(OFFSET($H$3,0,0,'Données projet'!$E$17+1,1))</f>
        <v>#N/A</v>
      </c>
      <c r="GF193" s="60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0" t="e">
        <f t="shared" si="137"/>
        <v>#N/A</v>
      </c>
      <c r="GZ193" s="60" t="e">
        <f ca="1">AVERAGE(OFFSET($GY$3,0,0,'Données projet'!$E$18+1,1))-AVERAGE(OFFSET($H$3,0,0,'Données projet'!$E$18+1,1))</f>
        <v>#N/A</v>
      </c>
      <c r="HA193" s="60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5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2">
        <f t="shared" si="140"/>
        <v>27.98057063677302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8">
        <f t="shared" si="110"/>
        <v>523.69761052571369</v>
      </c>
      <c r="I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3.4106051316484809E-13</v>
      </c>
      <c r="O194" s="14">
        <f>N194*VLOOKUP('Données projet'!$B$9,Paramètres!$A$1:$I$89,3,0)*VLOOKUP('Données projet'!$B$9,Paramètres!$A$1:$I$89,5,0)</f>
        <v>1.5961632016114892E-13</v>
      </c>
      <c r="P194" s="14">
        <f t="shared" si="141"/>
        <v>2.2708641912150958E-12</v>
      </c>
      <c r="Q194" s="22">
        <f t="shared" si="162"/>
        <v>4.2330868906469593E-12</v>
      </c>
      <c r="R194" s="60">
        <f t="shared" si="109"/>
        <v>293.33333333333752</v>
      </c>
      <c r="S194" s="60">
        <f ca="1">AVERAGE(OFFSET($R$3,0,0,'Données projet'!$E$9+1,1))-AVERAGE(OFFSET($H$3,0,0,'Données projet'!$E$9+1,1))</f>
        <v>146.40889017442277</v>
      </c>
      <c r="T194" s="60">
        <f t="shared" si="142"/>
        <v>70.859031694091868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-1.1368683772161603E-13</v>
      </c>
      <c r="AJ194" s="14">
        <f>AI194*VLOOKUP('Données projet'!$B$10,Paramètres!$A$1:$I$89,3,0)*VLOOKUP('Données projet'!$B$10,Paramètres!$A$1:$I$89,5,0)</f>
        <v>-1.0286385077051818E-13</v>
      </c>
      <c r="AK194" s="14" t="e">
        <f t="shared" si="164"/>
        <v>#NUM!</v>
      </c>
      <c r="AL194" s="22" t="e">
        <f t="shared" si="165"/>
        <v>#NUM!</v>
      </c>
      <c r="AM194" s="60" t="e">
        <f t="shared" si="113"/>
        <v>#NUM!</v>
      </c>
      <c r="AN194" s="60">
        <f ca="1">AVERAGE(OFFSET($AM$3,0,0,'Données projet'!$E$10+1,1))-AVERAGE(OFFSET($H$3,0,0,'Données projet'!$E$10+1,1))</f>
        <v>404.14319681142746</v>
      </c>
      <c r="AO194" s="60">
        <f t="shared" si="144"/>
        <v>203.5274665601915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-9.6633812063373625E-13</v>
      </c>
      <c r="BE194" s="14">
        <f>BD194*VLOOKUP('Données projet'!$B$11,Paramètres!$A$1:$I$89,3,0)*VLOOKUP('Données projet'!$B$11,Paramètres!$A$1:$I$89,5,0)</f>
        <v>-9.7986685432260874E-13</v>
      </c>
      <c r="BF194" s="14" t="e">
        <f t="shared" si="167"/>
        <v>#NUM!</v>
      </c>
      <c r="BG194" s="22" t="e">
        <f t="shared" si="168"/>
        <v>#NUM!</v>
      </c>
      <c r="BH194" s="60" t="e">
        <f t="shared" si="116"/>
        <v>#NUM!</v>
      </c>
      <c r="BI194" s="60">
        <f ca="1">AVERAGE(OFFSET($BH$3,0,0,'Données projet'!$E$11+1,1))-AVERAGE(OFFSET($H$3,0,0,'Données projet'!$E$11+1,1))</f>
        <v>350.3652766444938</v>
      </c>
      <c r="BJ194" s="60">
        <f t="shared" si="146"/>
        <v>197.04549436738586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-9.6633812063373625E-13</v>
      </c>
      <c r="BZ194" s="14">
        <f>BY194*VLOOKUP('Données projet'!$B$12,Paramètres!$A$1:$I$89,3,0)*VLOOKUP('Données projet'!$B$12,Paramètres!$A$1:$I$89,5,0)</f>
        <v>-9.3464223027694966E-13</v>
      </c>
      <c r="CA194" s="14" t="e">
        <f t="shared" si="170"/>
        <v>#NUM!</v>
      </c>
      <c r="CB194" s="22" t="e">
        <f t="shared" si="171"/>
        <v>#NUM!</v>
      </c>
      <c r="CC194" s="60" t="e">
        <f t="shared" si="119"/>
        <v>#NUM!</v>
      </c>
      <c r="CD194" s="60">
        <f ca="1">AVERAGE(OFFSET($CC$3,0,0,'Données projet'!$E$12+1,1))-AVERAGE(OFFSET($H$3,0,0,'Données projet'!$E$12+1,1))</f>
        <v>330.39429528665841</v>
      </c>
      <c r="CE194" s="60">
        <f t="shared" si="148"/>
        <v>186.45728006007261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-9.6633812063373625E-13</v>
      </c>
      <c r="CU194" s="18">
        <f>CT194*VLOOKUP('Données projet'!$B$13,Paramètres!$A$1:$I$89,3,0)*VLOOKUP('Données projet'!$B$13,Paramètres!$A$1:$I$89,5,0)</f>
        <v>-1.0401663530501537E-12</v>
      </c>
      <c r="CV194" s="14" t="e">
        <f t="shared" si="173"/>
        <v>#NUM!</v>
      </c>
      <c r="CW194" s="22" t="e">
        <f t="shared" si="174"/>
        <v>#NUM!</v>
      </c>
      <c r="CX194" s="60" t="e">
        <f t="shared" si="122"/>
        <v>#NUM!</v>
      </c>
      <c r="CY194" s="60">
        <f ca="1">AVERAGE(OFFSET($CX$3,0,0,'Données projet'!$E$13+1,1))-AVERAGE(OFFSET($H$3,0,0,'Données projet'!$E$13+1,1))</f>
        <v>376.96388721258387</v>
      </c>
      <c r="CZ194" s="60">
        <f t="shared" si="150"/>
        <v>211.14628470344377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1.7053025658242404E-13</v>
      </c>
      <c r="DP194" s="18">
        <f>DO194*VLOOKUP('Données projet'!$B$14,Paramètres!$A$1:$I$89,3,0)*VLOOKUP('Données projet'!$B$14,Paramètres!$A$1:$I$89,5,0)</f>
        <v>1.1439169611549005E-13</v>
      </c>
      <c r="DQ194" s="14">
        <f t="shared" si="176"/>
        <v>1.6918016515029816E-12</v>
      </c>
      <c r="DR194" s="22">
        <f t="shared" si="177"/>
        <v>3.1457867471021712E-12</v>
      </c>
      <c r="DS194" s="60">
        <f t="shared" si="125"/>
        <v>293.33333333333644</v>
      </c>
      <c r="DT194" s="60">
        <f ca="1">AVERAGE(OFFSET($DS$3,0,0,'Données projet'!$E$14+1,1))-AVERAGE(OFFSET($H$3,0,0,'Données projet'!$E$14+1,1))</f>
        <v>212.33913923444732</v>
      </c>
      <c r="DU194" s="60">
        <f t="shared" si="152"/>
        <v>183.51194426094372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0" t="e">
        <f t="shared" si="128"/>
        <v>#N/A</v>
      </c>
      <c r="EO194" s="60" t="e">
        <f ca="1">AVERAGE(OFFSET($EN$3,0,0,'Données projet'!$E$15+1,1))-AVERAGE(OFFSET($H$3,0,0,'Données projet'!$E$15+1,1))</f>
        <v>#N/A</v>
      </c>
      <c r="EP194" s="60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0" t="e">
        <f t="shared" si="131"/>
        <v>#N/A</v>
      </c>
      <c r="FJ194" s="60" t="e">
        <f ca="1">AVERAGE(OFFSET($FI$3,0,0,'Données projet'!$E$16+1,1))-AVERAGE(OFFSET($H$3,0,0,'Données projet'!$E$16+1,1))</f>
        <v>#N/A</v>
      </c>
      <c r="FK194" s="60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0" t="e">
        <f t="shared" si="134"/>
        <v>#N/A</v>
      </c>
      <c r="GE194" s="60" t="e">
        <f ca="1">AVERAGE(OFFSET($GD$3,0,0,'Données projet'!$E$17+1,1))-AVERAGE(OFFSET($H$3,0,0,'Données projet'!$E$17+1,1))</f>
        <v>#N/A</v>
      </c>
      <c r="GF194" s="60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0" t="e">
        <f t="shared" si="137"/>
        <v>#N/A</v>
      </c>
      <c r="GZ194" s="60" t="e">
        <f ca="1">AVERAGE(OFFSET($GY$3,0,0,'Données projet'!$E$18+1,1))-AVERAGE(OFFSET($H$3,0,0,'Données projet'!$E$18+1,1))</f>
        <v>#N/A</v>
      </c>
      <c r="HA194" s="60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5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2">
        <f t="shared" si="140"/>
        <v>28.10997437113782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8">
        <f t="shared" si="110"/>
        <v>524.87393869639902</v>
      </c>
      <c r="I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3.4106051316484809E-13</v>
      </c>
      <c r="O195" s="14">
        <f>N195*VLOOKUP('Données projet'!$B$9,Paramètres!$A$1:$I$89,3,0)*VLOOKUP('Données projet'!$B$9,Paramètres!$A$1:$I$89,5,0)</f>
        <v>1.5961632016114892E-13</v>
      </c>
      <c r="P195" s="14">
        <f t="shared" si="141"/>
        <v>2.2708641912150958E-12</v>
      </c>
      <c r="Q195" s="22">
        <f t="shared" si="162"/>
        <v>4.2330868906469593E-12</v>
      </c>
      <c r="R195" s="60">
        <f t="shared" ref="R195:R203" si="191">Q195+(I195+J195)*44/12</f>
        <v>293.33333333333752</v>
      </c>
      <c r="S195" s="60">
        <f ca="1">AVERAGE(OFFSET($R$3,0,0,'Données projet'!$E$9+1,1))-AVERAGE(OFFSET($H$3,0,0,'Données projet'!$E$9+1,1))</f>
        <v>146.40889017442277</v>
      </c>
      <c r="T195" s="60">
        <f t="shared" si="142"/>
        <v>70.859031694091868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-1.1368683772161603E-13</v>
      </c>
      <c r="AJ195" s="14">
        <f>AI195*VLOOKUP('Données projet'!$B$10,Paramètres!$A$1:$I$89,3,0)*VLOOKUP('Données projet'!$B$10,Paramètres!$A$1:$I$89,5,0)</f>
        <v>-1.0286385077051818E-13</v>
      </c>
      <c r="AK195" s="14" t="e">
        <f t="shared" si="164"/>
        <v>#NUM!</v>
      </c>
      <c r="AL195" s="22" t="e">
        <f t="shared" si="165"/>
        <v>#NUM!</v>
      </c>
      <c r="AM195" s="60" t="e">
        <f t="shared" si="113"/>
        <v>#NUM!</v>
      </c>
      <c r="AN195" s="60">
        <f ca="1">AVERAGE(OFFSET($AM$3,0,0,'Données projet'!$E$10+1,1))-AVERAGE(OFFSET($H$3,0,0,'Données projet'!$E$10+1,1))</f>
        <v>404.14319681142746</v>
      </c>
      <c r="AO195" s="60">
        <f t="shared" si="144"/>
        <v>203.5274665601915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-9.6633812063373625E-13</v>
      </c>
      <c r="BE195" s="14">
        <f>BD195*VLOOKUP('Données projet'!$B$11,Paramètres!$A$1:$I$89,3,0)*VLOOKUP('Données projet'!$B$11,Paramètres!$A$1:$I$89,5,0)</f>
        <v>-9.7986685432260874E-13</v>
      </c>
      <c r="BF195" s="14" t="e">
        <f t="shared" si="167"/>
        <v>#NUM!</v>
      </c>
      <c r="BG195" s="22" t="e">
        <f t="shared" si="168"/>
        <v>#NUM!</v>
      </c>
      <c r="BH195" s="60" t="e">
        <f t="shared" si="116"/>
        <v>#NUM!</v>
      </c>
      <c r="BI195" s="60">
        <f ca="1">AVERAGE(OFFSET($BH$3,0,0,'Données projet'!$E$11+1,1))-AVERAGE(OFFSET($H$3,0,0,'Données projet'!$E$11+1,1))</f>
        <v>350.3652766444938</v>
      </c>
      <c r="BJ195" s="60">
        <f t="shared" si="146"/>
        <v>197.04549436738586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-9.6633812063373625E-13</v>
      </c>
      <c r="BZ195" s="14">
        <f>BY195*VLOOKUP('Données projet'!$B$12,Paramètres!$A$1:$I$89,3,0)*VLOOKUP('Données projet'!$B$12,Paramètres!$A$1:$I$89,5,0)</f>
        <v>-9.3464223027694966E-13</v>
      </c>
      <c r="CA195" s="14" t="e">
        <f t="shared" si="170"/>
        <v>#NUM!</v>
      </c>
      <c r="CB195" s="22" t="e">
        <f t="shared" si="171"/>
        <v>#NUM!</v>
      </c>
      <c r="CC195" s="60" t="e">
        <f t="shared" si="119"/>
        <v>#NUM!</v>
      </c>
      <c r="CD195" s="60">
        <f ca="1">AVERAGE(OFFSET($CC$3,0,0,'Données projet'!$E$12+1,1))-AVERAGE(OFFSET($H$3,0,0,'Données projet'!$E$12+1,1))</f>
        <v>330.39429528665841</v>
      </c>
      <c r="CE195" s="60">
        <f t="shared" si="148"/>
        <v>186.45728006007261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-9.6633812063373625E-13</v>
      </c>
      <c r="CU195" s="18">
        <f>CT195*VLOOKUP('Données projet'!$B$13,Paramètres!$A$1:$I$89,3,0)*VLOOKUP('Données projet'!$B$13,Paramètres!$A$1:$I$89,5,0)</f>
        <v>-1.0401663530501537E-12</v>
      </c>
      <c r="CV195" s="14" t="e">
        <f t="shared" si="173"/>
        <v>#NUM!</v>
      </c>
      <c r="CW195" s="22" t="e">
        <f t="shared" si="174"/>
        <v>#NUM!</v>
      </c>
      <c r="CX195" s="60" t="e">
        <f t="shared" si="122"/>
        <v>#NUM!</v>
      </c>
      <c r="CY195" s="60">
        <f ca="1">AVERAGE(OFFSET($CX$3,0,0,'Données projet'!$E$13+1,1))-AVERAGE(OFFSET($H$3,0,0,'Données projet'!$E$13+1,1))</f>
        <v>376.96388721258387</v>
      </c>
      <c r="CZ195" s="60">
        <f t="shared" si="150"/>
        <v>211.14628470344377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1.7053025658242404E-13</v>
      </c>
      <c r="DP195" s="18">
        <f>DO195*VLOOKUP('Données projet'!$B$14,Paramètres!$A$1:$I$89,3,0)*VLOOKUP('Données projet'!$B$14,Paramètres!$A$1:$I$89,5,0)</f>
        <v>1.1439169611549005E-13</v>
      </c>
      <c r="DQ195" s="14">
        <f t="shared" si="176"/>
        <v>1.6918016515029816E-12</v>
      </c>
      <c r="DR195" s="22">
        <f t="shared" si="177"/>
        <v>3.1457867471021712E-12</v>
      </c>
      <c r="DS195" s="60">
        <f t="shared" si="125"/>
        <v>293.33333333333644</v>
      </c>
      <c r="DT195" s="60">
        <f ca="1">AVERAGE(OFFSET($DS$3,0,0,'Données projet'!$E$14+1,1))-AVERAGE(OFFSET($H$3,0,0,'Données projet'!$E$14+1,1))</f>
        <v>212.33913923444732</v>
      </c>
      <c r="DU195" s="60">
        <f t="shared" si="152"/>
        <v>183.51194426094372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0" t="e">
        <f t="shared" si="128"/>
        <v>#N/A</v>
      </c>
      <c r="EO195" s="60" t="e">
        <f ca="1">AVERAGE(OFFSET($EN$3,0,0,'Données projet'!$E$15+1,1))-AVERAGE(OFFSET($H$3,0,0,'Données projet'!$E$15+1,1))</f>
        <v>#N/A</v>
      </c>
      <c r="EP195" s="60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0" t="e">
        <f t="shared" si="131"/>
        <v>#N/A</v>
      </c>
      <c r="FJ195" s="60" t="e">
        <f ca="1">AVERAGE(OFFSET($FI$3,0,0,'Données projet'!$E$16+1,1))-AVERAGE(OFFSET($H$3,0,0,'Données projet'!$E$16+1,1))</f>
        <v>#N/A</v>
      </c>
      <c r="FK195" s="60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0" t="e">
        <f t="shared" si="134"/>
        <v>#N/A</v>
      </c>
      <c r="GE195" s="60" t="e">
        <f ca="1">AVERAGE(OFFSET($GD$3,0,0,'Données projet'!$E$17+1,1))-AVERAGE(OFFSET($H$3,0,0,'Données projet'!$E$17+1,1))</f>
        <v>#N/A</v>
      </c>
      <c r="GF195" s="60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0" t="e">
        <f t="shared" si="137"/>
        <v>#N/A</v>
      </c>
      <c r="GZ195" s="60" t="e">
        <f ca="1">AVERAGE(OFFSET($GY$3,0,0,'Données projet'!$E$18+1,1))-AVERAGE(OFFSET($H$3,0,0,'Données projet'!$E$18+1,1))</f>
        <v>#N/A</v>
      </c>
      <c r="HA195" s="60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5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2">
        <f t="shared" si="140"/>
        <v>28.239299677889207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8">
        <f t="shared" ref="H196:H203" si="192">(B196+E196+F196)*44/12+(C196+D196)*0.475*44/12</f>
        <v>526.0501302723244</v>
      </c>
      <c r="I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3.4106051316484809E-13</v>
      </c>
      <c r="O196" s="14">
        <f>N196*VLOOKUP('Données projet'!$B$9,Paramètres!$A$1:$I$89,3,0)*VLOOKUP('Données projet'!$B$9,Paramètres!$A$1:$I$89,5,0)</f>
        <v>1.5961632016114892E-13</v>
      </c>
      <c r="P196" s="14">
        <f t="shared" si="141"/>
        <v>2.2708641912150958E-12</v>
      </c>
      <c r="Q196" s="22">
        <f t="shared" si="162"/>
        <v>4.2330868906469593E-12</v>
      </c>
      <c r="R196" s="60">
        <f t="shared" si="191"/>
        <v>293.33333333333752</v>
      </c>
      <c r="S196" s="60">
        <f ca="1">AVERAGE(OFFSET($R$3,0,0,'Données projet'!$E$9+1,1))-AVERAGE(OFFSET($H$3,0,0,'Données projet'!$E$9+1,1))</f>
        <v>146.40889017442277</v>
      </c>
      <c r="T196" s="60">
        <f t="shared" si="142"/>
        <v>70.859031694091868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-1.1368683772161603E-13</v>
      </c>
      <c r="AJ196" s="14">
        <f>AI196*VLOOKUP('Données projet'!$B$10,Paramètres!$A$1:$I$89,3,0)*VLOOKUP('Données projet'!$B$10,Paramètres!$A$1:$I$89,5,0)</f>
        <v>-1.0286385077051818E-13</v>
      </c>
      <c r="AK196" s="14" t="e">
        <f t="shared" si="164"/>
        <v>#NUM!</v>
      </c>
      <c r="AL196" s="22" t="e">
        <f t="shared" si="165"/>
        <v>#NUM!</v>
      </c>
      <c r="AM196" s="60" t="e">
        <f t="shared" ref="AM196:AM203" si="193">AL196+(AD196+AE196)*44/12</f>
        <v>#NUM!</v>
      </c>
      <c r="AN196" s="60">
        <f ca="1">AVERAGE(OFFSET($AM$3,0,0,'Données projet'!$E$10+1,1))-AVERAGE(OFFSET($H$3,0,0,'Données projet'!$E$10+1,1))</f>
        <v>404.14319681142746</v>
      </c>
      <c r="AO196" s="60">
        <f t="shared" si="144"/>
        <v>203.5274665601915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-9.6633812063373625E-13</v>
      </c>
      <c r="BE196" s="14">
        <f>BD196*VLOOKUP('Données projet'!$B$11,Paramètres!$A$1:$I$89,3,0)*VLOOKUP('Données projet'!$B$11,Paramètres!$A$1:$I$89,5,0)</f>
        <v>-9.7986685432260874E-13</v>
      </c>
      <c r="BF196" s="14" t="e">
        <f t="shared" si="167"/>
        <v>#NUM!</v>
      </c>
      <c r="BG196" s="22" t="e">
        <f t="shared" si="168"/>
        <v>#NUM!</v>
      </c>
      <c r="BH196" s="60" t="e">
        <f t="shared" ref="BH196:BH203" si="194">BG196+(AY196+AZ196)*44/12</f>
        <v>#NUM!</v>
      </c>
      <c r="BI196" s="60">
        <f ca="1">AVERAGE(OFFSET($BH$3,0,0,'Données projet'!$E$11+1,1))-AVERAGE(OFFSET($H$3,0,0,'Données projet'!$E$11+1,1))</f>
        <v>350.3652766444938</v>
      </c>
      <c r="BJ196" s="60">
        <f t="shared" si="146"/>
        <v>197.04549436738586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-9.6633812063373625E-13</v>
      </c>
      <c r="BZ196" s="14">
        <f>BY196*VLOOKUP('Données projet'!$B$12,Paramètres!$A$1:$I$89,3,0)*VLOOKUP('Données projet'!$B$12,Paramètres!$A$1:$I$89,5,0)</f>
        <v>-9.3464223027694966E-13</v>
      </c>
      <c r="CA196" s="14" t="e">
        <f t="shared" si="170"/>
        <v>#NUM!</v>
      </c>
      <c r="CB196" s="22" t="e">
        <f t="shared" si="171"/>
        <v>#NUM!</v>
      </c>
      <c r="CC196" s="60" t="e">
        <f t="shared" ref="CC196:CC203" si="195">CB196+(BT196+BU196)*44/12</f>
        <v>#NUM!</v>
      </c>
      <c r="CD196" s="60">
        <f ca="1">AVERAGE(OFFSET($CC$3,0,0,'Données projet'!$E$12+1,1))-AVERAGE(OFFSET($H$3,0,0,'Données projet'!$E$12+1,1))</f>
        <v>330.39429528665841</v>
      </c>
      <c r="CE196" s="60">
        <f t="shared" si="148"/>
        <v>186.45728006007261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-9.6633812063373625E-13</v>
      </c>
      <c r="CU196" s="18">
        <f>CT196*VLOOKUP('Données projet'!$B$13,Paramètres!$A$1:$I$89,3,0)*VLOOKUP('Données projet'!$B$13,Paramètres!$A$1:$I$89,5,0)</f>
        <v>-1.0401663530501537E-12</v>
      </c>
      <c r="CV196" s="14" t="e">
        <f t="shared" si="173"/>
        <v>#NUM!</v>
      </c>
      <c r="CW196" s="22" t="e">
        <f t="shared" si="174"/>
        <v>#NUM!</v>
      </c>
      <c r="CX196" s="60" t="e">
        <f t="shared" ref="CX196:CX203" si="196">CW196+(CO196+CP196)*44/12</f>
        <v>#NUM!</v>
      </c>
      <c r="CY196" s="60">
        <f ca="1">AVERAGE(OFFSET($CX$3,0,0,'Données projet'!$E$13+1,1))-AVERAGE(OFFSET($H$3,0,0,'Données projet'!$E$13+1,1))</f>
        <v>376.96388721258387</v>
      </c>
      <c r="CZ196" s="60">
        <f t="shared" si="150"/>
        <v>211.14628470344377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1.7053025658242404E-13</v>
      </c>
      <c r="DP196" s="18">
        <f>DO196*VLOOKUP('Données projet'!$B$14,Paramètres!$A$1:$I$89,3,0)*VLOOKUP('Données projet'!$B$14,Paramètres!$A$1:$I$89,5,0)</f>
        <v>1.1439169611549005E-13</v>
      </c>
      <c r="DQ196" s="14">
        <f t="shared" si="176"/>
        <v>1.6918016515029816E-12</v>
      </c>
      <c r="DR196" s="22">
        <f t="shared" si="177"/>
        <v>3.1457867471021712E-12</v>
      </c>
      <c r="DS196" s="60">
        <f t="shared" ref="DS196:DS203" si="197">DR196+(DJ196+DK196)*44/12</f>
        <v>293.33333333333644</v>
      </c>
      <c r="DT196" s="60">
        <f ca="1">AVERAGE(OFFSET($DS$3,0,0,'Données projet'!$E$14+1,1))-AVERAGE(OFFSET($H$3,0,0,'Données projet'!$E$14+1,1))</f>
        <v>212.33913923444732</v>
      </c>
      <c r="DU196" s="60">
        <f t="shared" si="152"/>
        <v>183.51194426094372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0" t="e">
        <f t="shared" ref="EN196:EN203" si="198">EM196+(EE196+EF196)*44/12</f>
        <v>#N/A</v>
      </c>
      <c r="EO196" s="60" t="e">
        <f ca="1">AVERAGE(OFFSET($EN$3,0,0,'Données projet'!$E$15+1,1))-AVERAGE(OFFSET($H$3,0,0,'Données projet'!$E$15+1,1))</f>
        <v>#N/A</v>
      </c>
      <c r="EP196" s="60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0" t="e">
        <f t="shared" ref="FI196:FI203" si="199">FH196+(EZ196+FA196)*44/12</f>
        <v>#N/A</v>
      </c>
      <c r="FJ196" s="60" t="e">
        <f ca="1">AVERAGE(OFFSET($FI$3,0,0,'Données projet'!$E$16+1,1))-AVERAGE(OFFSET($H$3,0,0,'Données projet'!$E$16+1,1))</f>
        <v>#N/A</v>
      </c>
      <c r="FK196" s="60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0" t="e">
        <f t="shared" ref="GD196:GD203" si="200">GC196+(FU196+FV196)*44/12</f>
        <v>#N/A</v>
      </c>
      <c r="GE196" s="60" t="e">
        <f ca="1">AVERAGE(OFFSET($GD$3,0,0,'Données projet'!$E$17+1,1))-AVERAGE(OFFSET($H$3,0,0,'Données projet'!$E$17+1,1))</f>
        <v>#N/A</v>
      </c>
      <c r="GF196" s="60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0" t="e">
        <f t="shared" ref="GY196:GY203" si="201">GX196+(GP196+GQ196)*44/12</f>
        <v>#N/A</v>
      </c>
      <c r="GZ196" s="60" t="e">
        <f ca="1">AVERAGE(OFFSET($GY$3,0,0,'Données projet'!$E$18+1,1))-AVERAGE(OFFSET($H$3,0,0,'Données projet'!$E$18+1,1))</f>
        <v>#N/A</v>
      </c>
      <c r="HA196" s="60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5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2">
        <f t="shared" ref="D197:D203" si="202">IFERROR(EXP(-1.0587+0.8836*LN(C197)+0.284),0)</f>
        <v>28.368547010555559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8">
        <f t="shared" si="192"/>
        <v>527.22618604338504</v>
      </c>
      <c r="I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3.4106051316484809E-13</v>
      </c>
      <c r="O197" s="14">
        <f>N197*VLOOKUP('Données projet'!$B$9,Paramètres!$A$1:$I$89,3,0)*VLOOKUP('Données projet'!$B$9,Paramètres!$A$1:$I$89,5,0)</f>
        <v>1.5961632016114892E-13</v>
      </c>
      <c r="P197" s="14">
        <f t="shared" ref="P197:P203" si="203">EXP(-1.0587+0.8836*LN(O197)+0.284)</f>
        <v>2.2708641912150958E-12</v>
      </c>
      <c r="Q197" s="22">
        <f t="shared" si="162"/>
        <v>4.2330868906469593E-12</v>
      </c>
      <c r="R197" s="60">
        <f t="shared" si="191"/>
        <v>293.33333333333752</v>
      </c>
      <c r="S197" s="60">
        <f ca="1">AVERAGE(OFFSET($R$3,0,0,'Données projet'!$E$9+1,1))-AVERAGE(OFFSET($H$3,0,0,'Données projet'!$E$9+1,1))</f>
        <v>146.40889017442277</v>
      </c>
      <c r="T197" s="60">
        <f t="shared" ref="T197:T203" si="204">$T$3</f>
        <v>70.859031694091868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-1.1368683772161603E-13</v>
      </c>
      <c r="AJ197" s="14">
        <f>AI197*VLOOKUP('Données projet'!$B$10,Paramètres!$A$1:$I$89,3,0)*VLOOKUP('Données projet'!$B$10,Paramètres!$A$1:$I$89,5,0)</f>
        <v>-1.0286385077051818E-13</v>
      </c>
      <c r="AK197" s="14" t="e">
        <f t="shared" si="164"/>
        <v>#NUM!</v>
      </c>
      <c r="AL197" s="22" t="e">
        <f t="shared" si="165"/>
        <v>#NUM!</v>
      </c>
      <c r="AM197" s="60" t="e">
        <f t="shared" si="193"/>
        <v>#NUM!</v>
      </c>
      <c r="AN197" s="60">
        <f ca="1">AVERAGE(OFFSET($AM$3,0,0,'Données projet'!$E$10+1,1))-AVERAGE(OFFSET($H$3,0,0,'Données projet'!$E$10+1,1))</f>
        <v>404.14319681142746</v>
      </c>
      <c r="AO197" s="60">
        <f t="shared" ref="AO197:AO203" si="205">$AO$3</f>
        <v>203.5274665601915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-9.6633812063373625E-13</v>
      </c>
      <c r="BE197" s="14">
        <f>BD197*VLOOKUP('Données projet'!$B$11,Paramètres!$A$1:$I$89,3,0)*VLOOKUP('Données projet'!$B$11,Paramètres!$A$1:$I$89,5,0)</f>
        <v>-9.7986685432260874E-13</v>
      </c>
      <c r="BF197" s="14" t="e">
        <f t="shared" si="167"/>
        <v>#NUM!</v>
      </c>
      <c r="BG197" s="22" t="e">
        <f t="shared" si="168"/>
        <v>#NUM!</v>
      </c>
      <c r="BH197" s="60" t="e">
        <f t="shared" si="194"/>
        <v>#NUM!</v>
      </c>
      <c r="BI197" s="60">
        <f ca="1">AVERAGE(OFFSET($BH$3,0,0,'Données projet'!$E$11+1,1))-AVERAGE(OFFSET($H$3,0,0,'Données projet'!$E$11+1,1))</f>
        <v>350.3652766444938</v>
      </c>
      <c r="BJ197" s="60">
        <f t="shared" ref="BJ197:BJ203" si="206">$BJ$3</f>
        <v>197.04549436738586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-9.6633812063373625E-13</v>
      </c>
      <c r="BZ197" s="14">
        <f>BY197*VLOOKUP('Données projet'!$B$12,Paramètres!$A$1:$I$89,3,0)*VLOOKUP('Données projet'!$B$12,Paramètres!$A$1:$I$89,5,0)</f>
        <v>-9.3464223027694966E-13</v>
      </c>
      <c r="CA197" s="14" t="e">
        <f t="shared" si="170"/>
        <v>#NUM!</v>
      </c>
      <c r="CB197" s="22" t="e">
        <f t="shared" si="171"/>
        <v>#NUM!</v>
      </c>
      <c r="CC197" s="60" t="e">
        <f t="shared" si="195"/>
        <v>#NUM!</v>
      </c>
      <c r="CD197" s="60">
        <f ca="1">AVERAGE(OFFSET($CC$3,0,0,'Données projet'!$E$12+1,1))-AVERAGE(OFFSET($H$3,0,0,'Données projet'!$E$12+1,1))</f>
        <v>330.39429528665841</v>
      </c>
      <c r="CE197" s="60">
        <f t="shared" ref="CE197:CE203" si="207">$CE$3</f>
        <v>186.45728006007261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-9.6633812063373625E-13</v>
      </c>
      <c r="CU197" s="18">
        <f>CT197*VLOOKUP('Données projet'!$B$13,Paramètres!$A$1:$I$89,3,0)*VLOOKUP('Données projet'!$B$13,Paramètres!$A$1:$I$89,5,0)</f>
        <v>-1.0401663530501537E-12</v>
      </c>
      <c r="CV197" s="14" t="e">
        <f t="shared" si="173"/>
        <v>#NUM!</v>
      </c>
      <c r="CW197" s="22" t="e">
        <f t="shared" si="174"/>
        <v>#NUM!</v>
      </c>
      <c r="CX197" s="60" t="e">
        <f t="shared" si="196"/>
        <v>#NUM!</v>
      </c>
      <c r="CY197" s="60">
        <f ca="1">AVERAGE(OFFSET($CX$3,0,0,'Données projet'!$E$13+1,1))-AVERAGE(OFFSET($H$3,0,0,'Données projet'!$E$13+1,1))</f>
        <v>376.96388721258387</v>
      </c>
      <c r="CZ197" s="60">
        <f t="shared" ref="CZ197:CZ203" si="208">$CZ$3</f>
        <v>211.14628470344377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1.7053025658242404E-13</v>
      </c>
      <c r="DP197" s="18">
        <f>DO197*VLOOKUP('Données projet'!$B$14,Paramètres!$A$1:$I$89,3,0)*VLOOKUP('Données projet'!$B$14,Paramètres!$A$1:$I$89,5,0)</f>
        <v>1.1439169611549005E-13</v>
      </c>
      <c r="DQ197" s="14">
        <f t="shared" si="176"/>
        <v>1.6918016515029816E-12</v>
      </c>
      <c r="DR197" s="22">
        <f t="shared" si="177"/>
        <v>3.1457867471021712E-12</v>
      </c>
      <c r="DS197" s="60">
        <f t="shared" si="197"/>
        <v>293.33333333333644</v>
      </c>
      <c r="DT197" s="60">
        <f ca="1">AVERAGE(OFFSET($DS$3,0,0,'Données projet'!$E$14+1,1))-AVERAGE(OFFSET($H$3,0,0,'Données projet'!$E$14+1,1))</f>
        <v>212.33913923444732</v>
      </c>
      <c r="DU197" s="60">
        <f t="shared" ref="DU197:DU203" si="209">$DU$3</f>
        <v>183.51194426094372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0" t="e">
        <f t="shared" si="198"/>
        <v>#N/A</v>
      </c>
      <c r="EO197" s="60" t="e">
        <f ca="1">AVERAGE(OFFSET($EN$3,0,0,'Données projet'!$E$15+1,1))-AVERAGE(OFFSET($H$3,0,0,'Données projet'!$E$15+1,1))</f>
        <v>#N/A</v>
      </c>
      <c r="EP197" s="60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0" t="e">
        <f t="shared" si="199"/>
        <v>#N/A</v>
      </c>
      <c r="FJ197" s="60" t="e">
        <f ca="1">AVERAGE(OFFSET($FI$3,0,0,'Données projet'!$E$16+1,1))-AVERAGE(OFFSET($H$3,0,0,'Données projet'!$E$16+1,1))</f>
        <v>#N/A</v>
      </c>
      <c r="FK197" s="60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0" t="e">
        <f t="shared" si="200"/>
        <v>#N/A</v>
      </c>
      <c r="GE197" s="60" t="e">
        <f ca="1">AVERAGE(OFFSET($GD$3,0,0,'Données projet'!$E$17+1,1))-AVERAGE(OFFSET($H$3,0,0,'Données projet'!$E$17+1,1))</f>
        <v>#N/A</v>
      </c>
      <c r="GF197" s="60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0" t="e">
        <f t="shared" si="201"/>
        <v>#N/A</v>
      </c>
      <c r="GZ197" s="60" t="e">
        <f ca="1">AVERAGE(OFFSET($GY$3,0,0,'Données projet'!$E$18+1,1))-AVERAGE(OFFSET($H$3,0,0,'Données projet'!$E$18+1,1))</f>
        <v>#N/A</v>
      </c>
      <c r="HA197" s="60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5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2">
        <f t="shared" si="202"/>
        <v>28.497716817719009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8">
        <f t="shared" si="192"/>
        <v>528.40210679086135</v>
      </c>
      <c r="I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3.4106051316484809E-13</v>
      </c>
      <c r="O198" s="14">
        <f>N198*VLOOKUP('Données projet'!$B$9,Paramètres!$A$1:$I$89,3,0)*VLOOKUP('Données projet'!$B$9,Paramètres!$A$1:$I$89,5,0)</f>
        <v>1.5961632016114892E-13</v>
      </c>
      <c r="P198" s="14">
        <f t="shared" si="203"/>
        <v>2.2708641912150958E-12</v>
      </c>
      <c r="Q198" s="22">
        <f t="shared" si="162"/>
        <v>4.2330868906469593E-12</v>
      </c>
      <c r="R198" s="60">
        <f t="shared" si="191"/>
        <v>293.33333333333752</v>
      </c>
      <c r="S198" s="60">
        <f ca="1">AVERAGE(OFFSET($R$3,0,0,'Données projet'!$E$9+1,1))-AVERAGE(OFFSET($H$3,0,0,'Données projet'!$E$9+1,1))</f>
        <v>146.40889017442277</v>
      </c>
      <c r="T198" s="60">
        <f t="shared" si="204"/>
        <v>70.859031694091868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-1.1368683772161603E-13</v>
      </c>
      <c r="AJ198" s="14">
        <f>AI198*VLOOKUP('Données projet'!$B$10,Paramètres!$A$1:$I$89,3,0)*VLOOKUP('Données projet'!$B$10,Paramètres!$A$1:$I$89,5,0)</f>
        <v>-1.0286385077051818E-13</v>
      </c>
      <c r="AK198" s="14" t="e">
        <f t="shared" si="164"/>
        <v>#NUM!</v>
      </c>
      <c r="AL198" s="22" t="e">
        <f t="shared" si="165"/>
        <v>#NUM!</v>
      </c>
      <c r="AM198" s="60" t="e">
        <f t="shared" si="193"/>
        <v>#NUM!</v>
      </c>
      <c r="AN198" s="60">
        <f ca="1">AVERAGE(OFFSET($AM$3,0,0,'Données projet'!$E$10+1,1))-AVERAGE(OFFSET($H$3,0,0,'Données projet'!$E$10+1,1))</f>
        <v>404.14319681142746</v>
      </c>
      <c r="AO198" s="60">
        <f t="shared" si="205"/>
        <v>203.5274665601915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-9.6633812063373625E-13</v>
      </c>
      <c r="BE198" s="14">
        <f>BD198*VLOOKUP('Données projet'!$B$11,Paramètres!$A$1:$I$89,3,0)*VLOOKUP('Données projet'!$B$11,Paramètres!$A$1:$I$89,5,0)</f>
        <v>-9.7986685432260874E-13</v>
      </c>
      <c r="BF198" s="14" t="e">
        <f t="shared" si="167"/>
        <v>#NUM!</v>
      </c>
      <c r="BG198" s="22" t="e">
        <f t="shared" si="168"/>
        <v>#NUM!</v>
      </c>
      <c r="BH198" s="60" t="e">
        <f t="shared" si="194"/>
        <v>#NUM!</v>
      </c>
      <c r="BI198" s="60">
        <f ca="1">AVERAGE(OFFSET($BH$3,0,0,'Données projet'!$E$11+1,1))-AVERAGE(OFFSET($H$3,0,0,'Données projet'!$E$11+1,1))</f>
        <v>350.3652766444938</v>
      </c>
      <c r="BJ198" s="60">
        <f t="shared" si="206"/>
        <v>197.04549436738586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-9.6633812063373625E-13</v>
      </c>
      <c r="BZ198" s="14">
        <f>BY198*VLOOKUP('Données projet'!$B$12,Paramètres!$A$1:$I$89,3,0)*VLOOKUP('Données projet'!$B$12,Paramètres!$A$1:$I$89,5,0)</f>
        <v>-9.3464223027694966E-13</v>
      </c>
      <c r="CA198" s="14" t="e">
        <f t="shared" si="170"/>
        <v>#NUM!</v>
      </c>
      <c r="CB198" s="22" t="e">
        <f t="shared" si="171"/>
        <v>#NUM!</v>
      </c>
      <c r="CC198" s="60" t="e">
        <f t="shared" si="195"/>
        <v>#NUM!</v>
      </c>
      <c r="CD198" s="60">
        <f ca="1">AVERAGE(OFFSET($CC$3,0,0,'Données projet'!$E$12+1,1))-AVERAGE(OFFSET($H$3,0,0,'Données projet'!$E$12+1,1))</f>
        <v>330.39429528665841</v>
      </c>
      <c r="CE198" s="60">
        <f t="shared" si="207"/>
        <v>186.45728006007261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-9.6633812063373625E-13</v>
      </c>
      <c r="CU198" s="18">
        <f>CT198*VLOOKUP('Données projet'!$B$13,Paramètres!$A$1:$I$89,3,0)*VLOOKUP('Données projet'!$B$13,Paramètres!$A$1:$I$89,5,0)</f>
        <v>-1.0401663530501537E-12</v>
      </c>
      <c r="CV198" s="14" t="e">
        <f t="shared" si="173"/>
        <v>#NUM!</v>
      </c>
      <c r="CW198" s="22" t="e">
        <f t="shared" si="174"/>
        <v>#NUM!</v>
      </c>
      <c r="CX198" s="60" t="e">
        <f t="shared" si="196"/>
        <v>#NUM!</v>
      </c>
      <c r="CY198" s="60">
        <f ca="1">AVERAGE(OFFSET($CX$3,0,0,'Données projet'!$E$13+1,1))-AVERAGE(OFFSET($H$3,0,0,'Données projet'!$E$13+1,1))</f>
        <v>376.96388721258387</v>
      </c>
      <c r="CZ198" s="60">
        <f t="shared" si="208"/>
        <v>211.14628470344377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1.7053025658242404E-13</v>
      </c>
      <c r="DP198" s="18">
        <f>DO198*VLOOKUP('Données projet'!$B$14,Paramètres!$A$1:$I$89,3,0)*VLOOKUP('Données projet'!$B$14,Paramètres!$A$1:$I$89,5,0)</f>
        <v>1.1439169611549005E-13</v>
      </c>
      <c r="DQ198" s="14">
        <f t="shared" si="176"/>
        <v>1.6918016515029816E-12</v>
      </c>
      <c r="DR198" s="22">
        <f t="shared" si="177"/>
        <v>3.1457867471021712E-12</v>
      </c>
      <c r="DS198" s="60">
        <f t="shared" si="197"/>
        <v>293.33333333333644</v>
      </c>
      <c r="DT198" s="60">
        <f ca="1">AVERAGE(OFFSET($DS$3,0,0,'Données projet'!$E$14+1,1))-AVERAGE(OFFSET($H$3,0,0,'Données projet'!$E$14+1,1))</f>
        <v>212.33913923444732</v>
      </c>
      <c r="DU198" s="60">
        <f t="shared" si="209"/>
        <v>183.51194426094372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0" t="e">
        <f t="shared" si="198"/>
        <v>#N/A</v>
      </c>
      <c r="EO198" s="60" t="e">
        <f ca="1">AVERAGE(OFFSET($EN$3,0,0,'Données projet'!$E$15+1,1))-AVERAGE(OFFSET($H$3,0,0,'Données projet'!$E$15+1,1))</f>
        <v>#N/A</v>
      </c>
      <c r="EP198" s="60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0" t="e">
        <f t="shared" si="199"/>
        <v>#N/A</v>
      </c>
      <c r="FJ198" s="60" t="e">
        <f ca="1">AVERAGE(OFFSET($FI$3,0,0,'Données projet'!$E$16+1,1))-AVERAGE(OFFSET($H$3,0,0,'Données projet'!$E$16+1,1))</f>
        <v>#N/A</v>
      </c>
      <c r="FK198" s="60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0" t="e">
        <f t="shared" si="200"/>
        <v>#N/A</v>
      </c>
      <c r="GE198" s="60" t="e">
        <f ca="1">AVERAGE(OFFSET($GD$3,0,0,'Données projet'!$E$17+1,1))-AVERAGE(OFFSET($H$3,0,0,'Données projet'!$E$17+1,1))</f>
        <v>#N/A</v>
      </c>
      <c r="GF198" s="60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0" t="e">
        <f t="shared" si="201"/>
        <v>#N/A</v>
      </c>
      <c r="GZ198" s="60" t="e">
        <f ca="1">AVERAGE(OFFSET($GY$3,0,0,'Données projet'!$E$18+1,1))-AVERAGE(OFFSET($H$3,0,0,'Données projet'!$E$18+1,1))</f>
        <v>#N/A</v>
      </c>
      <c r="HA198" s="60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5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2">
        <f t="shared" si="202"/>
        <v>28.626809543094431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8">
        <f t="shared" si="192"/>
        <v>529.57789328755689</v>
      </c>
      <c r="I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3.4106051316484809E-13</v>
      </c>
      <c r="O199" s="14">
        <f>N199*VLOOKUP('Données projet'!$B$9,Paramètres!$A$1:$I$89,3,0)*VLOOKUP('Données projet'!$B$9,Paramètres!$A$1:$I$89,5,0)</f>
        <v>1.5961632016114892E-13</v>
      </c>
      <c r="P199" s="14">
        <f t="shared" si="203"/>
        <v>2.2708641912150958E-12</v>
      </c>
      <c r="Q199" s="22">
        <f t="shared" si="162"/>
        <v>4.2330868906469593E-12</v>
      </c>
      <c r="R199" s="60">
        <f t="shared" si="191"/>
        <v>293.33333333333752</v>
      </c>
      <c r="S199" s="60">
        <f ca="1">AVERAGE(OFFSET($R$3,0,0,'Données projet'!$E$9+1,1))-AVERAGE(OFFSET($H$3,0,0,'Données projet'!$E$9+1,1))</f>
        <v>146.40889017442277</v>
      </c>
      <c r="T199" s="60">
        <f t="shared" si="204"/>
        <v>70.859031694091868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-1.1368683772161603E-13</v>
      </c>
      <c r="AJ199" s="14">
        <f>AI199*VLOOKUP('Données projet'!$B$10,Paramètres!$A$1:$I$89,3,0)*VLOOKUP('Données projet'!$B$10,Paramètres!$A$1:$I$89,5,0)</f>
        <v>-1.0286385077051818E-13</v>
      </c>
      <c r="AK199" s="14" t="e">
        <f t="shared" si="164"/>
        <v>#NUM!</v>
      </c>
      <c r="AL199" s="22" t="e">
        <f t="shared" si="165"/>
        <v>#NUM!</v>
      </c>
      <c r="AM199" s="60" t="e">
        <f t="shared" si="193"/>
        <v>#NUM!</v>
      </c>
      <c r="AN199" s="60">
        <f ca="1">AVERAGE(OFFSET($AM$3,0,0,'Données projet'!$E$10+1,1))-AVERAGE(OFFSET($H$3,0,0,'Données projet'!$E$10+1,1))</f>
        <v>404.14319681142746</v>
      </c>
      <c r="AO199" s="60">
        <f t="shared" si="205"/>
        <v>203.5274665601915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-9.6633812063373625E-13</v>
      </c>
      <c r="BE199" s="14">
        <f>BD199*VLOOKUP('Données projet'!$B$11,Paramètres!$A$1:$I$89,3,0)*VLOOKUP('Données projet'!$B$11,Paramètres!$A$1:$I$89,5,0)</f>
        <v>-9.7986685432260874E-13</v>
      </c>
      <c r="BF199" s="14" t="e">
        <f t="shared" si="167"/>
        <v>#NUM!</v>
      </c>
      <c r="BG199" s="22" t="e">
        <f t="shared" si="168"/>
        <v>#NUM!</v>
      </c>
      <c r="BH199" s="60" t="e">
        <f t="shared" si="194"/>
        <v>#NUM!</v>
      </c>
      <c r="BI199" s="60">
        <f ca="1">AVERAGE(OFFSET($BH$3,0,0,'Données projet'!$E$11+1,1))-AVERAGE(OFFSET($H$3,0,0,'Données projet'!$E$11+1,1))</f>
        <v>350.3652766444938</v>
      </c>
      <c r="BJ199" s="60">
        <f t="shared" si="206"/>
        <v>197.04549436738586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-9.6633812063373625E-13</v>
      </c>
      <c r="BZ199" s="14">
        <f>BY199*VLOOKUP('Données projet'!$B$12,Paramètres!$A$1:$I$89,3,0)*VLOOKUP('Données projet'!$B$12,Paramètres!$A$1:$I$89,5,0)</f>
        <v>-9.3464223027694966E-13</v>
      </c>
      <c r="CA199" s="14" t="e">
        <f t="shared" si="170"/>
        <v>#NUM!</v>
      </c>
      <c r="CB199" s="22" t="e">
        <f t="shared" si="171"/>
        <v>#NUM!</v>
      </c>
      <c r="CC199" s="60" t="e">
        <f t="shared" si="195"/>
        <v>#NUM!</v>
      </c>
      <c r="CD199" s="60">
        <f ca="1">AVERAGE(OFFSET($CC$3,0,0,'Données projet'!$E$12+1,1))-AVERAGE(OFFSET($H$3,0,0,'Données projet'!$E$12+1,1))</f>
        <v>330.39429528665841</v>
      </c>
      <c r="CE199" s="60">
        <f t="shared" si="207"/>
        <v>186.45728006007261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-9.6633812063373625E-13</v>
      </c>
      <c r="CU199" s="18">
        <f>CT199*VLOOKUP('Données projet'!$B$13,Paramètres!$A$1:$I$89,3,0)*VLOOKUP('Données projet'!$B$13,Paramètres!$A$1:$I$89,5,0)</f>
        <v>-1.0401663530501537E-12</v>
      </c>
      <c r="CV199" s="14" t="e">
        <f t="shared" si="173"/>
        <v>#NUM!</v>
      </c>
      <c r="CW199" s="22" t="e">
        <f t="shared" si="174"/>
        <v>#NUM!</v>
      </c>
      <c r="CX199" s="60" t="e">
        <f t="shared" si="196"/>
        <v>#NUM!</v>
      </c>
      <c r="CY199" s="60">
        <f ca="1">AVERAGE(OFFSET($CX$3,0,0,'Données projet'!$E$13+1,1))-AVERAGE(OFFSET($H$3,0,0,'Données projet'!$E$13+1,1))</f>
        <v>376.96388721258387</v>
      </c>
      <c r="CZ199" s="60">
        <f t="shared" si="208"/>
        <v>211.14628470344377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1.7053025658242404E-13</v>
      </c>
      <c r="DP199" s="18">
        <f>DO199*VLOOKUP('Données projet'!$B$14,Paramètres!$A$1:$I$89,3,0)*VLOOKUP('Données projet'!$B$14,Paramètres!$A$1:$I$89,5,0)</f>
        <v>1.1439169611549005E-13</v>
      </c>
      <c r="DQ199" s="14">
        <f t="shared" si="176"/>
        <v>1.6918016515029816E-12</v>
      </c>
      <c r="DR199" s="22">
        <f t="shared" si="177"/>
        <v>3.1457867471021712E-12</v>
      </c>
      <c r="DS199" s="60">
        <f t="shared" si="197"/>
        <v>293.33333333333644</v>
      </c>
      <c r="DT199" s="60">
        <f ca="1">AVERAGE(OFFSET($DS$3,0,0,'Données projet'!$E$14+1,1))-AVERAGE(OFFSET($H$3,0,0,'Données projet'!$E$14+1,1))</f>
        <v>212.33913923444732</v>
      </c>
      <c r="DU199" s="60">
        <f t="shared" si="209"/>
        <v>183.51194426094372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0" t="e">
        <f t="shared" si="198"/>
        <v>#N/A</v>
      </c>
      <c r="EO199" s="60" t="e">
        <f ca="1">AVERAGE(OFFSET($EN$3,0,0,'Données projet'!$E$15+1,1))-AVERAGE(OFFSET($H$3,0,0,'Données projet'!$E$15+1,1))</f>
        <v>#N/A</v>
      </c>
      <c r="EP199" s="60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0" t="e">
        <f t="shared" si="199"/>
        <v>#N/A</v>
      </c>
      <c r="FJ199" s="60" t="e">
        <f ca="1">AVERAGE(OFFSET($FI$3,0,0,'Données projet'!$E$16+1,1))-AVERAGE(OFFSET($H$3,0,0,'Données projet'!$E$16+1,1))</f>
        <v>#N/A</v>
      </c>
      <c r="FK199" s="60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0" t="e">
        <f t="shared" si="200"/>
        <v>#N/A</v>
      </c>
      <c r="GE199" s="60" t="e">
        <f ca="1">AVERAGE(OFFSET($GD$3,0,0,'Données projet'!$E$17+1,1))-AVERAGE(OFFSET($H$3,0,0,'Données projet'!$E$17+1,1))</f>
        <v>#N/A</v>
      </c>
      <c r="GF199" s="60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0" t="e">
        <f t="shared" si="201"/>
        <v>#N/A</v>
      </c>
      <c r="GZ199" s="60" t="e">
        <f ca="1">AVERAGE(OFFSET($GY$3,0,0,'Données projet'!$E$18+1,1))-AVERAGE(OFFSET($H$3,0,0,'Données projet'!$E$18+1,1))</f>
        <v>#N/A</v>
      </c>
      <c r="HA199" s="60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5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2">
        <f t="shared" si="202"/>
        <v>28.755825625606846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8">
        <f t="shared" si="192"/>
        <v>530.75354629793264</v>
      </c>
      <c r="I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3.4106051316484809E-13</v>
      </c>
      <c r="O200" s="14">
        <f>N200*VLOOKUP('Données projet'!$B$9,Paramètres!$A$1:$I$89,3,0)*VLOOKUP('Données projet'!$B$9,Paramètres!$A$1:$I$89,5,0)</f>
        <v>1.5961632016114892E-13</v>
      </c>
      <c r="P200" s="14">
        <f t="shared" si="203"/>
        <v>2.2708641912150958E-12</v>
      </c>
      <c r="Q200" s="22">
        <f t="shared" si="162"/>
        <v>4.2330868906469593E-12</v>
      </c>
      <c r="R200" s="60">
        <f t="shared" si="191"/>
        <v>293.33333333333752</v>
      </c>
      <c r="S200" s="60">
        <f ca="1">AVERAGE(OFFSET($R$3,0,0,'Données projet'!$E$9+1,1))-AVERAGE(OFFSET($H$3,0,0,'Données projet'!$E$9+1,1))</f>
        <v>146.40889017442277</v>
      </c>
      <c r="T200" s="60">
        <f t="shared" si="204"/>
        <v>70.859031694091868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-1.1368683772161603E-13</v>
      </c>
      <c r="AJ200" s="14">
        <f>AI200*VLOOKUP('Données projet'!$B$10,Paramètres!$A$1:$I$89,3,0)*VLOOKUP('Données projet'!$B$10,Paramètres!$A$1:$I$89,5,0)</f>
        <v>-1.0286385077051818E-13</v>
      </c>
      <c r="AK200" s="14" t="e">
        <f t="shared" si="164"/>
        <v>#NUM!</v>
      </c>
      <c r="AL200" s="22" t="e">
        <f t="shared" si="165"/>
        <v>#NUM!</v>
      </c>
      <c r="AM200" s="60" t="e">
        <f t="shared" si="193"/>
        <v>#NUM!</v>
      </c>
      <c r="AN200" s="60">
        <f ca="1">AVERAGE(OFFSET($AM$3,0,0,'Données projet'!$E$10+1,1))-AVERAGE(OFFSET($H$3,0,0,'Données projet'!$E$10+1,1))</f>
        <v>404.14319681142746</v>
      </c>
      <c r="AO200" s="60">
        <f t="shared" si="205"/>
        <v>203.5274665601915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-9.6633812063373625E-13</v>
      </c>
      <c r="BE200" s="14">
        <f>BD200*VLOOKUP('Données projet'!$B$11,Paramètres!$A$1:$I$89,3,0)*VLOOKUP('Données projet'!$B$11,Paramètres!$A$1:$I$89,5,0)</f>
        <v>-9.7986685432260874E-13</v>
      </c>
      <c r="BF200" s="14" t="e">
        <f t="shared" si="167"/>
        <v>#NUM!</v>
      </c>
      <c r="BG200" s="22" t="e">
        <f t="shared" si="168"/>
        <v>#NUM!</v>
      </c>
      <c r="BH200" s="60" t="e">
        <f t="shared" si="194"/>
        <v>#NUM!</v>
      </c>
      <c r="BI200" s="60">
        <f ca="1">AVERAGE(OFFSET($BH$3,0,0,'Données projet'!$E$11+1,1))-AVERAGE(OFFSET($H$3,0,0,'Données projet'!$E$11+1,1))</f>
        <v>350.3652766444938</v>
      </c>
      <c r="BJ200" s="60">
        <f t="shared" si="206"/>
        <v>197.04549436738586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-9.6633812063373625E-13</v>
      </c>
      <c r="BZ200" s="14">
        <f>BY200*VLOOKUP('Données projet'!$B$12,Paramètres!$A$1:$I$89,3,0)*VLOOKUP('Données projet'!$B$12,Paramètres!$A$1:$I$89,5,0)</f>
        <v>-9.3464223027694966E-13</v>
      </c>
      <c r="CA200" s="14" t="e">
        <f t="shared" si="170"/>
        <v>#NUM!</v>
      </c>
      <c r="CB200" s="22" t="e">
        <f t="shared" si="171"/>
        <v>#NUM!</v>
      </c>
      <c r="CC200" s="60" t="e">
        <f t="shared" si="195"/>
        <v>#NUM!</v>
      </c>
      <c r="CD200" s="60">
        <f ca="1">AVERAGE(OFFSET($CC$3,0,0,'Données projet'!$E$12+1,1))-AVERAGE(OFFSET($H$3,0,0,'Données projet'!$E$12+1,1))</f>
        <v>330.39429528665841</v>
      </c>
      <c r="CE200" s="60">
        <f t="shared" si="207"/>
        <v>186.45728006007261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-9.6633812063373625E-13</v>
      </c>
      <c r="CU200" s="18">
        <f>CT200*VLOOKUP('Données projet'!$B$13,Paramètres!$A$1:$I$89,3,0)*VLOOKUP('Données projet'!$B$13,Paramètres!$A$1:$I$89,5,0)</f>
        <v>-1.0401663530501537E-12</v>
      </c>
      <c r="CV200" s="14" t="e">
        <f t="shared" si="173"/>
        <v>#NUM!</v>
      </c>
      <c r="CW200" s="22" t="e">
        <f t="shared" si="174"/>
        <v>#NUM!</v>
      </c>
      <c r="CX200" s="60" t="e">
        <f t="shared" si="196"/>
        <v>#NUM!</v>
      </c>
      <c r="CY200" s="60">
        <f ca="1">AVERAGE(OFFSET($CX$3,0,0,'Données projet'!$E$13+1,1))-AVERAGE(OFFSET($H$3,0,0,'Données projet'!$E$13+1,1))</f>
        <v>376.96388721258387</v>
      </c>
      <c r="CZ200" s="60">
        <f t="shared" si="208"/>
        <v>211.14628470344377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1.7053025658242404E-13</v>
      </c>
      <c r="DP200" s="18">
        <f>DO200*VLOOKUP('Données projet'!$B$14,Paramètres!$A$1:$I$89,3,0)*VLOOKUP('Données projet'!$B$14,Paramètres!$A$1:$I$89,5,0)</f>
        <v>1.1439169611549005E-13</v>
      </c>
      <c r="DQ200" s="14">
        <f t="shared" si="176"/>
        <v>1.6918016515029816E-12</v>
      </c>
      <c r="DR200" s="22">
        <f t="shared" si="177"/>
        <v>3.1457867471021712E-12</v>
      </c>
      <c r="DS200" s="60">
        <f t="shared" si="197"/>
        <v>293.33333333333644</v>
      </c>
      <c r="DT200" s="60">
        <f ca="1">AVERAGE(OFFSET($DS$3,0,0,'Données projet'!$E$14+1,1))-AVERAGE(OFFSET($H$3,0,0,'Données projet'!$E$14+1,1))</f>
        <v>212.33913923444732</v>
      </c>
      <c r="DU200" s="60">
        <f t="shared" si="209"/>
        <v>183.51194426094372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0" t="e">
        <f t="shared" si="198"/>
        <v>#N/A</v>
      </c>
      <c r="EO200" s="60" t="e">
        <f ca="1">AVERAGE(OFFSET($EN$3,0,0,'Données projet'!$E$15+1,1))-AVERAGE(OFFSET($H$3,0,0,'Données projet'!$E$15+1,1))</f>
        <v>#N/A</v>
      </c>
      <c r="EP200" s="60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0" t="e">
        <f t="shared" si="199"/>
        <v>#N/A</v>
      </c>
      <c r="FJ200" s="60" t="e">
        <f ca="1">AVERAGE(OFFSET($FI$3,0,0,'Données projet'!$E$16+1,1))-AVERAGE(OFFSET($H$3,0,0,'Données projet'!$E$16+1,1))</f>
        <v>#N/A</v>
      </c>
      <c r="FK200" s="60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0" t="e">
        <f t="shared" si="200"/>
        <v>#N/A</v>
      </c>
      <c r="GE200" s="60" t="e">
        <f ca="1">AVERAGE(OFFSET($GD$3,0,0,'Données projet'!$E$17+1,1))-AVERAGE(OFFSET($H$3,0,0,'Données projet'!$E$17+1,1))</f>
        <v>#N/A</v>
      </c>
      <c r="GF200" s="60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0" t="e">
        <f t="shared" si="201"/>
        <v>#N/A</v>
      </c>
      <c r="GZ200" s="60" t="e">
        <f ca="1">AVERAGE(OFFSET($GY$3,0,0,'Données projet'!$E$18+1,1))-AVERAGE(OFFSET($H$3,0,0,'Données projet'!$E$18+1,1))</f>
        <v>#N/A</v>
      </c>
      <c r="HA200" s="60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5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2">
        <f t="shared" si="202"/>
        <v>28.884765499467239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8">
        <f t="shared" si="192"/>
        <v>531.9290665782396</v>
      </c>
      <c r="I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3.4106051316484809E-13</v>
      </c>
      <c r="O201" s="14">
        <f>N201*VLOOKUP('Données projet'!$B$9,Paramètres!$A$1:$I$89,3,0)*VLOOKUP('Données projet'!$B$9,Paramètres!$A$1:$I$89,5,0)</f>
        <v>1.5961632016114892E-13</v>
      </c>
      <c r="P201" s="14">
        <f t="shared" si="203"/>
        <v>2.2708641912150958E-12</v>
      </c>
      <c r="Q201" s="22">
        <f t="shared" si="162"/>
        <v>4.2330868906469593E-12</v>
      </c>
      <c r="R201" s="60">
        <f t="shared" si="191"/>
        <v>293.33333333333752</v>
      </c>
      <c r="S201" s="60">
        <f ca="1">AVERAGE(OFFSET($R$3,0,0,'Données projet'!$E$9+1,1))-AVERAGE(OFFSET($H$3,0,0,'Données projet'!$E$9+1,1))</f>
        <v>146.40889017442277</v>
      </c>
      <c r="T201" s="60">
        <f t="shared" si="204"/>
        <v>70.859031694091868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-1.1368683772161603E-13</v>
      </c>
      <c r="AJ201" s="14">
        <f>AI201*VLOOKUP('Données projet'!$B$10,Paramètres!$A$1:$I$89,3,0)*VLOOKUP('Données projet'!$B$10,Paramètres!$A$1:$I$89,5,0)</f>
        <v>-1.0286385077051818E-13</v>
      </c>
      <c r="AK201" s="14" t="e">
        <f t="shared" si="164"/>
        <v>#NUM!</v>
      </c>
      <c r="AL201" s="22" t="e">
        <f t="shared" si="165"/>
        <v>#NUM!</v>
      </c>
      <c r="AM201" s="60" t="e">
        <f t="shared" si="193"/>
        <v>#NUM!</v>
      </c>
      <c r="AN201" s="60">
        <f ca="1">AVERAGE(OFFSET($AM$3,0,0,'Données projet'!$E$10+1,1))-AVERAGE(OFFSET($H$3,0,0,'Données projet'!$E$10+1,1))</f>
        <v>404.14319681142746</v>
      </c>
      <c r="AO201" s="60">
        <f t="shared" si="205"/>
        <v>203.5274665601915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-9.6633812063373625E-13</v>
      </c>
      <c r="BE201" s="14">
        <f>BD201*VLOOKUP('Données projet'!$B$11,Paramètres!$A$1:$I$89,3,0)*VLOOKUP('Données projet'!$B$11,Paramètres!$A$1:$I$89,5,0)</f>
        <v>-9.7986685432260874E-13</v>
      </c>
      <c r="BF201" s="14" t="e">
        <f t="shared" si="167"/>
        <v>#NUM!</v>
      </c>
      <c r="BG201" s="22" t="e">
        <f t="shared" si="168"/>
        <v>#NUM!</v>
      </c>
      <c r="BH201" s="60" t="e">
        <f t="shared" si="194"/>
        <v>#NUM!</v>
      </c>
      <c r="BI201" s="60">
        <f ca="1">AVERAGE(OFFSET($BH$3,0,0,'Données projet'!$E$11+1,1))-AVERAGE(OFFSET($H$3,0,0,'Données projet'!$E$11+1,1))</f>
        <v>350.3652766444938</v>
      </c>
      <c r="BJ201" s="60">
        <f t="shared" si="206"/>
        <v>197.04549436738586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-9.6633812063373625E-13</v>
      </c>
      <c r="BZ201" s="14">
        <f>BY201*VLOOKUP('Données projet'!$B$12,Paramètres!$A$1:$I$89,3,0)*VLOOKUP('Données projet'!$B$12,Paramètres!$A$1:$I$89,5,0)</f>
        <v>-9.3464223027694966E-13</v>
      </c>
      <c r="CA201" s="14" t="e">
        <f t="shared" si="170"/>
        <v>#NUM!</v>
      </c>
      <c r="CB201" s="22" t="e">
        <f t="shared" si="171"/>
        <v>#NUM!</v>
      </c>
      <c r="CC201" s="60" t="e">
        <f t="shared" si="195"/>
        <v>#NUM!</v>
      </c>
      <c r="CD201" s="60">
        <f ca="1">AVERAGE(OFFSET($CC$3,0,0,'Données projet'!$E$12+1,1))-AVERAGE(OFFSET($H$3,0,0,'Données projet'!$E$12+1,1))</f>
        <v>330.39429528665841</v>
      </c>
      <c r="CE201" s="60">
        <f t="shared" si="207"/>
        <v>186.45728006007261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-9.6633812063373625E-13</v>
      </c>
      <c r="CU201" s="18">
        <f>CT201*VLOOKUP('Données projet'!$B$13,Paramètres!$A$1:$I$89,3,0)*VLOOKUP('Données projet'!$B$13,Paramètres!$A$1:$I$89,5,0)</f>
        <v>-1.0401663530501537E-12</v>
      </c>
      <c r="CV201" s="14" t="e">
        <f t="shared" si="173"/>
        <v>#NUM!</v>
      </c>
      <c r="CW201" s="22" t="e">
        <f t="shared" si="174"/>
        <v>#NUM!</v>
      </c>
      <c r="CX201" s="60" t="e">
        <f t="shared" si="196"/>
        <v>#NUM!</v>
      </c>
      <c r="CY201" s="60">
        <f ca="1">AVERAGE(OFFSET($CX$3,0,0,'Données projet'!$E$13+1,1))-AVERAGE(OFFSET($H$3,0,0,'Données projet'!$E$13+1,1))</f>
        <v>376.96388721258387</v>
      </c>
      <c r="CZ201" s="60">
        <f t="shared" si="208"/>
        <v>211.14628470344377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1.7053025658242404E-13</v>
      </c>
      <c r="DP201" s="18">
        <f>DO201*VLOOKUP('Données projet'!$B$14,Paramètres!$A$1:$I$89,3,0)*VLOOKUP('Données projet'!$B$14,Paramètres!$A$1:$I$89,5,0)</f>
        <v>1.1439169611549005E-13</v>
      </c>
      <c r="DQ201" s="14">
        <f t="shared" si="176"/>
        <v>1.6918016515029816E-12</v>
      </c>
      <c r="DR201" s="22">
        <f t="shared" si="177"/>
        <v>3.1457867471021712E-12</v>
      </c>
      <c r="DS201" s="60">
        <f t="shared" si="197"/>
        <v>293.33333333333644</v>
      </c>
      <c r="DT201" s="60">
        <f ca="1">AVERAGE(OFFSET($DS$3,0,0,'Données projet'!$E$14+1,1))-AVERAGE(OFFSET($H$3,0,0,'Données projet'!$E$14+1,1))</f>
        <v>212.33913923444732</v>
      </c>
      <c r="DU201" s="60">
        <f t="shared" si="209"/>
        <v>183.51194426094372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0" t="e">
        <f t="shared" si="198"/>
        <v>#N/A</v>
      </c>
      <c r="EO201" s="60" t="e">
        <f ca="1">AVERAGE(OFFSET($EN$3,0,0,'Données projet'!$E$15+1,1))-AVERAGE(OFFSET($H$3,0,0,'Données projet'!$E$15+1,1))</f>
        <v>#N/A</v>
      </c>
      <c r="EP201" s="60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0" t="e">
        <f t="shared" si="199"/>
        <v>#N/A</v>
      </c>
      <c r="FJ201" s="60" t="e">
        <f ca="1">AVERAGE(OFFSET($FI$3,0,0,'Données projet'!$E$16+1,1))-AVERAGE(OFFSET($H$3,0,0,'Données projet'!$E$16+1,1))</f>
        <v>#N/A</v>
      </c>
      <c r="FK201" s="60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0" t="e">
        <f t="shared" si="200"/>
        <v>#N/A</v>
      </c>
      <c r="GE201" s="60" t="e">
        <f ca="1">AVERAGE(OFFSET($GD$3,0,0,'Données projet'!$E$17+1,1))-AVERAGE(OFFSET($H$3,0,0,'Données projet'!$E$17+1,1))</f>
        <v>#N/A</v>
      </c>
      <c r="GF201" s="60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0" t="e">
        <f t="shared" si="201"/>
        <v>#N/A</v>
      </c>
      <c r="GZ201" s="60" t="e">
        <f ca="1">AVERAGE(OFFSET($GY$3,0,0,'Données projet'!$E$18+1,1))-AVERAGE(OFFSET($H$3,0,0,'Données projet'!$E$18+1,1))</f>
        <v>#N/A</v>
      </c>
      <c r="HA201" s="60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5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2">
        <f t="shared" si="202"/>
        <v>29.013629594246641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8">
        <f t="shared" si="192"/>
        <v>533.10445487664697</v>
      </c>
      <c r="I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3.4106051316484809E-13</v>
      </c>
      <c r="O202" s="14">
        <f>N202*VLOOKUP('Données projet'!$B$9,Paramètres!$A$1:$I$89,3,0)*VLOOKUP('Données projet'!$B$9,Paramètres!$A$1:$I$89,5,0)</f>
        <v>1.5961632016114892E-13</v>
      </c>
      <c r="P202" s="14">
        <f t="shared" si="203"/>
        <v>2.2708641912150958E-12</v>
      </c>
      <c r="Q202" s="22">
        <f t="shared" si="162"/>
        <v>4.2330868906469593E-12</v>
      </c>
      <c r="R202" s="60">
        <f t="shared" si="191"/>
        <v>293.33333333333752</v>
      </c>
      <c r="S202" s="60">
        <f ca="1">AVERAGE(OFFSET($R$3,0,0,'Données projet'!$E$9+1,1))-AVERAGE(OFFSET($H$3,0,0,'Données projet'!$E$9+1,1))</f>
        <v>146.40889017442277</v>
      </c>
      <c r="T202" s="60">
        <f t="shared" si="204"/>
        <v>70.859031694091868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-1.1368683772161603E-13</v>
      </c>
      <c r="AJ202" s="14">
        <f>AI202*VLOOKUP('Données projet'!$B$10,Paramètres!$A$1:$I$89,3,0)*VLOOKUP('Données projet'!$B$10,Paramètres!$A$1:$I$89,5,0)</f>
        <v>-1.0286385077051818E-13</v>
      </c>
      <c r="AK202" s="14" t="e">
        <f t="shared" si="164"/>
        <v>#NUM!</v>
      </c>
      <c r="AL202" s="22" t="e">
        <f t="shared" si="165"/>
        <v>#NUM!</v>
      </c>
      <c r="AM202" s="60" t="e">
        <f t="shared" si="193"/>
        <v>#NUM!</v>
      </c>
      <c r="AN202" s="60">
        <f ca="1">AVERAGE(OFFSET($AM$3,0,0,'Données projet'!$E$10+1,1))-AVERAGE(OFFSET($H$3,0,0,'Données projet'!$E$10+1,1))</f>
        <v>404.14319681142746</v>
      </c>
      <c r="AO202" s="60">
        <f t="shared" si="205"/>
        <v>203.5274665601915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-9.6633812063373625E-13</v>
      </c>
      <c r="BE202" s="14">
        <f>BD202*VLOOKUP('Données projet'!$B$11,Paramètres!$A$1:$I$89,3,0)*VLOOKUP('Données projet'!$B$11,Paramètres!$A$1:$I$89,5,0)</f>
        <v>-9.7986685432260874E-13</v>
      </c>
      <c r="BF202" s="14" t="e">
        <f t="shared" si="167"/>
        <v>#NUM!</v>
      </c>
      <c r="BG202" s="22" t="e">
        <f t="shared" si="168"/>
        <v>#NUM!</v>
      </c>
      <c r="BH202" s="60" t="e">
        <f t="shared" si="194"/>
        <v>#NUM!</v>
      </c>
      <c r="BI202" s="60">
        <f ca="1">AVERAGE(OFFSET($BH$3,0,0,'Données projet'!$E$11+1,1))-AVERAGE(OFFSET($H$3,0,0,'Données projet'!$E$11+1,1))</f>
        <v>350.3652766444938</v>
      </c>
      <c r="BJ202" s="60">
        <f t="shared" si="206"/>
        <v>197.04549436738586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-9.6633812063373625E-13</v>
      </c>
      <c r="BZ202" s="14">
        <f>BY202*VLOOKUP('Données projet'!$B$12,Paramètres!$A$1:$I$89,3,0)*VLOOKUP('Données projet'!$B$12,Paramètres!$A$1:$I$89,5,0)</f>
        <v>-9.3464223027694966E-13</v>
      </c>
      <c r="CA202" s="14" t="e">
        <f t="shared" si="170"/>
        <v>#NUM!</v>
      </c>
      <c r="CB202" s="22" t="e">
        <f t="shared" si="171"/>
        <v>#NUM!</v>
      </c>
      <c r="CC202" s="60" t="e">
        <f t="shared" si="195"/>
        <v>#NUM!</v>
      </c>
      <c r="CD202" s="60">
        <f ca="1">AVERAGE(OFFSET($CC$3,0,0,'Données projet'!$E$12+1,1))-AVERAGE(OFFSET($H$3,0,0,'Données projet'!$E$12+1,1))</f>
        <v>330.39429528665841</v>
      </c>
      <c r="CE202" s="60">
        <f t="shared" si="207"/>
        <v>186.45728006007261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-9.6633812063373625E-13</v>
      </c>
      <c r="CU202" s="18">
        <f>CT202*VLOOKUP('Données projet'!$B$13,Paramètres!$A$1:$I$89,3,0)*VLOOKUP('Données projet'!$B$13,Paramètres!$A$1:$I$89,5,0)</f>
        <v>-1.0401663530501537E-12</v>
      </c>
      <c r="CV202" s="14" t="e">
        <f t="shared" si="173"/>
        <v>#NUM!</v>
      </c>
      <c r="CW202" s="22" t="e">
        <f t="shared" si="174"/>
        <v>#NUM!</v>
      </c>
      <c r="CX202" s="60" t="e">
        <f t="shared" si="196"/>
        <v>#NUM!</v>
      </c>
      <c r="CY202" s="60">
        <f ca="1">AVERAGE(OFFSET($CX$3,0,0,'Données projet'!$E$13+1,1))-AVERAGE(OFFSET($H$3,0,0,'Données projet'!$E$13+1,1))</f>
        <v>376.96388721258387</v>
      </c>
      <c r="CZ202" s="60">
        <f t="shared" si="208"/>
        <v>211.14628470344377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1.7053025658242404E-13</v>
      </c>
      <c r="DP202" s="18">
        <f>DO202*VLOOKUP('Données projet'!$B$14,Paramètres!$A$1:$I$89,3,0)*VLOOKUP('Données projet'!$B$14,Paramètres!$A$1:$I$89,5,0)</f>
        <v>1.1439169611549005E-13</v>
      </c>
      <c r="DQ202" s="14">
        <f t="shared" si="176"/>
        <v>1.6918016515029816E-12</v>
      </c>
      <c r="DR202" s="22">
        <f t="shared" si="177"/>
        <v>3.1457867471021712E-12</v>
      </c>
      <c r="DS202" s="60">
        <f t="shared" si="197"/>
        <v>293.33333333333644</v>
      </c>
      <c r="DT202" s="60">
        <f ca="1">AVERAGE(OFFSET($DS$3,0,0,'Données projet'!$E$14+1,1))-AVERAGE(OFFSET($H$3,0,0,'Données projet'!$E$14+1,1))</f>
        <v>212.33913923444732</v>
      </c>
      <c r="DU202" s="60">
        <f t="shared" si="209"/>
        <v>183.51194426094372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0" t="e">
        <f t="shared" si="198"/>
        <v>#N/A</v>
      </c>
      <c r="EO202" s="60" t="e">
        <f ca="1">AVERAGE(OFFSET($EN$3,0,0,'Données projet'!$E$15+1,1))-AVERAGE(OFFSET($H$3,0,0,'Données projet'!$E$15+1,1))</f>
        <v>#N/A</v>
      </c>
      <c r="EP202" s="60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0" t="e">
        <f t="shared" si="199"/>
        <v>#N/A</v>
      </c>
      <c r="FJ202" s="60" t="e">
        <f ca="1">AVERAGE(OFFSET($FI$3,0,0,'Données projet'!$E$16+1,1))-AVERAGE(OFFSET($H$3,0,0,'Données projet'!$E$16+1,1))</f>
        <v>#N/A</v>
      </c>
      <c r="FK202" s="60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0" t="e">
        <f t="shared" si="200"/>
        <v>#N/A</v>
      </c>
      <c r="GE202" s="60" t="e">
        <f ca="1">AVERAGE(OFFSET($GD$3,0,0,'Données projet'!$E$17+1,1))-AVERAGE(OFFSET($H$3,0,0,'Données projet'!$E$17+1,1))</f>
        <v>#N/A</v>
      </c>
      <c r="GF202" s="60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0" t="e">
        <f t="shared" si="201"/>
        <v>#N/A</v>
      </c>
      <c r="GZ202" s="60" t="e">
        <f ca="1">AVERAGE(OFFSET($GY$3,0,0,'Données projet'!$E$18+1,1))-AVERAGE(OFFSET($H$3,0,0,'Données projet'!$E$18+1,1))</f>
        <v>#N/A</v>
      </c>
      <c r="HA202" s="60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5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2">
        <f t="shared" si="202"/>
        <v>29.142418334948719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8">
        <f t="shared" si="192"/>
        <v>534.27971193336975</v>
      </c>
      <c r="I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3.4106051316484809E-13</v>
      </c>
      <c r="O203" s="14">
        <f>N203*VLOOKUP('Données projet'!$B$9,Paramètres!$A$1:$I$89,3,0)*VLOOKUP('Données projet'!$B$9,Paramètres!$A$1:$I$89,5,0)</f>
        <v>1.5961632016114892E-13</v>
      </c>
      <c r="P203" s="14">
        <f t="shared" si="203"/>
        <v>2.2708641912150958E-12</v>
      </c>
      <c r="Q203" s="22">
        <f t="shared" si="162"/>
        <v>4.2330868906469593E-12</v>
      </c>
      <c r="R203" s="60">
        <f t="shared" si="191"/>
        <v>293.33333333333752</v>
      </c>
      <c r="S203" s="60">
        <f ca="1">AVERAGE(OFFSET($R$3,0,0,'Données projet'!$E$9+1,1))-AVERAGE(OFFSET($H$3,0,0,'Données projet'!$E$9+1,1))</f>
        <v>146.40889017442277</v>
      </c>
      <c r="T203" s="60">
        <f t="shared" si="204"/>
        <v>70.859031694091868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-1.1368683772161603E-13</v>
      </c>
      <c r="AJ203" s="14">
        <f>AI203*VLOOKUP('Données projet'!$B$10,Paramètres!$A$1:$I$89,3,0)*VLOOKUP('Données projet'!$B$10,Paramètres!$A$1:$I$89,5,0)</f>
        <v>-1.0286385077051818E-13</v>
      </c>
      <c r="AK203" s="14" t="e">
        <f t="shared" si="164"/>
        <v>#NUM!</v>
      </c>
      <c r="AL203" s="22" t="e">
        <f t="shared" si="165"/>
        <v>#NUM!</v>
      </c>
      <c r="AM203" s="60" t="e">
        <f t="shared" si="193"/>
        <v>#NUM!</v>
      </c>
      <c r="AN203" s="60">
        <f ca="1">AVERAGE(OFFSET($AM$3,0,0,'Données projet'!$E$10+1,1))-AVERAGE(OFFSET($H$3,0,0,'Données projet'!$E$10+1,1))</f>
        <v>404.14319681142746</v>
      </c>
      <c r="AO203" s="60">
        <f t="shared" si="205"/>
        <v>203.5274665601915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-9.6633812063373625E-13</v>
      </c>
      <c r="BE203" s="14">
        <f>BD203*VLOOKUP('Données projet'!$B$11,Paramètres!$A$1:$I$89,3,0)*VLOOKUP('Données projet'!$B$11,Paramètres!$A$1:$I$89,5,0)</f>
        <v>-9.7986685432260874E-13</v>
      </c>
      <c r="BF203" s="14" t="e">
        <f t="shared" si="167"/>
        <v>#NUM!</v>
      </c>
      <c r="BG203" s="22" t="e">
        <f t="shared" si="168"/>
        <v>#NUM!</v>
      </c>
      <c r="BH203" s="60" t="e">
        <f t="shared" si="194"/>
        <v>#NUM!</v>
      </c>
      <c r="BI203" s="60">
        <f ca="1">AVERAGE(OFFSET($BH$3,0,0,'Données projet'!$E$11+1,1))-AVERAGE(OFFSET($H$3,0,0,'Données projet'!$E$11+1,1))</f>
        <v>350.3652766444938</v>
      </c>
      <c r="BJ203" s="60">
        <f t="shared" si="206"/>
        <v>197.04549436738586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-9.6633812063373625E-13</v>
      </c>
      <c r="BZ203" s="14">
        <f>BY203*VLOOKUP('Données projet'!$B$12,Paramètres!$A$1:$I$89,3,0)*VLOOKUP('Données projet'!$B$12,Paramètres!$A$1:$I$89,5,0)</f>
        <v>-9.3464223027694966E-13</v>
      </c>
      <c r="CA203" s="14" t="e">
        <f t="shared" si="170"/>
        <v>#NUM!</v>
      </c>
      <c r="CB203" s="22" t="e">
        <f t="shared" si="171"/>
        <v>#NUM!</v>
      </c>
      <c r="CC203" s="60" t="e">
        <f t="shared" si="195"/>
        <v>#NUM!</v>
      </c>
      <c r="CD203" s="60">
        <f ca="1">AVERAGE(OFFSET($CC$3,0,0,'Données projet'!$E$12+1,1))-AVERAGE(OFFSET($H$3,0,0,'Données projet'!$E$12+1,1))</f>
        <v>330.39429528665841</v>
      </c>
      <c r="CE203" s="60">
        <f t="shared" si="207"/>
        <v>186.45728006007261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-9.6633812063373625E-13</v>
      </c>
      <c r="CU203" s="18">
        <f>CT203*VLOOKUP('Données projet'!$B$13,Paramètres!$A$1:$I$89,3,0)*VLOOKUP('Données projet'!$B$13,Paramètres!$A$1:$I$89,5,0)</f>
        <v>-1.0401663530501537E-12</v>
      </c>
      <c r="CV203" s="14" t="e">
        <f t="shared" si="173"/>
        <v>#NUM!</v>
      </c>
      <c r="CW203" s="22" t="e">
        <f t="shared" si="174"/>
        <v>#NUM!</v>
      </c>
      <c r="CX203" s="60" t="e">
        <f t="shared" si="196"/>
        <v>#NUM!</v>
      </c>
      <c r="CY203" s="60">
        <f ca="1">AVERAGE(OFFSET($CX$3,0,0,'Données projet'!$E$13+1,1))-AVERAGE(OFFSET($H$3,0,0,'Données projet'!$E$13+1,1))</f>
        <v>376.96388721258387</v>
      </c>
      <c r="CZ203" s="60">
        <f t="shared" si="208"/>
        <v>211.14628470344377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1.7053025658242404E-13</v>
      </c>
      <c r="DP203" s="18">
        <f>DO203*VLOOKUP('Données projet'!$B$14,Paramètres!$A$1:$I$89,3,0)*VLOOKUP('Données projet'!$B$14,Paramètres!$A$1:$I$89,5,0)</f>
        <v>1.1439169611549005E-13</v>
      </c>
      <c r="DQ203" s="14">
        <f t="shared" si="176"/>
        <v>1.6918016515029816E-12</v>
      </c>
      <c r="DR203" s="22">
        <f t="shared" si="177"/>
        <v>3.1457867471021712E-12</v>
      </c>
      <c r="DS203" s="60">
        <f t="shared" si="197"/>
        <v>293.33333333333644</v>
      </c>
      <c r="DT203" s="60">
        <f ca="1">AVERAGE(OFFSET($DS$3,0,0,'Données projet'!$E$14+1,1))-AVERAGE(OFFSET($H$3,0,0,'Données projet'!$E$14+1,1))</f>
        <v>212.33913923444732</v>
      </c>
      <c r="DU203" s="60">
        <f t="shared" si="209"/>
        <v>183.51194426094372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0" t="e">
        <f t="shared" si="198"/>
        <v>#N/A</v>
      </c>
      <c r="EO203" s="60" t="e">
        <f ca="1">AVERAGE(OFFSET($EN$3,0,0,'Données projet'!$E$15+1,1))-AVERAGE(OFFSET($H$3,0,0,'Données projet'!$E$15+1,1))</f>
        <v>#N/A</v>
      </c>
      <c r="EP203" s="60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0" t="e">
        <f t="shared" si="199"/>
        <v>#N/A</v>
      </c>
      <c r="FJ203" s="60" t="e">
        <f ca="1">AVERAGE(OFFSET($FI$3,0,0,'Données projet'!$E$16+1,1))-AVERAGE(OFFSET($H$3,0,0,'Données projet'!$E$16+1,1))</f>
        <v>#N/A</v>
      </c>
      <c r="FK203" s="60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0" t="e">
        <f t="shared" si="200"/>
        <v>#N/A</v>
      </c>
      <c r="GE203" s="60" t="e">
        <f ca="1">AVERAGE(OFFSET($GD$3,0,0,'Données projet'!$E$17+1,1))-AVERAGE(OFFSET($H$3,0,0,'Données projet'!$E$17+1,1))</f>
        <v>#N/A</v>
      </c>
      <c r="GF203" s="60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0" t="e">
        <f t="shared" si="201"/>
        <v>#N/A</v>
      </c>
      <c r="GZ203" s="60" t="e">
        <f ca="1">AVERAGE(OFFSET($GY$3,0,0,'Données projet'!$E$18+1,1))-AVERAGE(OFFSET($H$3,0,0,'Données projet'!$E$18+1,1))</f>
        <v>#N/A</v>
      </c>
      <c r="HA203" s="60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1"/>
      <c r="C204" s="79"/>
      <c r="D204" s="80"/>
      <c r="E204" s="80"/>
      <c r="F204" s="80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9"/>
      <c r="I204" s="79"/>
      <c r="J204" s="79"/>
      <c r="K204" s="88" t="s">
        <v>293</v>
      </c>
      <c r="L204" s="82"/>
      <c r="M204" s="82"/>
      <c r="N204" s="82"/>
      <c r="O204" s="79"/>
      <c r="P204" s="79"/>
      <c r="Q204" s="80"/>
      <c r="R204" s="83"/>
      <c r="S204" s="83"/>
      <c r="T204" s="83"/>
      <c r="U204" s="82"/>
      <c r="V204" s="82"/>
      <c r="W204" s="84"/>
      <c r="X204" s="84"/>
      <c r="Y204" s="84"/>
      <c r="Z204" s="79"/>
      <c r="AA204" s="79"/>
      <c r="AB204" s="79"/>
      <c r="AC204" s="79"/>
      <c r="AD204" s="79"/>
      <c r="AE204" s="79"/>
      <c r="AF204" s="85" t="s">
        <v>293</v>
      </c>
      <c r="BA204" s="85" t="s">
        <v>293</v>
      </c>
      <c r="BV204" s="85" t="s">
        <v>293</v>
      </c>
      <c r="CQ204" s="85" t="s">
        <v>293</v>
      </c>
      <c r="DL204" s="85" t="s">
        <v>293</v>
      </c>
      <c r="EG204" s="85" t="s">
        <v>293</v>
      </c>
      <c r="FB204" s="85" t="s">
        <v>293</v>
      </c>
      <c r="FW204" s="85" t="s">
        <v>293</v>
      </c>
      <c r="GR204" s="85" t="s">
        <v>293</v>
      </c>
    </row>
    <row r="205" spans="1:218" ht="15" thickBot="1" x14ac:dyDescent="0.35">
      <c r="B205" s="81"/>
      <c r="C205" s="79"/>
      <c r="D205" s="80"/>
      <c r="E205" s="80"/>
      <c r="F205" s="80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9"/>
      <c r="I205" s="79"/>
      <c r="J205" s="79"/>
      <c r="K205" s="86">
        <f>EXP(LN('Données projet'!B36)/'Données projet'!A36)</f>
        <v>1.1671681906248585</v>
      </c>
      <c r="L205" s="82"/>
      <c r="M205" s="82"/>
      <c r="N205" s="82"/>
      <c r="O205" s="79"/>
      <c r="P205" s="79"/>
      <c r="Q205" s="80"/>
      <c r="R205" s="83"/>
      <c r="S205" s="83"/>
      <c r="T205" s="83"/>
      <c r="U205" s="82"/>
      <c r="V205" s="82"/>
      <c r="W205" s="84"/>
      <c r="X205" s="84"/>
      <c r="Y205" s="84"/>
      <c r="Z205" s="79"/>
      <c r="AA205" s="79"/>
      <c r="AB205" s="79"/>
      <c r="AC205" s="79"/>
      <c r="AD205" s="79"/>
      <c r="AE205" s="79"/>
      <c r="AF205" s="87">
        <f>EXP(LN('Données projet'!B62)/'Données projet'!A62)</f>
        <v>1.2392705892426346</v>
      </c>
      <c r="BA205" s="86">
        <f>EXP(LN('Données projet'!B88)/'Données projet'!A88)</f>
        <v>1.2054868146447177</v>
      </c>
      <c r="BV205" s="86">
        <f>EXP(LN('Données projet'!B114)/'Données projet'!A114)</f>
        <v>1.2054868146447177</v>
      </c>
      <c r="CQ205" s="86">
        <f>EXP(LN('Données projet'!B140)/'Données projet'!A140)</f>
        <v>1.2054868146447177</v>
      </c>
      <c r="DL205" s="86">
        <f>EXP(LN('Données projet'!B166)/'Données projet'!A166)</f>
        <v>1.2979700365523266</v>
      </c>
      <c r="EG205" s="86" t="e">
        <f>EXP(LN('Données projet'!B192)/'Données projet'!A192)</f>
        <v>#NUM!</v>
      </c>
      <c r="FB205" s="86" t="e">
        <f>EXP(LN('Données projet'!B218)/'Données projet'!A218)</f>
        <v>#NUM!</v>
      </c>
      <c r="FW205" s="86" t="e">
        <f>EXP(LN('Données projet'!B244)/'Données projet'!A244)</f>
        <v>#NUM!</v>
      </c>
      <c r="GR205" s="86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18" t="s">
        <v>0</v>
      </c>
      <c r="B1" s="119" t="s">
        <v>106</v>
      </c>
      <c r="C1" s="120" t="s">
        <v>144</v>
      </c>
      <c r="D1" s="119" t="s">
        <v>100</v>
      </c>
      <c r="E1" s="120" t="s">
        <v>145</v>
      </c>
      <c r="F1" s="120" t="s">
        <v>100</v>
      </c>
      <c r="G1" s="120" t="s">
        <v>146</v>
      </c>
      <c r="H1" s="120" t="s">
        <v>100</v>
      </c>
      <c r="I1" s="121" t="s">
        <v>147</v>
      </c>
      <c r="J1" s="98"/>
      <c r="K1" s="98"/>
      <c r="L1" s="98"/>
      <c r="M1" s="98"/>
      <c r="N1" s="98"/>
    </row>
    <row r="2" spans="1:16" x14ac:dyDescent="0.3">
      <c r="A2" s="122" t="s">
        <v>1</v>
      </c>
      <c r="B2" s="123" t="s">
        <v>53</v>
      </c>
      <c r="C2" s="124">
        <v>0.62</v>
      </c>
      <c r="D2" s="124" t="s">
        <v>161</v>
      </c>
      <c r="E2" s="124">
        <v>1.56</v>
      </c>
      <c r="F2" s="124" t="s">
        <v>274</v>
      </c>
      <c r="G2" s="125">
        <v>0.43</v>
      </c>
      <c r="H2" s="126" t="s">
        <v>278</v>
      </c>
      <c r="I2" s="127">
        <v>0.25</v>
      </c>
      <c r="J2" s="98"/>
      <c r="K2" s="98"/>
      <c r="L2" s="98"/>
      <c r="M2" s="98"/>
      <c r="N2" s="98"/>
      <c r="O2" s="311" t="s">
        <v>238</v>
      </c>
      <c r="P2" s="128">
        <v>0</v>
      </c>
    </row>
    <row r="3" spans="1:16" ht="15" thickBot="1" x14ac:dyDescent="0.35">
      <c r="A3" s="129" t="s">
        <v>2</v>
      </c>
      <c r="B3" s="130" t="s">
        <v>54</v>
      </c>
      <c r="C3" s="131">
        <v>0.64</v>
      </c>
      <c r="D3" s="131" t="s">
        <v>161</v>
      </c>
      <c r="E3" s="131">
        <v>1.56</v>
      </c>
      <c r="F3" s="132" t="s">
        <v>274</v>
      </c>
      <c r="G3" s="133">
        <v>0.43</v>
      </c>
      <c r="H3" s="131" t="s">
        <v>278</v>
      </c>
      <c r="I3" s="134">
        <v>0.25</v>
      </c>
      <c r="J3" s="98"/>
      <c r="K3" s="98"/>
      <c r="L3" s="98"/>
      <c r="M3" s="98"/>
      <c r="N3" s="98"/>
      <c r="O3" s="312"/>
      <c r="P3" s="135">
        <v>0.2</v>
      </c>
    </row>
    <row r="4" spans="1:16" ht="15" thickBot="1" x14ac:dyDescent="0.35">
      <c r="A4" s="129" t="s">
        <v>98</v>
      </c>
      <c r="B4" s="130" t="s">
        <v>99</v>
      </c>
      <c r="C4" s="131">
        <v>0.42</v>
      </c>
      <c r="D4" s="131" t="s">
        <v>161</v>
      </c>
      <c r="E4" s="131">
        <v>1.56</v>
      </c>
      <c r="F4" s="132" t="s">
        <v>274</v>
      </c>
      <c r="G4" s="133">
        <v>0.43</v>
      </c>
      <c r="H4" s="131" t="s">
        <v>278</v>
      </c>
      <c r="I4" s="134">
        <v>0.25</v>
      </c>
      <c r="J4" s="98"/>
      <c r="K4" s="98"/>
      <c r="L4" s="98"/>
      <c r="M4" s="98"/>
      <c r="N4" s="98"/>
    </row>
    <row r="5" spans="1:16" x14ac:dyDescent="0.3">
      <c r="A5" s="129" t="s">
        <v>4</v>
      </c>
      <c r="B5" s="130" t="s">
        <v>55</v>
      </c>
      <c r="C5" s="131">
        <v>0.42</v>
      </c>
      <c r="D5" s="131" t="s">
        <v>161</v>
      </c>
      <c r="E5" s="131">
        <v>1.56</v>
      </c>
      <c r="F5" s="132" t="s">
        <v>274</v>
      </c>
      <c r="G5" s="133">
        <v>0.43</v>
      </c>
      <c r="H5" s="131" t="s">
        <v>278</v>
      </c>
      <c r="I5" s="134">
        <v>0.25</v>
      </c>
      <c r="J5" s="98"/>
      <c r="K5" s="98"/>
      <c r="L5" s="98"/>
      <c r="M5" s="98"/>
      <c r="N5" s="98"/>
      <c r="O5" s="311" t="s">
        <v>237</v>
      </c>
      <c r="P5" s="128">
        <v>0</v>
      </c>
    </row>
    <row r="6" spans="1:16" x14ac:dyDescent="0.3">
      <c r="A6" s="129" t="s">
        <v>3</v>
      </c>
      <c r="B6" s="130" t="s">
        <v>97</v>
      </c>
      <c r="C6" s="131">
        <v>0.42</v>
      </c>
      <c r="D6" s="131" t="s">
        <v>161</v>
      </c>
      <c r="E6" s="131">
        <v>1.56</v>
      </c>
      <c r="F6" s="132" t="s">
        <v>274</v>
      </c>
      <c r="G6" s="133">
        <v>0.43</v>
      </c>
      <c r="H6" s="131" t="s">
        <v>278</v>
      </c>
      <c r="I6" s="134">
        <v>0.25</v>
      </c>
      <c r="J6" s="98"/>
      <c r="K6" s="98"/>
      <c r="L6" s="98"/>
      <c r="M6" s="98"/>
      <c r="N6" s="98"/>
      <c r="O6" s="313"/>
      <c r="P6" s="136">
        <v>0.05</v>
      </c>
    </row>
    <row r="7" spans="1:16" x14ac:dyDescent="0.3">
      <c r="A7" s="129" t="s">
        <v>5</v>
      </c>
      <c r="B7" s="130" t="s">
        <v>56</v>
      </c>
      <c r="C7" s="131">
        <v>0.52</v>
      </c>
      <c r="D7" s="131" t="s">
        <v>161</v>
      </c>
      <c r="E7" s="131">
        <v>1.56</v>
      </c>
      <c r="F7" s="132" t="s">
        <v>274</v>
      </c>
      <c r="G7" s="133">
        <v>0.43</v>
      </c>
      <c r="H7" s="131" t="s">
        <v>278</v>
      </c>
      <c r="I7" s="134">
        <v>0.25</v>
      </c>
      <c r="J7" s="98"/>
      <c r="K7" s="98"/>
      <c r="L7" s="98"/>
      <c r="M7" s="98"/>
      <c r="N7" s="98"/>
      <c r="O7" s="313"/>
      <c r="P7" s="136">
        <v>0.1</v>
      </c>
    </row>
    <row r="8" spans="1:16" ht="15" thickBot="1" x14ac:dyDescent="0.35">
      <c r="A8" s="129" t="s">
        <v>164</v>
      </c>
      <c r="B8" s="130" t="s">
        <v>57</v>
      </c>
      <c r="C8" s="131">
        <v>0.36</v>
      </c>
      <c r="D8" s="131" t="s">
        <v>161</v>
      </c>
      <c r="E8" s="131">
        <v>1.3</v>
      </c>
      <c r="F8" s="132" t="s">
        <v>274</v>
      </c>
      <c r="G8" s="133">
        <v>0.55000000000000004</v>
      </c>
      <c r="H8" s="131" t="s">
        <v>153</v>
      </c>
      <c r="I8" s="134">
        <v>0.43</v>
      </c>
      <c r="J8" s="98"/>
      <c r="K8" s="98"/>
      <c r="L8" s="98"/>
      <c r="M8" s="98"/>
      <c r="N8" s="98"/>
      <c r="O8" s="312"/>
      <c r="P8" s="135">
        <v>0.15</v>
      </c>
    </row>
    <row r="9" spans="1:16" ht="15" thickBot="1" x14ac:dyDescent="0.35">
      <c r="A9" s="129" t="s">
        <v>6</v>
      </c>
      <c r="B9" s="130" t="s">
        <v>58</v>
      </c>
      <c r="C9" s="131">
        <v>0.61</v>
      </c>
      <c r="D9" s="131" t="s">
        <v>161</v>
      </c>
      <c r="E9" s="131">
        <v>1.56</v>
      </c>
      <c r="F9" s="132" t="s">
        <v>274</v>
      </c>
      <c r="G9" s="133">
        <v>0.43</v>
      </c>
      <c r="H9" s="131" t="s">
        <v>278</v>
      </c>
      <c r="I9" s="134">
        <v>0.25</v>
      </c>
      <c r="J9" s="98"/>
      <c r="K9" s="98"/>
      <c r="L9" s="98"/>
      <c r="M9" s="98"/>
      <c r="N9" s="98"/>
    </row>
    <row r="10" spans="1:16" x14ac:dyDescent="0.3">
      <c r="A10" s="129" t="s">
        <v>7</v>
      </c>
      <c r="B10" s="130" t="s">
        <v>59</v>
      </c>
      <c r="C10" s="131">
        <v>0.66</v>
      </c>
      <c r="D10" s="131" t="s">
        <v>161</v>
      </c>
      <c r="E10" s="131">
        <v>1.56</v>
      </c>
      <c r="F10" s="132" t="s">
        <v>274</v>
      </c>
      <c r="G10" s="133">
        <v>0.43</v>
      </c>
      <c r="H10" s="131" t="s">
        <v>278</v>
      </c>
      <c r="I10" s="134">
        <v>0.25</v>
      </c>
      <c r="J10" s="98"/>
      <c r="K10" s="98"/>
      <c r="L10" s="98"/>
      <c r="M10" s="98"/>
      <c r="N10" s="98"/>
      <c r="O10" s="311" t="s">
        <v>236</v>
      </c>
      <c r="P10" s="128">
        <v>0</v>
      </c>
    </row>
    <row r="11" spans="1:16" ht="15" thickBot="1" x14ac:dyDescent="0.35">
      <c r="A11" s="129" t="s">
        <v>8</v>
      </c>
      <c r="B11" s="130" t="s">
        <v>60</v>
      </c>
      <c r="C11" s="131">
        <v>0.47</v>
      </c>
      <c r="D11" s="131" t="s">
        <v>161</v>
      </c>
      <c r="E11" s="131">
        <v>1.56</v>
      </c>
      <c r="F11" s="132" t="s">
        <v>274</v>
      </c>
      <c r="G11" s="133">
        <v>0.43</v>
      </c>
      <c r="H11" s="131" t="s">
        <v>278</v>
      </c>
      <c r="I11" s="134">
        <v>0.25</v>
      </c>
      <c r="J11" s="98"/>
      <c r="K11" s="98"/>
      <c r="L11" s="98"/>
      <c r="M11" s="98"/>
      <c r="N11" s="98"/>
      <c r="O11" s="312"/>
      <c r="P11" s="135">
        <v>0.1</v>
      </c>
    </row>
    <row r="12" spans="1:16" x14ac:dyDescent="0.3">
      <c r="A12" s="129" t="s">
        <v>9</v>
      </c>
      <c r="B12" s="130" t="s">
        <v>61</v>
      </c>
      <c r="C12" s="131">
        <v>0.67</v>
      </c>
      <c r="D12" s="131" t="s">
        <v>161</v>
      </c>
      <c r="E12" s="131">
        <v>1.56</v>
      </c>
      <c r="F12" s="132" t="s">
        <v>274</v>
      </c>
      <c r="G12" s="133">
        <v>0.43</v>
      </c>
      <c r="H12" s="131" t="s">
        <v>152</v>
      </c>
      <c r="I12" s="134">
        <v>0.25</v>
      </c>
      <c r="J12" s="98"/>
      <c r="K12" s="98"/>
      <c r="L12" s="98"/>
      <c r="M12" s="98"/>
      <c r="N12" s="98"/>
    </row>
    <row r="13" spans="1:16" x14ac:dyDescent="0.3">
      <c r="A13" s="129" t="s">
        <v>10</v>
      </c>
      <c r="B13" s="130" t="s">
        <v>62</v>
      </c>
      <c r="C13" s="131">
        <v>0.7</v>
      </c>
      <c r="D13" s="131" t="s">
        <v>161</v>
      </c>
      <c r="E13" s="131">
        <v>1.56</v>
      </c>
      <c r="F13" s="132" t="s">
        <v>274</v>
      </c>
      <c r="G13" s="133">
        <v>0.43</v>
      </c>
      <c r="H13" s="131" t="s">
        <v>152</v>
      </c>
      <c r="I13" s="134">
        <v>0.25</v>
      </c>
      <c r="J13" s="98"/>
      <c r="K13" s="98"/>
      <c r="L13" s="98"/>
      <c r="M13" s="98"/>
      <c r="N13" s="98"/>
    </row>
    <row r="14" spans="1:16" x14ac:dyDescent="0.3">
      <c r="A14" s="129" t="s">
        <v>11</v>
      </c>
      <c r="B14" s="130" t="s">
        <v>63</v>
      </c>
      <c r="C14" s="131">
        <v>0.54</v>
      </c>
      <c r="D14" s="131" t="s">
        <v>161</v>
      </c>
      <c r="E14" s="131">
        <v>1.56</v>
      </c>
      <c r="F14" s="132" t="s">
        <v>274</v>
      </c>
      <c r="G14" s="133">
        <v>0.43</v>
      </c>
      <c r="H14" s="131" t="s">
        <v>152</v>
      </c>
      <c r="I14" s="134">
        <v>0.25</v>
      </c>
      <c r="J14" s="98"/>
      <c r="K14" s="98"/>
      <c r="L14" s="98"/>
      <c r="M14" s="98"/>
      <c r="N14" s="98"/>
    </row>
    <row r="15" spans="1:16" x14ac:dyDescent="0.3">
      <c r="A15" s="129" t="s">
        <v>12</v>
      </c>
      <c r="B15" s="130" t="s">
        <v>64</v>
      </c>
      <c r="C15" s="131">
        <v>0.65</v>
      </c>
      <c r="D15" s="131" t="s">
        <v>161</v>
      </c>
      <c r="E15" s="131">
        <v>1.56</v>
      </c>
      <c r="F15" s="132" t="s">
        <v>274</v>
      </c>
      <c r="G15" s="133">
        <v>0.43</v>
      </c>
      <c r="H15" s="131" t="s">
        <v>152</v>
      </c>
      <c r="I15" s="134">
        <v>0.25</v>
      </c>
      <c r="J15" s="98"/>
      <c r="K15" s="98"/>
      <c r="L15" s="98"/>
      <c r="M15" s="98"/>
      <c r="N15" s="98"/>
    </row>
    <row r="16" spans="1:16" x14ac:dyDescent="0.3">
      <c r="A16" s="129" t="s">
        <v>13</v>
      </c>
      <c r="B16" s="130" t="s">
        <v>65</v>
      </c>
      <c r="C16" s="131">
        <v>0.56000000000000005</v>
      </c>
      <c r="D16" s="131" t="s">
        <v>161</v>
      </c>
      <c r="E16" s="131">
        <v>1.56</v>
      </c>
      <c r="F16" s="132" t="s">
        <v>274</v>
      </c>
      <c r="G16" s="133">
        <v>0.43</v>
      </c>
      <c r="H16" s="131" t="s">
        <v>152</v>
      </c>
      <c r="I16" s="134">
        <v>0.25</v>
      </c>
      <c r="J16" s="98"/>
      <c r="K16" s="98"/>
      <c r="L16" s="98"/>
      <c r="M16" s="98"/>
      <c r="N16" s="98"/>
    </row>
    <row r="17" spans="1:14" x14ac:dyDescent="0.3">
      <c r="A17" s="129" t="s">
        <v>14</v>
      </c>
      <c r="B17" s="130" t="s">
        <v>66</v>
      </c>
      <c r="C17" s="131">
        <v>0.57999999999999996</v>
      </c>
      <c r="D17" s="131" t="s">
        <v>161</v>
      </c>
      <c r="E17" s="131">
        <v>1.56</v>
      </c>
      <c r="F17" s="132" t="s">
        <v>274</v>
      </c>
      <c r="G17" s="133">
        <v>0.43</v>
      </c>
      <c r="H17" s="131" t="s">
        <v>152</v>
      </c>
      <c r="I17" s="134">
        <v>0.25</v>
      </c>
      <c r="J17" s="98"/>
      <c r="K17" s="98"/>
      <c r="L17" s="98"/>
      <c r="M17" s="98"/>
      <c r="N17" s="98"/>
    </row>
    <row r="18" spans="1:14" x14ac:dyDescent="0.3">
      <c r="A18" s="129" t="s">
        <v>15</v>
      </c>
      <c r="B18" s="130" t="s">
        <v>67</v>
      </c>
      <c r="C18" s="131">
        <v>0.64</v>
      </c>
      <c r="D18" s="131" t="s">
        <v>161</v>
      </c>
      <c r="E18" s="131">
        <v>1.56</v>
      </c>
      <c r="F18" s="132" t="s">
        <v>274</v>
      </c>
      <c r="G18" s="133">
        <v>0.43</v>
      </c>
      <c r="H18" s="131" t="s">
        <v>152</v>
      </c>
      <c r="I18" s="134">
        <v>0.25</v>
      </c>
      <c r="J18" s="98"/>
      <c r="K18" s="98"/>
      <c r="L18" s="98"/>
      <c r="M18" s="98"/>
      <c r="N18" s="98"/>
    </row>
    <row r="19" spans="1:14" x14ac:dyDescent="0.3">
      <c r="A19" s="129" t="s">
        <v>16</v>
      </c>
      <c r="B19" s="130" t="s">
        <v>68</v>
      </c>
      <c r="C19" s="131">
        <v>0.73</v>
      </c>
      <c r="D19" s="131" t="s">
        <v>161</v>
      </c>
      <c r="E19" s="131">
        <v>1.56</v>
      </c>
      <c r="F19" s="132" t="s">
        <v>274</v>
      </c>
      <c r="G19" s="133">
        <v>0.43</v>
      </c>
      <c r="H19" s="131" t="s">
        <v>152</v>
      </c>
      <c r="I19" s="134">
        <v>0.25</v>
      </c>
      <c r="J19" s="98"/>
      <c r="K19" s="98"/>
      <c r="L19" s="98"/>
      <c r="M19" s="98"/>
      <c r="N19" s="98"/>
    </row>
    <row r="20" spans="1:14" x14ac:dyDescent="0.3">
      <c r="A20" s="129" t="s">
        <v>52</v>
      </c>
      <c r="B20" s="130" t="s">
        <v>69</v>
      </c>
      <c r="C20" s="131">
        <v>0.69</v>
      </c>
      <c r="D20" s="131" t="s">
        <v>131</v>
      </c>
      <c r="E20" s="131">
        <v>1.56</v>
      </c>
      <c r="F20" s="132" t="s">
        <v>274</v>
      </c>
      <c r="G20" s="133">
        <v>0.43</v>
      </c>
      <c r="H20" s="131" t="s">
        <v>282</v>
      </c>
      <c r="I20" s="134">
        <v>0.25</v>
      </c>
      <c r="J20" s="98"/>
      <c r="K20" s="98"/>
      <c r="L20" s="98"/>
      <c r="M20" s="98"/>
      <c r="N20" s="98"/>
    </row>
    <row r="21" spans="1:14" x14ac:dyDescent="0.3">
      <c r="A21" s="129" t="s">
        <v>154</v>
      </c>
      <c r="B21" s="130" t="s">
        <v>155</v>
      </c>
      <c r="C21" s="131">
        <v>0.36</v>
      </c>
      <c r="D21" s="131" t="s">
        <v>161</v>
      </c>
      <c r="E21" s="131">
        <v>1.3</v>
      </c>
      <c r="F21" s="132" t="s">
        <v>274</v>
      </c>
      <c r="G21" s="133">
        <v>0.55000000000000004</v>
      </c>
      <c r="H21" s="131" t="s">
        <v>153</v>
      </c>
      <c r="I21" s="134">
        <v>0.43</v>
      </c>
      <c r="J21" s="98"/>
      <c r="K21" s="98"/>
      <c r="L21" s="98"/>
      <c r="M21" s="98"/>
      <c r="N21" s="98"/>
    </row>
    <row r="22" spans="1:14" x14ac:dyDescent="0.3">
      <c r="A22" s="129" t="s">
        <v>17</v>
      </c>
      <c r="B22" s="130" t="s">
        <v>70</v>
      </c>
      <c r="C22" s="131">
        <v>0.4</v>
      </c>
      <c r="D22" s="131" t="s">
        <v>161</v>
      </c>
      <c r="E22" s="131">
        <v>1.3</v>
      </c>
      <c r="F22" s="132" t="s">
        <v>274</v>
      </c>
      <c r="G22" s="133">
        <v>0.55000000000000004</v>
      </c>
      <c r="H22" s="131" t="s">
        <v>153</v>
      </c>
      <c r="I22" s="134">
        <v>0.43</v>
      </c>
      <c r="J22" s="98"/>
      <c r="K22" s="98"/>
      <c r="L22" s="98"/>
      <c r="M22" s="98"/>
      <c r="N22" s="98"/>
    </row>
    <row r="23" spans="1:14" x14ac:dyDescent="0.3">
      <c r="A23" s="129" t="s">
        <v>18</v>
      </c>
      <c r="B23" s="130" t="s">
        <v>71</v>
      </c>
      <c r="C23" s="131">
        <v>0.43</v>
      </c>
      <c r="D23" s="131" t="s">
        <v>161</v>
      </c>
      <c r="E23" s="131">
        <v>1.3</v>
      </c>
      <c r="F23" s="132" t="s">
        <v>274</v>
      </c>
      <c r="G23" s="133">
        <v>0.55000000000000004</v>
      </c>
      <c r="H23" s="131" t="s">
        <v>153</v>
      </c>
      <c r="I23" s="134">
        <v>0.43</v>
      </c>
      <c r="J23" s="98"/>
      <c r="K23" s="98"/>
      <c r="L23" s="98"/>
      <c r="M23" s="98"/>
      <c r="N23" s="98"/>
    </row>
    <row r="24" spans="1:14" x14ac:dyDescent="0.3">
      <c r="A24" s="129" t="s">
        <v>19</v>
      </c>
      <c r="B24" s="130" t="s">
        <v>72</v>
      </c>
      <c r="C24" s="131">
        <v>0.37</v>
      </c>
      <c r="D24" s="131" t="s">
        <v>161</v>
      </c>
      <c r="E24" s="131">
        <v>1.3</v>
      </c>
      <c r="F24" s="132" t="s">
        <v>274</v>
      </c>
      <c r="G24" s="133">
        <v>0.55000000000000004</v>
      </c>
      <c r="H24" s="131" t="s">
        <v>152</v>
      </c>
      <c r="I24" s="134">
        <v>0.43</v>
      </c>
      <c r="J24" s="98"/>
      <c r="K24" s="98"/>
      <c r="L24" s="98"/>
      <c r="M24" s="98"/>
      <c r="N24" s="98"/>
    </row>
    <row r="25" spans="1:14" x14ac:dyDescent="0.3">
      <c r="A25" s="129" t="s">
        <v>20</v>
      </c>
      <c r="B25" s="130" t="s">
        <v>73</v>
      </c>
      <c r="C25" s="131">
        <v>0.36</v>
      </c>
      <c r="D25" s="131" t="s">
        <v>161</v>
      </c>
      <c r="E25" s="131">
        <v>1.3</v>
      </c>
      <c r="F25" s="132" t="s">
        <v>274</v>
      </c>
      <c r="G25" s="133">
        <v>0.55000000000000004</v>
      </c>
      <c r="H25" s="131" t="s">
        <v>152</v>
      </c>
      <c r="I25" s="134">
        <v>0.43</v>
      </c>
      <c r="J25" s="98"/>
      <c r="K25" s="98"/>
      <c r="L25" s="98"/>
      <c r="M25" s="98"/>
      <c r="N25" s="98"/>
    </row>
    <row r="26" spans="1:14" x14ac:dyDescent="0.3">
      <c r="A26" s="129" t="s">
        <v>21</v>
      </c>
      <c r="B26" s="130" t="s">
        <v>74</v>
      </c>
      <c r="C26" s="131">
        <v>0.56000000000000005</v>
      </c>
      <c r="D26" s="131" t="s">
        <v>161</v>
      </c>
      <c r="E26" s="131">
        <v>1.56</v>
      </c>
      <c r="F26" s="132" t="s">
        <v>274</v>
      </c>
      <c r="G26" s="133">
        <v>0.53</v>
      </c>
      <c r="H26" s="131" t="s">
        <v>275</v>
      </c>
      <c r="I26" s="134">
        <v>0.25</v>
      </c>
      <c r="J26" s="98"/>
      <c r="K26" s="98"/>
      <c r="L26" s="98"/>
      <c r="M26" s="98"/>
      <c r="N26" s="98"/>
    </row>
    <row r="27" spans="1:14" x14ac:dyDescent="0.3">
      <c r="A27" s="129" t="s">
        <v>22</v>
      </c>
      <c r="B27" s="130" t="s">
        <v>75</v>
      </c>
      <c r="C27" s="131">
        <v>0.51</v>
      </c>
      <c r="D27" s="131" t="s">
        <v>161</v>
      </c>
      <c r="E27" s="131">
        <v>1.56</v>
      </c>
      <c r="F27" s="132" t="s">
        <v>274</v>
      </c>
      <c r="G27" s="133">
        <v>0.53</v>
      </c>
      <c r="H27" s="131" t="s">
        <v>275</v>
      </c>
      <c r="I27" s="134">
        <v>0.25</v>
      </c>
      <c r="J27" s="98"/>
      <c r="K27" s="98"/>
      <c r="L27" s="98"/>
      <c r="M27" s="98"/>
      <c r="N27" s="98"/>
    </row>
    <row r="28" spans="1:14" x14ac:dyDescent="0.3">
      <c r="A28" s="129" t="s">
        <v>23</v>
      </c>
      <c r="B28" s="130" t="s">
        <v>76</v>
      </c>
      <c r="C28" s="131">
        <v>0.51</v>
      </c>
      <c r="D28" s="131" t="s">
        <v>161</v>
      </c>
      <c r="E28" s="131">
        <v>1.56</v>
      </c>
      <c r="F28" s="132" t="s">
        <v>274</v>
      </c>
      <c r="G28" s="133">
        <v>0.53</v>
      </c>
      <c r="H28" s="131" t="s">
        <v>275</v>
      </c>
      <c r="I28" s="134">
        <v>0.25</v>
      </c>
      <c r="J28" s="98"/>
      <c r="K28" s="98"/>
      <c r="L28" s="98"/>
      <c r="M28" s="98"/>
      <c r="N28" s="98"/>
    </row>
    <row r="29" spans="1:14" x14ac:dyDescent="0.3">
      <c r="A29" s="129" t="s">
        <v>24</v>
      </c>
      <c r="B29" s="130" t="s">
        <v>24</v>
      </c>
      <c r="C29" s="131">
        <v>0.56000000000000005</v>
      </c>
      <c r="D29" s="131" t="s">
        <v>161</v>
      </c>
      <c r="E29" s="131">
        <v>1.56</v>
      </c>
      <c r="F29" s="132" t="s">
        <v>274</v>
      </c>
      <c r="G29" s="133">
        <v>0.53</v>
      </c>
      <c r="H29" s="131" t="s">
        <v>275</v>
      </c>
      <c r="I29" s="134">
        <v>0.25</v>
      </c>
      <c r="J29" s="98"/>
      <c r="K29" s="98"/>
      <c r="L29" s="98"/>
      <c r="M29" s="98"/>
      <c r="N29" s="98"/>
    </row>
    <row r="30" spans="1:14" x14ac:dyDescent="0.3">
      <c r="A30" s="129" t="s">
        <v>25</v>
      </c>
      <c r="B30" s="130" t="s">
        <v>77</v>
      </c>
      <c r="C30" s="131">
        <v>0.55000000000000004</v>
      </c>
      <c r="D30" s="131" t="s">
        <v>161</v>
      </c>
      <c r="E30" s="131">
        <v>1.56</v>
      </c>
      <c r="F30" s="132" t="s">
        <v>274</v>
      </c>
      <c r="G30" s="133">
        <v>0.53</v>
      </c>
      <c r="H30" s="131" t="s">
        <v>152</v>
      </c>
      <c r="I30" s="134">
        <v>0.25</v>
      </c>
      <c r="J30" s="98"/>
      <c r="K30" s="98"/>
      <c r="L30" s="98"/>
      <c r="M30" s="98"/>
      <c r="N30" s="98"/>
    </row>
    <row r="31" spans="1:14" x14ac:dyDescent="0.3">
      <c r="A31" s="129" t="s">
        <v>26</v>
      </c>
      <c r="B31" s="130" t="s">
        <v>78</v>
      </c>
      <c r="C31" s="131">
        <v>0.56000000000000005</v>
      </c>
      <c r="D31" s="131" t="s">
        <v>161</v>
      </c>
      <c r="E31" s="131">
        <v>1.56</v>
      </c>
      <c r="F31" s="132" t="s">
        <v>274</v>
      </c>
      <c r="G31" s="133">
        <v>0.43</v>
      </c>
      <c r="H31" s="131" t="s">
        <v>278</v>
      </c>
      <c r="I31" s="134">
        <v>0.25</v>
      </c>
      <c r="J31" s="98"/>
      <c r="K31" s="98"/>
      <c r="L31" s="98"/>
      <c r="M31" s="98"/>
      <c r="N31" s="98"/>
    </row>
    <row r="32" spans="1:14" x14ac:dyDescent="0.3">
      <c r="A32" s="129" t="s">
        <v>27</v>
      </c>
      <c r="B32" s="130" t="s">
        <v>79</v>
      </c>
      <c r="C32" s="131">
        <v>0.48</v>
      </c>
      <c r="D32" s="131" t="s">
        <v>161</v>
      </c>
      <c r="E32" s="131">
        <v>1.3</v>
      </c>
      <c r="F32" s="132" t="s">
        <v>274</v>
      </c>
      <c r="G32" s="133">
        <v>0.6</v>
      </c>
      <c r="H32" s="131" t="s">
        <v>281</v>
      </c>
      <c r="I32" s="134">
        <v>0.43</v>
      </c>
      <c r="J32" s="98"/>
      <c r="K32" s="98"/>
      <c r="L32" s="98"/>
      <c r="M32" s="98"/>
      <c r="N32" s="98"/>
    </row>
    <row r="33" spans="1:14" x14ac:dyDescent="0.3">
      <c r="A33" s="129" t="s">
        <v>28</v>
      </c>
      <c r="B33" s="130" t="s">
        <v>80</v>
      </c>
      <c r="C33" s="131">
        <v>0.42</v>
      </c>
      <c r="D33" s="131" t="s">
        <v>161</v>
      </c>
      <c r="E33" s="131">
        <v>1.3</v>
      </c>
      <c r="F33" s="132" t="s">
        <v>274</v>
      </c>
      <c r="G33" s="133">
        <v>0.6</v>
      </c>
      <c r="H33" s="131" t="s">
        <v>281</v>
      </c>
      <c r="I33" s="134">
        <v>0.43</v>
      </c>
      <c r="J33" s="98"/>
      <c r="K33" s="98"/>
      <c r="L33" s="98"/>
      <c r="M33" s="98"/>
      <c r="N33" s="98"/>
    </row>
    <row r="34" spans="1:14" x14ac:dyDescent="0.3">
      <c r="A34" s="129" t="s">
        <v>81</v>
      </c>
      <c r="B34" s="130" t="s">
        <v>163</v>
      </c>
      <c r="C34" s="131">
        <v>0.42</v>
      </c>
      <c r="D34" s="131" t="s">
        <v>103</v>
      </c>
      <c r="E34" s="131">
        <v>1.3</v>
      </c>
      <c r="F34" s="132" t="s">
        <v>274</v>
      </c>
      <c r="G34" s="133">
        <v>0.6</v>
      </c>
      <c r="H34" s="130" t="s">
        <v>280</v>
      </c>
      <c r="I34" s="134">
        <v>0.43</v>
      </c>
      <c r="J34" s="98"/>
      <c r="K34" s="98"/>
      <c r="L34" s="98"/>
      <c r="M34" s="98"/>
      <c r="N34" s="98"/>
    </row>
    <row r="35" spans="1:14" x14ac:dyDescent="0.3">
      <c r="A35" s="129" t="s">
        <v>29</v>
      </c>
      <c r="B35" s="130" t="s">
        <v>82</v>
      </c>
      <c r="C35" s="131">
        <v>0.5</v>
      </c>
      <c r="D35" s="131" t="s">
        <v>161</v>
      </c>
      <c r="E35" s="131">
        <v>1.56</v>
      </c>
      <c r="F35" s="132" t="s">
        <v>274</v>
      </c>
      <c r="G35" s="133">
        <v>0.43</v>
      </c>
      <c r="H35" s="131" t="s">
        <v>278</v>
      </c>
      <c r="I35" s="134">
        <v>0.25</v>
      </c>
      <c r="J35" s="98"/>
      <c r="K35" s="98"/>
      <c r="L35" s="98"/>
      <c r="M35" s="98"/>
      <c r="N35" s="98"/>
    </row>
    <row r="36" spans="1:14" x14ac:dyDescent="0.3">
      <c r="A36" s="129" t="s">
        <v>102</v>
      </c>
      <c r="B36" s="130" t="s">
        <v>101</v>
      </c>
      <c r="C36" s="131">
        <v>0.55000000000000004</v>
      </c>
      <c r="D36" s="131" t="s">
        <v>161</v>
      </c>
      <c r="E36" s="131">
        <v>1.56</v>
      </c>
      <c r="F36" s="132" t="s">
        <v>274</v>
      </c>
      <c r="G36" s="133">
        <v>0.53</v>
      </c>
      <c r="H36" s="131" t="s">
        <v>275</v>
      </c>
      <c r="I36" s="134">
        <v>0.25</v>
      </c>
      <c r="J36" s="98"/>
      <c r="K36" s="98"/>
      <c r="L36" s="98"/>
      <c r="M36" s="98"/>
      <c r="N36" s="98"/>
    </row>
    <row r="37" spans="1:14" x14ac:dyDescent="0.3">
      <c r="A37" s="129" t="s">
        <v>30</v>
      </c>
      <c r="B37" s="130" t="s">
        <v>104</v>
      </c>
      <c r="C37" s="131">
        <v>0.52</v>
      </c>
      <c r="D37" s="131" t="s">
        <v>161</v>
      </c>
      <c r="E37" s="131">
        <v>1.56</v>
      </c>
      <c r="F37" s="132" t="s">
        <v>274</v>
      </c>
      <c r="G37" s="133">
        <v>0.53</v>
      </c>
      <c r="H37" s="131" t="s">
        <v>275</v>
      </c>
      <c r="I37" s="134">
        <v>0.25</v>
      </c>
      <c r="J37" s="98"/>
      <c r="K37" s="98"/>
      <c r="L37" s="98"/>
      <c r="M37" s="98"/>
      <c r="N37" s="98"/>
    </row>
    <row r="38" spans="1:14" x14ac:dyDescent="0.3">
      <c r="A38" s="129" t="s">
        <v>31</v>
      </c>
      <c r="B38" s="130" t="s">
        <v>105</v>
      </c>
      <c r="C38" s="131">
        <v>0.52</v>
      </c>
      <c r="D38" s="131" t="s">
        <v>161</v>
      </c>
      <c r="E38" s="131">
        <v>1.56</v>
      </c>
      <c r="F38" s="132" t="s">
        <v>274</v>
      </c>
      <c r="G38" s="133">
        <v>0.43</v>
      </c>
      <c r="H38" s="131" t="s">
        <v>278</v>
      </c>
      <c r="I38" s="134">
        <v>0.25</v>
      </c>
      <c r="J38" s="98"/>
      <c r="K38" s="98"/>
      <c r="L38" s="98"/>
      <c r="M38" s="98"/>
      <c r="N38" s="98"/>
    </row>
    <row r="39" spans="1:14" x14ac:dyDescent="0.3">
      <c r="A39" s="129" t="s">
        <v>107</v>
      </c>
      <c r="B39" s="130" t="s">
        <v>132</v>
      </c>
      <c r="C39" s="131">
        <v>0.313</v>
      </c>
      <c r="D39" s="131" t="s">
        <v>130</v>
      </c>
      <c r="E39" s="131">
        <v>1.56</v>
      </c>
      <c r="F39" s="132" t="s">
        <v>274</v>
      </c>
      <c r="G39" s="133">
        <v>0.6</v>
      </c>
      <c r="H39" s="131" t="s">
        <v>283</v>
      </c>
      <c r="I39" s="134">
        <v>1.03</v>
      </c>
      <c r="J39" s="98"/>
      <c r="K39" s="98"/>
      <c r="L39" s="98"/>
      <c r="M39" s="98"/>
      <c r="N39" s="98"/>
    </row>
    <row r="40" spans="1:14" x14ac:dyDescent="0.3">
      <c r="A40" s="129" t="s">
        <v>108</v>
      </c>
      <c r="B40" s="130" t="s">
        <v>132</v>
      </c>
      <c r="C40" s="131">
        <v>0.35199999999999998</v>
      </c>
      <c r="D40" s="131" t="s">
        <v>130</v>
      </c>
      <c r="E40" s="131">
        <v>1.56</v>
      </c>
      <c r="F40" s="132" t="s">
        <v>274</v>
      </c>
      <c r="G40" s="133">
        <v>0.6</v>
      </c>
      <c r="H40" s="131" t="s">
        <v>283</v>
      </c>
      <c r="I40" s="134">
        <v>1.03</v>
      </c>
      <c r="J40" s="98"/>
      <c r="K40" s="98"/>
      <c r="L40" s="98"/>
      <c r="M40" s="98"/>
      <c r="N40" s="98"/>
    </row>
    <row r="41" spans="1:14" x14ac:dyDescent="0.3">
      <c r="A41" s="129" t="s">
        <v>121</v>
      </c>
      <c r="B41" s="130" t="s">
        <v>132</v>
      </c>
      <c r="C41" s="131">
        <v>0.32200000000000001</v>
      </c>
      <c r="D41" s="131" t="s">
        <v>130</v>
      </c>
      <c r="E41" s="131">
        <v>1.56</v>
      </c>
      <c r="F41" s="132" t="s">
        <v>274</v>
      </c>
      <c r="G41" s="133">
        <v>0.6</v>
      </c>
      <c r="H41" s="131" t="s">
        <v>283</v>
      </c>
      <c r="I41" s="134">
        <v>1.03</v>
      </c>
      <c r="J41" s="98"/>
      <c r="K41" s="98"/>
      <c r="L41" s="98"/>
      <c r="M41" s="98"/>
      <c r="N41" s="98"/>
    </row>
    <row r="42" spans="1:14" x14ac:dyDescent="0.3">
      <c r="A42" s="129" t="s">
        <v>122</v>
      </c>
      <c r="B42" s="130" t="s">
        <v>132</v>
      </c>
      <c r="C42" s="131">
        <v>0.311</v>
      </c>
      <c r="D42" s="131" t="s">
        <v>130</v>
      </c>
      <c r="E42" s="131">
        <v>1.56</v>
      </c>
      <c r="F42" s="132" t="s">
        <v>274</v>
      </c>
      <c r="G42" s="133">
        <v>0.6</v>
      </c>
      <c r="H42" s="131" t="s">
        <v>283</v>
      </c>
      <c r="I42" s="134">
        <v>1.03</v>
      </c>
      <c r="J42" s="98"/>
      <c r="K42" s="98"/>
      <c r="L42" s="98"/>
      <c r="M42" s="98"/>
      <c r="N42" s="98"/>
    </row>
    <row r="43" spans="1:14" x14ac:dyDescent="0.3">
      <c r="A43" s="129" t="s">
        <v>109</v>
      </c>
      <c r="B43" s="130" t="s">
        <v>132</v>
      </c>
      <c r="C43" s="131">
        <v>0.33900000000000002</v>
      </c>
      <c r="D43" s="131" t="s">
        <v>130</v>
      </c>
      <c r="E43" s="131">
        <v>1.56</v>
      </c>
      <c r="F43" s="132" t="s">
        <v>274</v>
      </c>
      <c r="G43" s="133">
        <v>0.6</v>
      </c>
      <c r="H43" s="131" t="s">
        <v>283</v>
      </c>
      <c r="I43" s="134">
        <v>1.03</v>
      </c>
      <c r="J43" s="98"/>
      <c r="K43" s="98"/>
      <c r="L43" s="98"/>
      <c r="M43" s="98"/>
      <c r="N43" s="98"/>
    </row>
    <row r="44" spans="1:14" x14ac:dyDescent="0.3">
      <c r="A44" s="129" t="s">
        <v>123</v>
      </c>
      <c r="B44" s="130" t="s">
        <v>132</v>
      </c>
      <c r="C44" s="131">
        <v>0.33600000000000002</v>
      </c>
      <c r="D44" s="131" t="s">
        <v>130</v>
      </c>
      <c r="E44" s="131">
        <v>1.56</v>
      </c>
      <c r="F44" s="132" t="s">
        <v>274</v>
      </c>
      <c r="G44" s="133">
        <v>0.6</v>
      </c>
      <c r="H44" s="131" t="s">
        <v>283</v>
      </c>
      <c r="I44" s="134">
        <v>1.03</v>
      </c>
      <c r="J44" s="98"/>
      <c r="K44" s="98"/>
      <c r="L44" s="98"/>
      <c r="M44" s="98"/>
      <c r="N44" s="98"/>
    </row>
    <row r="45" spans="1:14" x14ac:dyDescent="0.3">
      <c r="A45" s="129" t="s">
        <v>110</v>
      </c>
      <c r="B45" s="130" t="s">
        <v>132</v>
      </c>
      <c r="C45" s="131">
        <v>0.32900000000000001</v>
      </c>
      <c r="D45" s="131" t="s">
        <v>130</v>
      </c>
      <c r="E45" s="131">
        <v>1.56</v>
      </c>
      <c r="F45" s="132" t="s">
        <v>274</v>
      </c>
      <c r="G45" s="133">
        <v>0.6</v>
      </c>
      <c r="H45" s="131" t="s">
        <v>283</v>
      </c>
      <c r="I45" s="134">
        <v>1.03</v>
      </c>
      <c r="J45" s="98"/>
      <c r="K45" s="98"/>
      <c r="L45" s="98"/>
      <c r="M45" s="98"/>
      <c r="N45" s="98"/>
    </row>
    <row r="46" spans="1:14" x14ac:dyDescent="0.3">
      <c r="A46" s="129" t="s">
        <v>124</v>
      </c>
      <c r="B46" s="130" t="s">
        <v>132</v>
      </c>
      <c r="C46" s="131">
        <v>0.34300000000000003</v>
      </c>
      <c r="D46" s="131" t="s">
        <v>130</v>
      </c>
      <c r="E46" s="131">
        <v>1.56</v>
      </c>
      <c r="F46" s="132" t="s">
        <v>274</v>
      </c>
      <c r="G46" s="133">
        <v>0.6</v>
      </c>
      <c r="H46" s="131" t="s">
        <v>283</v>
      </c>
      <c r="I46" s="134">
        <v>1.03</v>
      </c>
      <c r="J46" s="98"/>
      <c r="K46" s="98"/>
      <c r="L46" s="98"/>
      <c r="M46" s="98"/>
      <c r="N46" s="98"/>
    </row>
    <row r="47" spans="1:14" x14ac:dyDescent="0.3">
      <c r="A47" s="129" t="s">
        <v>125</v>
      </c>
      <c r="B47" s="130" t="s">
        <v>132</v>
      </c>
      <c r="C47" s="131">
        <v>0.32500000000000001</v>
      </c>
      <c r="D47" s="131" t="s">
        <v>130</v>
      </c>
      <c r="E47" s="131">
        <v>1.56</v>
      </c>
      <c r="F47" s="132" t="s">
        <v>274</v>
      </c>
      <c r="G47" s="133">
        <v>0.6</v>
      </c>
      <c r="H47" s="131" t="s">
        <v>283</v>
      </c>
      <c r="I47" s="134">
        <v>1.03</v>
      </c>
      <c r="J47" s="98"/>
      <c r="K47" s="98"/>
      <c r="L47" s="98"/>
      <c r="M47" s="98"/>
      <c r="N47" s="98"/>
    </row>
    <row r="48" spans="1:14" x14ac:dyDescent="0.3">
      <c r="A48" s="129" t="s">
        <v>126</v>
      </c>
      <c r="B48" s="130" t="s">
        <v>132</v>
      </c>
      <c r="C48" s="131">
        <v>0.32</v>
      </c>
      <c r="D48" s="131" t="s">
        <v>130</v>
      </c>
      <c r="E48" s="131">
        <v>1.56</v>
      </c>
      <c r="F48" s="132" t="s">
        <v>274</v>
      </c>
      <c r="G48" s="133">
        <v>0.6</v>
      </c>
      <c r="H48" s="131" t="s">
        <v>283</v>
      </c>
      <c r="I48" s="134">
        <v>1.03</v>
      </c>
      <c r="J48" s="98"/>
      <c r="K48" s="98"/>
      <c r="L48" s="98"/>
      <c r="M48" s="98"/>
      <c r="N48" s="98"/>
    </row>
    <row r="49" spans="1:14" x14ac:dyDescent="0.3">
      <c r="A49" s="129" t="s">
        <v>111</v>
      </c>
      <c r="B49" s="130" t="s">
        <v>132</v>
      </c>
      <c r="C49" s="131">
        <v>0.28199999999999997</v>
      </c>
      <c r="D49" s="131" t="s">
        <v>130</v>
      </c>
      <c r="E49" s="131">
        <v>1.56</v>
      </c>
      <c r="F49" s="132" t="s">
        <v>274</v>
      </c>
      <c r="G49" s="133">
        <v>0.6</v>
      </c>
      <c r="H49" s="131" t="s">
        <v>283</v>
      </c>
      <c r="I49" s="134">
        <v>1.03</v>
      </c>
      <c r="J49" s="98"/>
      <c r="K49" s="98"/>
      <c r="L49" s="98"/>
      <c r="M49" s="98"/>
      <c r="N49" s="98"/>
    </row>
    <row r="50" spans="1:14" x14ac:dyDescent="0.3">
      <c r="A50" s="129" t="s">
        <v>127</v>
      </c>
      <c r="B50" s="130" t="s">
        <v>132</v>
      </c>
      <c r="C50" s="131">
        <v>0.32800000000000001</v>
      </c>
      <c r="D50" s="131" t="s">
        <v>130</v>
      </c>
      <c r="E50" s="131">
        <v>1.56</v>
      </c>
      <c r="F50" s="132" t="s">
        <v>274</v>
      </c>
      <c r="G50" s="133">
        <v>0.6</v>
      </c>
      <c r="H50" s="131" t="s">
        <v>283</v>
      </c>
      <c r="I50" s="134">
        <v>1.03</v>
      </c>
      <c r="J50" s="98"/>
      <c r="K50" s="98"/>
      <c r="L50" s="98"/>
      <c r="M50" s="98"/>
      <c r="N50" s="98"/>
    </row>
    <row r="51" spans="1:14" x14ac:dyDescent="0.3">
      <c r="A51" s="129" t="s">
        <v>112</v>
      </c>
      <c r="B51" s="130" t="s">
        <v>132</v>
      </c>
      <c r="C51" s="131">
        <v>0.32600000000000001</v>
      </c>
      <c r="D51" s="131" t="s">
        <v>130</v>
      </c>
      <c r="E51" s="131">
        <v>1.56</v>
      </c>
      <c r="F51" s="132" t="s">
        <v>274</v>
      </c>
      <c r="G51" s="133">
        <v>0.6</v>
      </c>
      <c r="H51" s="131" t="s">
        <v>283</v>
      </c>
      <c r="I51" s="134">
        <v>1.03</v>
      </c>
      <c r="J51" s="98"/>
      <c r="K51" s="98"/>
      <c r="L51" s="98"/>
      <c r="M51" s="98"/>
      <c r="N51" s="98"/>
    </row>
    <row r="52" spans="1:14" x14ac:dyDescent="0.3">
      <c r="A52" s="129" t="s">
        <v>113</v>
      </c>
      <c r="B52" s="130" t="s">
        <v>132</v>
      </c>
      <c r="C52" s="131">
        <v>0.35899999999999999</v>
      </c>
      <c r="D52" s="131" t="s">
        <v>130</v>
      </c>
      <c r="E52" s="131">
        <v>1.56</v>
      </c>
      <c r="F52" s="132" t="s">
        <v>274</v>
      </c>
      <c r="G52" s="133">
        <v>0.6</v>
      </c>
      <c r="H52" s="131" t="s">
        <v>283</v>
      </c>
      <c r="I52" s="134">
        <v>1.03</v>
      </c>
      <c r="J52" s="98"/>
      <c r="K52" s="98"/>
      <c r="L52" s="98"/>
      <c r="M52" s="98"/>
      <c r="N52" s="98"/>
    </row>
    <row r="53" spans="1:14" x14ac:dyDescent="0.3">
      <c r="A53" s="129" t="s">
        <v>114</v>
      </c>
      <c r="B53" s="130" t="s">
        <v>132</v>
      </c>
      <c r="C53" s="131">
        <v>0.34599999999999997</v>
      </c>
      <c r="D53" s="131" t="s">
        <v>130</v>
      </c>
      <c r="E53" s="131">
        <v>1.56</v>
      </c>
      <c r="F53" s="132" t="s">
        <v>274</v>
      </c>
      <c r="G53" s="133">
        <v>0.6</v>
      </c>
      <c r="H53" s="131" t="s">
        <v>283</v>
      </c>
      <c r="I53" s="134">
        <v>1.03</v>
      </c>
      <c r="J53" s="98"/>
      <c r="K53" s="98"/>
      <c r="L53" s="98"/>
      <c r="M53" s="98"/>
      <c r="N53" s="98"/>
    </row>
    <row r="54" spans="1:14" x14ac:dyDescent="0.3">
      <c r="A54" s="129" t="s">
        <v>115</v>
      </c>
      <c r="B54" s="130" t="s">
        <v>132</v>
      </c>
      <c r="C54" s="131">
        <v>0.32600000000000001</v>
      </c>
      <c r="D54" s="131" t="s">
        <v>130</v>
      </c>
      <c r="E54" s="131">
        <v>1.56</v>
      </c>
      <c r="F54" s="132" t="s">
        <v>274</v>
      </c>
      <c r="G54" s="133">
        <v>0.6</v>
      </c>
      <c r="H54" s="131" t="s">
        <v>283</v>
      </c>
      <c r="I54" s="134">
        <v>1.03</v>
      </c>
      <c r="J54" s="98"/>
      <c r="K54" s="98"/>
      <c r="L54" s="98"/>
      <c r="M54" s="98"/>
      <c r="N54" s="98"/>
    </row>
    <row r="55" spans="1:14" x14ac:dyDescent="0.3">
      <c r="A55" s="129" t="s">
        <v>116</v>
      </c>
      <c r="B55" s="130" t="s">
        <v>132</v>
      </c>
      <c r="C55" s="131">
        <v>0.30499999999999999</v>
      </c>
      <c r="D55" s="131" t="s">
        <v>130</v>
      </c>
      <c r="E55" s="131">
        <v>1.56</v>
      </c>
      <c r="F55" s="132" t="s">
        <v>274</v>
      </c>
      <c r="G55" s="133">
        <v>0.6</v>
      </c>
      <c r="H55" s="131" t="s">
        <v>283</v>
      </c>
      <c r="I55" s="134">
        <v>1.03</v>
      </c>
      <c r="J55" s="98"/>
      <c r="K55" s="98"/>
      <c r="L55" s="98"/>
      <c r="M55" s="98"/>
      <c r="N55" s="98"/>
    </row>
    <row r="56" spans="1:14" x14ac:dyDescent="0.3">
      <c r="A56" s="129" t="s">
        <v>128</v>
      </c>
      <c r="B56" s="130" t="s">
        <v>132</v>
      </c>
      <c r="C56" s="131">
        <v>0.32300000000000001</v>
      </c>
      <c r="D56" s="131" t="s">
        <v>130</v>
      </c>
      <c r="E56" s="131">
        <v>1.56</v>
      </c>
      <c r="F56" s="132" t="s">
        <v>274</v>
      </c>
      <c r="G56" s="133">
        <v>0.6</v>
      </c>
      <c r="H56" s="131" t="s">
        <v>283</v>
      </c>
      <c r="I56" s="134">
        <v>1.03</v>
      </c>
      <c r="J56" s="98"/>
      <c r="K56" s="98"/>
      <c r="L56" s="98"/>
      <c r="M56" s="98"/>
      <c r="N56" s="98"/>
    </row>
    <row r="57" spans="1:14" x14ac:dyDescent="0.3">
      <c r="A57" s="129" t="s">
        <v>129</v>
      </c>
      <c r="B57" s="130" t="s">
        <v>132</v>
      </c>
      <c r="C57" s="131">
        <v>0.36699999999999999</v>
      </c>
      <c r="D57" s="131" t="s">
        <v>130</v>
      </c>
      <c r="E57" s="131">
        <v>1.56</v>
      </c>
      <c r="F57" s="132" t="s">
        <v>274</v>
      </c>
      <c r="G57" s="133">
        <v>0.6</v>
      </c>
      <c r="H57" s="131" t="s">
        <v>283</v>
      </c>
      <c r="I57" s="134">
        <v>1.03</v>
      </c>
      <c r="J57" s="98"/>
      <c r="K57" s="98"/>
      <c r="L57" s="98"/>
      <c r="M57" s="98"/>
      <c r="N57" s="98"/>
    </row>
    <row r="58" spans="1:14" x14ac:dyDescent="0.3">
      <c r="A58" s="129" t="s">
        <v>117</v>
      </c>
      <c r="B58" s="130" t="s">
        <v>132</v>
      </c>
      <c r="C58" s="131">
        <v>0.36</v>
      </c>
      <c r="D58" s="131" t="s">
        <v>130</v>
      </c>
      <c r="E58" s="131">
        <v>1.56</v>
      </c>
      <c r="F58" s="132" t="s">
        <v>274</v>
      </c>
      <c r="G58" s="133">
        <v>0.6</v>
      </c>
      <c r="H58" s="131" t="s">
        <v>283</v>
      </c>
      <c r="I58" s="134">
        <v>1.03</v>
      </c>
      <c r="J58" s="98"/>
      <c r="K58" s="98"/>
      <c r="L58" s="98"/>
      <c r="M58" s="98"/>
      <c r="N58" s="98"/>
    </row>
    <row r="59" spans="1:14" x14ac:dyDescent="0.3">
      <c r="A59" s="129" t="s">
        <v>118</v>
      </c>
      <c r="B59" s="130" t="s">
        <v>132</v>
      </c>
      <c r="C59" s="131">
        <v>0.36799999999999999</v>
      </c>
      <c r="D59" s="131" t="s">
        <v>130</v>
      </c>
      <c r="E59" s="131">
        <v>1.56</v>
      </c>
      <c r="F59" s="132" t="s">
        <v>274</v>
      </c>
      <c r="G59" s="133">
        <v>0.6</v>
      </c>
      <c r="H59" s="131" t="s">
        <v>283</v>
      </c>
      <c r="I59" s="134">
        <v>1.03</v>
      </c>
      <c r="J59" s="98"/>
      <c r="K59" s="98"/>
      <c r="L59" s="98"/>
      <c r="M59" s="98"/>
      <c r="N59" s="98"/>
    </row>
    <row r="60" spans="1:14" x14ac:dyDescent="0.3">
      <c r="A60" s="129" t="s">
        <v>119</v>
      </c>
      <c r="B60" s="130" t="s">
        <v>132</v>
      </c>
      <c r="C60" s="131">
        <v>0.30599999999999999</v>
      </c>
      <c r="D60" s="131" t="s">
        <v>130</v>
      </c>
      <c r="E60" s="131">
        <v>1.56</v>
      </c>
      <c r="F60" s="132" t="s">
        <v>274</v>
      </c>
      <c r="G60" s="133">
        <v>0.6</v>
      </c>
      <c r="H60" s="131" t="s">
        <v>283</v>
      </c>
      <c r="I60" s="134">
        <v>1.03</v>
      </c>
      <c r="J60" s="98"/>
      <c r="K60" s="98"/>
      <c r="L60" s="98"/>
      <c r="M60" s="98"/>
      <c r="N60" s="98"/>
    </row>
    <row r="61" spans="1:14" x14ac:dyDescent="0.3">
      <c r="A61" s="129" t="s">
        <v>120</v>
      </c>
      <c r="B61" s="130" t="s">
        <v>132</v>
      </c>
      <c r="C61" s="131">
        <v>0.313</v>
      </c>
      <c r="D61" s="131" t="s">
        <v>130</v>
      </c>
      <c r="E61" s="131">
        <v>1.56</v>
      </c>
      <c r="F61" s="132" t="s">
        <v>274</v>
      </c>
      <c r="G61" s="133">
        <v>0.6</v>
      </c>
      <c r="H61" s="131" t="s">
        <v>283</v>
      </c>
      <c r="I61" s="134">
        <v>1.03</v>
      </c>
      <c r="J61" s="98"/>
      <c r="K61" s="98"/>
      <c r="L61" s="98"/>
      <c r="M61" s="98"/>
      <c r="N61" s="98"/>
    </row>
    <row r="62" spans="1:14" x14ac:dyDescent="0.3">
      <c r="A62" s="129" t="s">
        <v>32</v>
      </c>
      <c r="B62" s="130" t="s">
        <v>133</v>
      </c>
      <c r="C62" s="131">
        <v>0.37</v>
      </c>
      <c r="D62" s="131" t="s">
        <v>161</v>
      </c>
      <c r="E62" s="131">
        <v>1.56</v>
      </c>
      <c r="F62" s="132" t="s">
        <v>274</v>
      </c>
      <c r="G62" s="133">
        <v>0.6</v>
      </c>
      <c r="H62" s="131" t="s">
        <v>283</v>
      </c>
      <c r="I62" s="134">
        <v>1.03</v>
      </c>
      <c r="J62" s="98"/>
      <c r="K62" s="98"/>
      <c r="L62" s="98"/>
      <c r="M62" s="98"/>
      <c r="N62" s="98"/>
    </row>
    <row r="63" spans="1:14" x14ac:dyDescent="0.3">
      <c r="A63" s="129" t="s">
        <v>90</v>
      </c>
      <c r="B63" s="130" t="s">
        <v>83</v>
      </c>
      <c r="C63" s="131">
        <v>0.45</v>
      </c>
      <c r="D63" s="131" t="s">
        <v>161</v>
      </c>
      <c r="E63" s="131">
        <v>1.3</v>
      </c>
      <c r="F63" s="132" t="s">
        <v>274</v>
      </c>
      <c r="G63" s="133">
        <v>0.45</v>
      </c>
      <c r="H63" s="131" t="s">
        <v>276</v>
      </c>
      <c r="I63" s="134">
        <v>0.43</v>
      </c>
      <c r="J63" s="98"/>
      <c r="K63" s="98"/>
      <c r="L63" s="98"/>
      <c r="M63" s="98"/>
      <c r="N63" s="98"/>
    </row>
    <row r="64" spans="1:14" x14ac:dyDescent="0.3">
      <c r="A64" s="129" t="s">
        <v>33</v>
      </c>
      <c r="B64" s="130" t="s">
        <v>134</v>
      </c>
      <c r="C64" s="131">
        <v>0.39</v>
      </c>
      <c r="D64" s="131" t="s">
        <v>161</v>
      </c>
      <c r="E64" s="131">
        <v>1.3</v>
      </c>
      <c r="F64" s="132" t="s">
        <v>274</v>
      </c>
      <c r="G64" s="133">
        <v>0.45</v>
      </c>
      <c r="H64" s="131" t="s">
        <v>276</v>
      </c>
      <c r="I64" s="134">
        <v>0.43</v>
      </c>
      <c r="J64" s="98"/>
      <c r="K64" s="98"/>
      <c r="L64" s="98"/>
      <c r="M64" s="98"/>
      <c r="N64" s="98"/>
    </row>
    <row r="65" spans="1:14" x14ac:dyDescent="0.3">
      <c r="A65" s="129" t="s">
        <v>34</v>
      </c>
      <c r="B65" s="130" t="s">
        <v>135</v>
      </c>
      <c r="C65" s="131">
        <v>0.44</v>
      </c>
      <c r="D65" s="131" t="s">
        <v>161</v>
      </c>
      <c r="E65" s="131">
        <v>1.3</v>
      </c>
      <c r="F65" s="132" t="s">
        <v>274</v>
      </c>
      <c r="G65" s="133">
        <v>0.45</v>
      </c>
      <c r="H65" s="131" t="s">
        <v>276</v>
      </c>
      <c r="I65" s="134">
        <v>0.43</v>
      </c>
      <c r="J65" s="98"/>
      <c r="K65" s="98"/>
      <c r="L65" s="98"/>
      <c r="M65" s="98"/>
      <c r="N65" s="98"/>
    </row>
    <row r="66" spans="1:14" x14ac:dyDescent="0.3">
      <c r="A66" s="129" t="s">
        <v>35</v>
      </c>
      <c r="B66" s="130" t="s">
        <v>84</v>
      </c>
      <c r="C66" s="131">
        <v>0.46</v>
      </c>
      <c r="D66" s="131" t="s">
        <v>161</v>
      </c>
      <c r="E66" s="131">
        <v>1.3</v>
      </c>
      <c r="F66" s="132" t="s">
        <v>274</v>
      </c>
      <c r="G66" s="133">
        <v>0.45</v>
      </c>
      <c r="H66" s="131" t="s">
        <v>276</v>
      </c>
      <c r="I66" s="134">
        <v>0.43</v>
      </c>
      <c r="J66" s="98"/>
      <c r="K66" s="98"/>
      <c r="L66" s="98"/>
      <c r="M66" s="98"/>
      <c r="N66" s="98"/>
    </row>
    <row r="67" spans="1:14" x14ac:dyDescent="0.3">
      <c r="A67" s="129" t="s">
        <v>36</v>
      </c>
      <c r="B67" s="130" t="s">
        <v>85</v>
      </c>
      <c r="C67" s="131">
        <v>0.46</v>
      </c>
      <c r="D67" s="131" t="s">
        <v>161</v>
      </c>
      <c r="E67" s="131">
        <v>1.3</v>
      </c>
      <c r="F67" s="132" t="s">
        <v>274</v>
      </c>
      <c r="G67" s="133">
        <v>0.45</v>
      </c>
      <c r="H67" s="131" t="s">
        <v>152</v>
      </c>
      <c r="I67" s="134">
        <v>0.59</v>
      </c>
      <c r="J67" s="98"/>
      <c r="K67" s="98"/>
      <c r="L67" s="98"/>
      <c r="M67" s="98"/>
      <c r="N67" s="98"/>
    </row>
    <row r="68" spans="1:14" x14ac:dyDescent="0.3">
      <c r="A68" s="129" t="s">
        <v>37</v>
      </c>
      <c r="B68" s="130" t="s">
        <v>136</v>
      </c>
      <c r="C68" s="131">
        <v>0.44</v>
      </c>
      <c r="D68" s="131" t="s">
        <v>161</v>
      </c>
      <c r="E68" s="131">
        <v>1.3</v>
      </c>
      <c r="F68" s="132" t="s">
        <v>274</v>
      </c>
      <c r="G68" s="133">
        <v>0.45</v>
      </c>
      <c r="H68" s="131" t="s">
        <v>276</v>
      </c>
      <c r="I68" s="134">
        <v>0.43</v>
      </c>
      <c r="J68" s="98"/>
      <c r="K68" s="98"/>
      <c r="L68" s="98"/>
      <c r="M68" s="98"/>
      <c r="N68" s="98"/>
    </row>
    <row r="69" spans="1:14" x14ac:dyDescent="0.3">
      <c r="A69" s="129" t="s">
        <v>38</v>
      </c>
      <c r="B69" s="130" t="s">
        <v>86</v>
      </c>
      <c r="C69" s="131">
        <v>0.46</v>
      </c>
      <c r="D69" s="131" t="s">
        <v>161</v>
      </c>
      <c r="E69" s="131">
        <v>1.3</v>
      </c>
      <c r="F69" s="132" t="s">
        <v>274</v>
      </c>
      <c r="G69" s="133">
        <v>0.45</v>
      </c>
      <c r="H69" s="131" t="s">
        <v>276</v>
      </c>
      <c r="I69" s="134">
        <v>0.43</v>
      </c>
      <c r="J69" s="98"/>
      <c r="K69" s="98"/>
      <c r="L69" s="98"/>
      <c r="M69" s="98"/>
      <c r="N69" s="98"/>
    </row>
    <row r="70" spans="1:14" x14ac:dyDescent="0.3">
      <c r="A70" s="129" t="s">
        <v>39</v>
      </c>
      <c r="B70" s="130" t="s">
        <v>137</v>
      </c>
      <c r="C70" s="131">
        <v>0.48</v>
      </c>
      <c r="D70" s="131" t="s">
        <v>161</v>
      </c>
      <c r="E70" s="131">
        <v>2.4</v>
      </c>
      <c r="F70" s="131" t="s">
        <v>284</v>
      </c>
      <c r="G70" s="133">
        <v>0.45</v>
      </c>
      <c r="H70" s="131" t="s">
        <v>276</v>
      </c>
      <c r="I70" s="134">
        <v>0.43</v>
      </c>
      <c r="J70" s="98"/>
      <c r="K70" s="98"/>
      <c r="L70" s="98"/>
      <c r="M70" s="98"/>
      <c r="N70" s="98"/>
    </row>
    <row r="71" spans="1:14" x14ac:dyDescent="0.3">
      <c r="A71" s="129" t="s">
        <v>40</v>
      </c>
      <c r="B71" s="130" t="s">
        <v>87</v>
      </c>
      <c r="C71" s="131">
        <v>0.46</v>
      </c>
      <c r="D71" s="131" t="s">
        <v>150</v>
      </c>
      <c r="E71" s="131">
        <v>1.3</v>
      </c>
      <c r="F71" s="132" t="s">
        <v>274</v>
      </c>
      <c r="G71" s="133">
        <v>0.45</v>
      </c>
      <c r="H71" s="131" t="s">
        <v>276</v>
      </c>
      <c r="I71" s="134">
        <v>0.43</v>
      </c>
      <c r="J71" s="98"/>
      <c r="K71" s="98"/>
      <c r="L71" s="98"/>
      <c r="M71" s="98"/>
      <c r="N71" s="98"/>
    </row>
    <row r="72" spans="1:14" x14ac:dyDescent="0.3">
      <c r="A72" s="129" t="s">
        <v>41</v>
      </c>
      <c r="B72" s="130" t="s">
        <v>88</v>
      </c>
      <c r="C72" s="131">
        <v>0.44</v>
      </c>
      <c r="D72" s="131" t="s">
        <v>161</v>
      </c>
      <c r="E72" s="131">
        <v>1.3</v>
      </c>
      <c r="F72" s="132" t="s">
        <v>274</v>
      </c>
      <c r="G72" s="133">
        <v>0.45</v>
      </c>
      <c r="H72" s="131" t="s">
        <v>276</v>
      </c>
      <c r="I72" s="134">
        <v>0.43</v>
      </c>
      <c r="J72" s="98"/>
      <c r="K72" s="98"/>
      <c r="L72" s="98"/>
      <c r="M72" s="98"/>
      <c r="N72" s="98"/>
    </row>
    <row r="73" spans="1:14" x14ac:dyDescent="0.3">
      <c r="A73" s="129" t="s">
        <v>138</v>
      </c>
      <c r="B73" s="130" t="s">
        <v>140</v>
      </c>
      <c r="C73" s="131">
        <v>0.46</v>
      </c>
      <c r="D73" s="131" t="s">
        <v>151</v>
      </c>
      <c r="E73" s="131">
        <v>1.3</v>
      </c>
      <c r="F73" s="132" t="s">
        <v>274</v>
      </c>
      <c r="G73" s="133">
        <v>0.45</v>
      </c>
      <c r="H73" s="131" t="s">
        <v>276</v>
      </c>
      <c r="I73" s="134">
        <v>0.43</v>
      </c>
      <c r="J73" s="98"/>
      <c r="K73" s="98"/>
      <c r="L73" s="98"/>
      <c r="M73" s="98"/>
      <c r="N73" s="98"/>
    </row>
    <row r="74" spans="1:14" x14ac:dyDescent="0.3">
      <c r="A74" s="129" t="s">
        <v>42</v>
      </c>
      <c r="B74" s="130" t="s">
        <v>139</v>
      </c>
      <c r="C74" s="131">
        <v>0.34</v>
      </c>
      <c r="D74" s="131" t="s">
        <v>161</v>
      </c>
      <c r="E74" s="131">
        <v>1.3</v>
      </c>
      <c r="F74" s="132" t="s">
        <v>274</v>
      </c>
      <c r="G74" s="133">
        <v>0.45</v>
      </c>
      <c r="H74" s="131" t="s">
        <v>276</v>
      </c>
      <c r="I74" s="134">
        <v>0.43</v>
      </c>
      <c r="J74" s="98"/>
      <c r="K74" s="98"/>
      <c r="L74" s="98"/>
      <c r="M74" s="98"/>
      <c r="N74" s="98"/>
    </row>
    <row r="75" spans="1:14" x14ac:dyDescent="0.3">
      <c r="A75" s="129" t="s">
        <v>43</v>
      </c>
      <c r="B75" s="130" t="s">
        <v>162</v>
      </c>
      <c r="C75" s="131">
        <v>0.5</v>
      </c>
      <c r="D75" s="131" t="s">
        <v>161</v>
      </c>
      <c r="E75" s="131">
        <v>1.56</v>
      </c>
      <c r="F75" s="132" t="s">
        <v>274</v>
      </c>
      <c r="G75" s="133">
        <v>0.53</v>
      </c>
      <c r="H75" s="131" t="s">
        <v>275</v>
      </c>
      <c r="I75" s="134">
        <v>0.25</v>
      </c>
      <c r="J75" s="98"/>
      <c r="K75" s="98"/>
      <c r="L75" s="98"/>
      <c r="M75" s="98"/>
      <c r="N75" s="98"/>
    </row>
    <row r="76" spans="1:14" x14ac:dyDescent="0.3">
      <c r="A76" s="129" t="s">
        <v>44</v>
      </c>
      <c r="B76" s="130" t="s">
        <v>89</v>
      </c>
      <c r="C76" s="131">
        <v>0.57999999999999996</v>
      </c>
      <c r="D76" s="131" t="s">
        <v>161</v>
      </c>
      <c r="E76" s="131">
        <v>1.56</v>
      </c>
      <c r="F76" s="132" t="s">
        <v>274</v>
      </c>
      <c r="G76" s="133">
        <v>0.3</v>
      </c>
      <c r="H76" s="131" t="s">
        <v>277</v>
      </c>
      <c r="I76" s="134">
        <v>0.25</v>
      </c>
      <c r="J76" s="98"/>
      <c r="K76" s="98"/>
      <c r="L76" s="98"/>
      <c r="M76" s="98"/>
      <c r="N76" s="98"/>
    </row>
    <row r="77" spans="1:14" x14ac:dyDescent="0.3">
      <c r="A77" s="129" t="s">
        <v>47</v>
      </c>
      <c r="B77" s="130" t="s">
        <v>141</v>
      </c>
      <c r="C77" s="131">
        <v>0.37</v>
      </c>
      <c r="D77" s="131" t="s">
        <v>161</v>
      </c>
      <c r="E77" s="131">
        <v>1.3</v>
      </c>
      <c r="F77" s="132" t="s">
        <v>274</v>
      </c>
      <c r="G77" s="133">
        <v>0.55000000000000004</v>
      </c>
      <c r="H77" s="131" t="s">
        <v>152</v>
      </c>
      <c r="I77" s="134">
        <v>0.43</v>
      </c>
      <c r="J77" s="98"/>
      <c r="K77" s="98"/>
      <c r="L77" s="98"/>
      <c r="M77" s="98"/>
      <c r="N77" s="98"/>
    </row>
    <row r="78" spans="1:14" x14ac:dyDescent="0.3">
      <c r="A78" s="129" t="s">
        <v>45</v>
      </c>
      <c r="B78" s="130" t="s">
        <v>96</v>
      </c>
      <c r="C78" s="131">
        <v>0.37</v>
      </c>
      <c r="D78" s="131" t="s">
        <v>161</v>
      </c>
      <c r="E78" s="131">
        <v>1.3</v>
      </c>
      <c r="F78" s="132" t="s">
        <v>274</v>
      </c>
      <c r="G78" s="133">
        <v>0.55000000000000004</v>
      </c>
      <c r="H78" s="131" t="s">
        <v>152</v>
      </c>
      <c r="I78" s="134">
        <v>0.43</v>
      </c>
      <c r="J78" s="98"/>
      <c r="K78" s="98"/>
      <c r="L78" s="98"/>
      <c r="M78" s="98"/>
      <c r="N78" s="98"/>
    </row>
    <row r="79" spans="1:14" x14ac:dyDescent="0.3">
      <c r="A79" s="129" t="s">
        <v>46</v>
      </c>
      <c r="B79" s="130" t="s">
        <v>95</v>
      </c>
      <c r="C79" s="131">
        <v>0.38</v>
      </c>
      <c r="D79" s="131" t="s">
        <v>161</v>
      </c>
      <c r="E79" s="131">
        <v>1.3</v>
      </c>
      <c r="F79" s="132" t="s">
        <v>274</v>
      </c>
      <c r="G79" s="133">
        <v>0.55000000000000004</v>
      </c>
      <c r="H79" s="131" t="s">
        <v>153</v>
      </c>
      <c r="I79" s="134">
        <v>0.43</v>
      </c>
      <c r="J79" s="98"/>
      <c r="K79" s="98"/>
      <c r="L79" s="98"/>
      <c r="M79" s="98"/>
      <c r="N79" s="98"/>
    </row>
    <row r="80" spans="1:14" x14ac:dyDescent="0.3">
      <c r="A80" s="129" t="s">
        <v>48</v>
      </c>
      <c r="B80" s="130" t="s">
        <v>94</v>
      </c>
      <c r="C80" s="131">
        <v>0.36</v>
      </c>
      <c r="D80" s="131" t="s">
        <v>161</v>
      </c>
      <c r="E80" s="131">
        <v>1.3</v>
      </c>
      <c r="F80" s="132" t="s">
        <v>274</v>
      </c>
      <c r="G80" s="133">
        <v>0.55000000000000004</v>
      </c>
      <c r="H80" s="131" t="s">
        <v>153</v>
      </c>
      <c r="I80" s="134">
        <v>0.43</v>
      </c>
      <c r="J80" s="98"/>
      <c r="K80" s="98"/>
      <c r="L80" s="98"/>
      <c r="M80" s="98"/>
      <c r="N80" s="98"/>
    </row>
    <row r="81" spans="1:14" x14ac:dyDescent="0.3">
      <c r="A81" s="129" t="s">
        <v>49</v>
      </c>
      <c r="B81" s="130" t="s">
        <v>142</v>
      </c>
      <c r="C81" s="131">
        <v>0.37</v>
      </c>
      <c r="D81" s="131" t="s">
        <v>161</v>
      </c>
      <c r="E81" s="131">
        <v>1.56</v>
      </c>
      <c r="F81" s="132" t="s">
        <v>274</v>
      </c>
      <c r="G81" s="133">
        <v>0.43</v>
      </c>
      <c r="H81" s="131" t="s">
        <v>278</v>
      </c>
      <c r="I81" s="134">
        <v>0.25</v>
      </c>
      <c r="J81" s="98"/>
      <c r="K81" s="98"/>
      <c r="L81" s="98"/>
      <c r="M81" s="98"/>
      <c r="N81" s="98"/>
    </row>
    <row r="82" spans="1:14" x14ac:dyDescent="0.3">
      <c r="A82" s="129" t="s">
        <v>158</v>
      </c>
      <c r="B82" s="130" t="s">
        <v>159</v>
      </c>
      <c r="C82" s="131">
        <v>0.35</v>
      </c>
      <c r="D82" s="131" t="s">
        <v>160</v>
      </c>
      <c r="E82" s="131">
        <v>1.3</v>
      </c>
      <c r="F82" s="132" t="s">
        <v>274</v>
      </c>
      <c r="G82" s="133">
        <v>0.55000000000000004</v>
      </c>
      <c r="H82" s="131" t="s">
        <v>153</v>
      </c>
      <c r="I82" s="134">
        <v>0.43</v>
      </c>
      <c r="J82" s="98"/>
      <c r="K82" s="98"/>
      <c r="L82" s="98"/>
      <c r="M82" s="98"/>
      <c r="N82" s="98"/>
    </row>
    <row r="83" spans="1:14" x14ac:dyDescent="0.3">
      <c r="A83" s="129" t="s">
        <v>156</v>
      </c>
      <c r="B83" s="130" t="s">
        <v>157</v>
      </c>
      <c r="C83" s="131">
        <v>0.34</v>
      </c>
      <c r="D83" s="131" t="s">
        <v>161</v>
      </c>
      <c r="E83" s="131">
        <v>1.3</v>
      </c>
      <c r="F83" s="132" t="s">
        <v>274</v>
      </c>
      <c r="G83" s="133">
        <v>0.55000000000000004</v>
      </c>
      <c r="H83" s="131" t="s">
        <v>153</v>
      </c>
      <c r="I83" s="134">
        <v>0.43</v>
      </c>
      <c r="J83" s="98"/>
      <c r="K83" s="98"/>
      <c r="L83" s="98"/>
      <c r="M83" s="98"/>
      <c r="N83" s="98"/>
    </row>
    <row r="84" spans="1:14" x14ac:dyDescent="0.3">
      <c r="A84" s="129" t="s">
        <v>92</v>
      </c>
      <c r="B84" s="130" t="s">
        <v>93</v>
      </c>
      <c r="C84" s="131">
        <v>0.31</v>
      </c>
      <c r="D84" s="131" t="s">
        <v>161</v>
      </c>
      <c r="E84" s="131">
        <v>1.3</v>
      </c>
      <c r="F84" s="132" t="s">
        <v>274</v>
      </c>
      <c r="G84" s="133">
        <v>0.55000000000000004</v>
      </c>
      <c r="H84" s="131" t="s">
        <v>153</v>
      </c>
      <c r="I84" s="134">
        <v>0.43</v>
      </c>
      <c r="J84" s="98"/>
      <c r="K84" s="98"/>
      <c r="L84" s="98"/>
      <c r="M84" s="98"/>
      <c r="N84" s="98"/>
    </row>
    <row r="85" spans="1:14" x14ac:dyDescent="0.3">
      <c r="A85" s="129" t="s">
        <v>50</v>
      </c>
      <c r="B85" s="130" t="s">
        <v>143</v>
      </c>
      <c r="C85" s="131">
        <v>0.43</v>
      </c>
      <c r="D85" s="131" t="s">
        <v>161</v>
      </c>
      <c r="E85" s="131">
        <v>1.56</v>
      </c>
      <c r="F85" s="132" t="s">
        <v>274</v>
      </c>
      <c r="G85" s="133">
        <v>0.53</v>
      </c>
      <c r="H85" s="131" t="s">
        <v>275</v>
      </c>
      <c r="I85" s="134">
        <v>0.25</v>
      </c>
      <c r="J85" s="98"/>
      <c r="K85" s="98"/>
      <c r="L85" s="98"/>
      <c r="M85" s="98"/>
      <c r="N85" s="98"/>
    </row>
    <row r="86" spans="1:14" x14ac:dyDescent="0.3">
      <c r="A86" s="129" t="s">
        <v>51</v>
      </c>
      <c r="B86" s="130" t="s">
        <v>91</v>
      </c>
      <c r="C86" s="131">
        <v>0.38</v>
      </c>
      <c r="D86" s="131" t="s">
        <v>161</v>
      </c>
      <c r="E86" s="131">
        <v>1.56</v>
      </c>
      <c r="F86" s="132" t="s">
        <v>274</v>
      </c>
      <c r="G86" s="133">
        <v>0.6</v>
      </c>
      <c r="H86" s="131" t="s">
        <v>279</v>
      </c>
      <c r="I86" s="134">
        <v>0.25</v>
      </c>
      <c r="J86" s="98"/>
      <c r="K86" s="98"/>
      <c r="L86" s="98"/>
      <c r="M86" s="98"/>
      <c r="N86" s="98"/>
    </row>
    <row r="87" spans="1:14" x14ac:dyDescent="0.3">
      <c r="A87" s="284" t="s">
        <v>321</v>
      </c>
      <c r="B87" s="285" t="s">
        <v>322</v>
      </c>
      <c r="C87" s="286">
        <v>0.41</v>
      </c>
      <c r="D87" s="286" t="s">
        <v>323</v>
      </c>
      <c r="E87" s="286">
        <v>1.56</v>
      </c>
      <c r="F87" s="287" t="s">
        <v>274</v>
      </c>
      <c r="G87" s="288">
        <v>0.43</v>
      </c>
      <c r="H87" s="286" t="s">
        <v>278</v>
      </c>
      <c r="I87" s="289">
        <v>0.25</v>
      </c>
      <c r="J87" s="98"/>
      <c r="K87" s="98"/>
      <c r="L87" s="98"/>
      <c r="M87" s="98"/>
      <c r="N87" s="98"/>
    </row>
    <row r="88" spans="1:14" x14ac:dyDescent="0.3">
      <c r="A88" s="129" t="s">
        <v>148</v>
      </c>
      <c r="B88" s="137"/>
      <c r="C88" s="131">
        <v>0.42</v>
      </c>
      <c r="D88" s="131" t="s">
        <v>161</v>
      </c>
      <c r="E88" s="131">
        <v>1.3</v>
      </c>
      <c r="F88" s="132" t="s">
        <v>274</v>
      </c>
      <c r="G88" s="138"/>
      <c r="H88" s="137"/>
      <c r="I88" s="139"/>
    </row>
    <row r="89" spans="1:14" ht="15" thickBot="1" x14ac:dyDescent="0.35">
      <c r="A89" s="140" t="s">
        <v>149</v>
      </c>
      <c r="B89" s="141"/>
      <c r="C89" s="142">
        <v>0.56999999999999995</v>
      </c>
      <c r="D89" s="143" t="s">
        <v>161</v>
      </c>
      <c r="E89" s="142">
        <v>1.56</v>
      </c>
      <c r="F89" s="142" t="s">
        <v>274</v>
      </c>
      <c r="G89" s="141"/>
      <c r="H89" s="141"/>
      <c r="I89" s="144"/>
    </row>
    <row r="93" spans="1:14" x14ac:dyDescent="0.3">
      <c r="A93" s="129" t="s">
        <v>208</v>
      </c>
    </row>
    <row r="94" spans="1:14" x14ac:dyDescent="0.3">
      <c r="A94" s="129" t="s">
        <v>209</v>
      </c>
    </row>
    <row r="95" spans="1:14" x14ac:dyDescent="0.3">
      <c r="A95" s="129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topLeftCell="A3" zoomScale="85" zoomScaleNormal="85" workbookViewId="0">
      <selection activeCell="C32" sqref="C32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4"/>
      <c r="K1" s="10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15" t="s">
        <v>191</v>
      </c>
      <c r="C2" s="316"/>
      <c r="D2" s="316"/>
      <c r="E2" s="316"/>
      <c r="F2" s="316"/>
      <c r="G2" s="317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14"/>
      <c r="C4" s="314"/>
      <c r="D4" s="314"/>
      <c r="E4" s="314"/>
      <c r="F4" s="314"/>
      <c r="G4" s="314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5" t="s">
        <v>296</v>
      </c>
      <c r="C5" s="105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5"/>
      <c r="C6" s="235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6"/>
      <c r="B7" s="29" t="s">
        <v>295</v>
      </c>
      <c r="C7" s="107" t="s">
        <v>214</v>
      </c>
      <c r="D7" s="233"/>
      <c r="E7" s="108"/>
      <c r="F7" s="29" t="s">
        <v>295</v>
      </c>
      <c r="G7" s="107" t="s">
        <v>215</v>
      </c>
      <c r="H7" s="234"/>
      <c r="I7" s="234"/>
      <c r="J7" s="234"/>
      <c r="K7" s="234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</row>
    <row r="8" spans="1:38" ht="17.25" customHeight="1" x14ac:dyDescent="0.3">
      <c r="A8" s="112">
        <v>1</v>
      </c>
      <c r="B8" s="62">
        <v>0</v>
      </c>
      <c r="C8" s="52" t="s">
        <v>177</v>
      </c>
      <c r="D8" s="25"/>
      <c r="E8" s="112">
        <v>4</v>
      </c>
      <c r="F8" s="62">
        <v>1</v>
      </c>
      <c r="G8" s="109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2">
        <v>2</v>
      </c>
      <c r="B9" s="62">
        <v>0</v>
      </c>
      <c r="C9" s="115" t="s">
        <v>216</v>
      </c>
      <c r="D9" s="25"/>
      <c r="E9" s="112">
        <v>5</v>
      </c>
      <c r="F9" s="62">
        <v>0</v>
      </c>
      <c r="G9" s="110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2">
        <v>3</v>
      </c>
      <c r="B10" s="62">
        <v>0</v>
      </c>
      <c r="C10" s="116" t="s">
        <v>217</v>
      </c>
      <c r="D10" s="25"/>
      <c r="E10" s="5"/>
      <c r="F10" s="113">
        <f>SUM(F7:F9)</f>
        <v>1</v>
      </c>
      <c r="G10" s="111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3">
        <v>0</v>
      </c>
      <c r="C11" s="111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4"/>
      <c r="B13" s="114"/>
      <c r="C13" s="105" t="s">
        <v>273</v>
      </c>
      <c r="D13" s="234"/>
      <c r="E13" s="106"/>
      <c r="F13" s="114"/>
      <c r="G13" s="105" t="s">
        <v>301</v>
      </c>
      <c r="H13" s="234"/>
      <c r="I13" s="234"/>
      <c r="J13" s="234"/>
      <c r="K13" s="234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</row>
    <row r="14" spans="1:38" s="4" customFormat="1" ht="21" customHeight="1" x14ac:dyDescent="0.3">
      <c r="A14" s="234"/>
      <c r="B14" s="114"/>
      <c r="C14" s="105" t="s">
        <v>309</v>
      </c>
      <c r="D14" s="234"/>
      <c r="E14" s="106"/>
      <c r="F14" s="114"/>
      <c r="G14" s="105" t="s">
        <v>294</v>
      </c>
      <c r="H14" s="234"/>
      <c r="I14" s="234"/>
      <c r="J14" s="234"/>
      <c r="K14" s="234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2">
        <v>0</v>
      </c>
      <c r="C16" s="117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2">
        <v>0</v>
      </c>
      <c r="C17" s="117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2">
        <v>0</v>
      </c>
      <c r="C18" s="117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3">
        <f>SUM(B16:B18)</f>
        <v>0</v>
      </c>
      <c r="C19" s="111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7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opLeftCell="F1" zoomScale="90" zoomScaleNormal="90" workbookViewId="0">
      <selection activeCell="J7" sqref="J7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3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69"/>
      <c r="J1" s="69"/>
      <c r="K1" s="69"/>
      <c r="L1" s="69"/>
      <c r="M1" s="69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15" t="s">
        <v>271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7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29"/>
      <c r="J3" s="229"/>
      <c r="K3" s="229"/>
      <c r="L3" s="229"/>
      <c r="M3" s="229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29"/>
      <c r="J4" s="229"/>
      <c r="K4" s="229"/>
      <c r="L4" s="229"/>
      <c r="M4" s="229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5" t="s">
        <v>207</v>
      </c>
      <c r="B5" s="146" t="s">
        <v>250</v>
      </c>
      <c r="C5" s="147" t="str">
        <f>Calculateur!S2</f>
        <v>ΔStock moyen de long terme (tCO₂/ha)</v>
      </c>
      <c r="D5" s="147" t="str">
        <f>Calculateur!T2</f>
        <v>Δstock CO₂ 30 ans (tCO₂/ha)</v>
      </c>
      <c r="E5" s="147" t="s">
        <v>228</v>
      </c>
      <c r="F5" s="147" t="s">
        <v>239</v>
      </c>
      <c r="G5" s="147" t="s">
        <v>240</v>
      </c>
      <c r="H5" s="148" t="s">
        <v>241</v>
      </c>
      <c r="I5" s="149" t="s">
        <v>242</v>
      </c>
      <c r="J5" s="150" t="s">
        <v>243</v>
      </c>
      <c r="K5" s="151" t="s">
        <v>244</v>
      </c>
      <c r="L5" s="88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2" t="str">
        <f>IF('Données projet'!$B$9="","",'Données projet'!$B$9)</f>
        <v>Cèdre de l'Atlas</v>
      </c>
      <c r="B6" s="153">
        <f>'Données projet'!D9</f>
        <v>0.4</v>
      </c>
      <c r="C6" s="154">
        <f ca="1">IF(OR('Données projet'!B9="",'Données projet'!C9="",'Données projet'!C9=0%),0,Calculateur!S3)</f>
        <v>146.40889017442277</v>
      </c>
      <c r="D6" s="154">
        <f>IF(OR('Données projet'!B9="",'Données projet'!C9="",'Données projet'!C9=0%),0,Calculateur!T3)</f>
        <v>70.859031694091868</v>
      </c>
      <c r="E6" s="154">
        <f ca="1">MIN(C6,D6)</f>
        <v>70.859031694091868</v>
      </c>
      <c r="F6" s="154">
        <f ca="1">E6*B6</f>
        <v>28.343612677636749</v>
      </c>
      <c r="G6" s="154">
        <f ca="1">F6*(100%-'Données projet'!$C$24)*(100%-'Données projet'!$C$25)*(100%-'Données projet'!$C$26)*(100%-'Données projet'!$C$27)</f>
        <v>25.509251409873073</v>
      </c>
      <c r="H6" s="155">
        <f>IF(OR('Données projet'!B9="",'Données projet'!C9="",'Données projet'!C9=0%),0,AVERAGE(Calculateur!$AC$3:$AC$33)*B6)</f>
        <v>0</v>
      </c>
      <c r="I6" s="156">
        <f>H6*(100%-'Données projet'!$C$24)*(100%-'Données projet'!$C$25)*(100%-'Données projet'!$C$26)*(100%-'Données projet'!$C$27)</f>
        <v>0</v>
      </c>
      <c r="J6" s="157">
        <f>IF(OR('Données projet'!B9="",'Données projet'!C9="",'Données projet'!C9=0%),0,SUM(Calculateur!$V$3:$V$33)*VLOOKUP('Données projet'!$B$9,Paramètres!$A$1:$I$89,9,0)*B6)</f>
        <v>0</v>
      </c>
      <c r="K6" s="158">
        <f>J6*(100%-'Données projet'!$C$24)*(100%-'Données projet'!$C$25)*(100%-'Données projet'!$C$26)*(100%-'Données projet'!$C$27)</f>
        <v>0</v>
      </c>
      <c r="L6" s="159">
        <f ca="1">G6+I6+K6</f>
        <v>25.509251409873073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0" t="str">
        <f>IF('Données projet'!$B$10="","",'Données projet'!$B$10)</f>
        <v>Chêne sessile</v>
      </c>
      <c r="B7" s="161">
        <f>'Données projet'!D10</f>
        <v>1.2</v>
      </c>
      <c r="C7" s="154">
        <f ca="1">IF(OR('Données projet'!B10="",'Données projet'!C10="",'Données projet'!C10=0%),0,Calculateur!AN3)</f>
        <v>404.14319681142746</v>
      </c>
      <c r="D7" s="154">
        <f>IF(OR('Données projet'!B10="",'Données projet'!C10="",'Données projet'!C10=0%),0,Calculateur!AO3)</f>
        <v>203.5274665601915</v>
      </c>
      <c r="E7" s="154">
        <f t="shared" ref="E7:E15" ca="1" si="0">MIN(C7,D7)</f>
        <v>203.5274665601915</v>
      </c>
      <c r="F7" s="154">
        <f t="shared" ref="F7:F15" ca="1" si="1">E7*B7</f>
        <v>244.2329598722298</v>
      </c>
      <c r="G7" s="154">
        <f ca="1">F7*(100%-'Données projet'!$C$24)*(100%-'Données projet'!$C$25)*(100%-'Données projet'!$C$26)*(100%-'Données projet'!$C$27)</f>
        <v>219.80966388500681</v>
      </c>
      <c r="H7" s="162">
        <f>IF(OR('Données projet'!B10="",'Données projet'!C10="",'Données projet'!C10=0%),0,AVERAGE(Calculateur!$AX$3:$AX$33)*B7)</f>
        <v>0</v>
      </c>
      <c r="I7" s="156">
        <f>H7*(100%-'Données projet'!$C$24)*(100%-'Données projet'!$C$25)*(100%-'Données projet'!$C$26)*(100%-'Données projet'!$C$27)</f>
        <v>0</v>
      </c>
      <c r="J7" s="157">
        <f>IF(OR('Données projet'!B10="",'Données projet'!C10="",'Données projet'!C10=0%),0,SUM(Calculateur!$AQ$3:$AQ$33)*VLOOKUP('Données projet'!$B$10,Paramètres!$A$1:$I$89,9,0)*B7)</f>
        <v>10.199999999999999</v>
      </c>
      <c r="K7" s="158">
        <f>J7*(100%-'Données projet'!$C$24)*(100%-'Données projet'!$C$25)*(100%-'Données projet'!$C$26)*(100%-'Données projet'!$C$27)</f>
        <v>9.18</v>
      </c>
      <c r="L7" s="159">
        <f t="shared" ref="L7:L15" ca="1" si="2">G7+I7+K7</f>
        <v>228.98966388500682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0" t="str">
        <f>IF('Données projet'!$B$11="","",'Données projet'!$B$11)</f>
        <v>Chêne pubescent</v>
      </c>
      <c r="B8" s="161">
        <f>'Données projet'!D11</f>
        <v>1.2</v>
      </c>
      <c r="C8" s="154">
        <f ca="1">IF(OR('Données projet'!B11="",'Données projet'!C11="",'Données projet'!C11=0%),0,Calculateur!BI3)</f>
        <v>350.3652766444938</v>
      </c>
      <c r="D8" s="154">
        <f>IF(OR('Données projet'!B11="",'Données projet'!C11="",'Données projet'!C11=0%),0,Calculateur!BJ3)</f>
        <v>197.04549436738586</v>
      </c>
      <c r="E8" s="154">
        <f t="shared" ca="1" si="0"/>
        <v>197.04549436738586</v>
      </c>
      <c r="F8" s="154">
        <f t="shared" ca="1" si="1"/>
        <v>236.45459324086301</v>
      </c>
      <c r="G8" s="154">
        <f ca="1">F8*(100%-'Données projet'!$C$24)*(100%-'Données projet'!$C$25)*(100%-'Données projet'!$C$26)*(100%-'Données projet'!$C$27)</f>
        <v>212.80913391677672</v>
      </c>
      <c r="H8" s="162">
        <f>IF(OR('Données projet'!B11="",'Données projet'!C11="",'Données projet'!C11=0%),0,AVERAGE(Calculateur!$BS$3:$BS$33)*B8)</f>
        <v>0</v>
      </c>
      <c r="I8" s="156">
        <f>H8*(100%-'Données projet'!$C$24)*(100%-'Données projet'!$C$25)*(100%-'Données projet'!$C$26)*(100%-'Données projet'!$C$27)</f>
        <v>0</v>
      </c>
      <c r="J8" s="157">
        <f>IF(OR('Données projet'!B11="",'Données projet'!C11="",'Données projet'!C11=0%),0,SUM(Calculateur!$BL$3:$BL$33)*VLOOKUP('Données projet'!$B$11,Paramètres!$A$1:$I$89,9,0)*B8)</f>
        <v>8.6999999999999993</v>
      </c>
      <c r="K8" s="158">
        <f>J8*(100%-'Données projet'!$C$24)*(100%-'Données projet'!$C$25)*(100%-'Données projet'!$C$26)*(100%-'Données projet'!$C$27)</f>
        <v>7.8299999999999992</v>
      </c>
      <c r="L8" s="159">
        <f t="shared" ca="1" si="2"/>
        <v>220.63913391677673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0" t="str">
        <f>IF('Données projet'!$B$12="","",'Données projet'!$B$12)</f>
        <v>Alisier torminal</v>
      </c>
      <c r="B9" s="161">
        <f>'Données projet'!D12</f>
        <v>0.4</v>
      </c>
      <c r="C9" s="154">
        <f ca="1">IF(OR('Données projet'!B12="",'Données projet'!C12="",'Données projet'!C12=0%),0,Calculateur!CD3)</f>
        <v>330.39429528665841</v>
      </c>
      <c r="D9" s="154">
        <f>IF(OR('Données projet'!B12="",'Données projet'!C12="",'Données projet'!C12=0%),0,Calculateur!CE3)</f>
        <v>186.45728006007261</v>
      </c>
      <c r="E9" s="154">
        <f t="shared" ca="1" si="0"/>
        <v>186.45728006007261</v>
      </c>
      <c r="F9" s="154">
        <f t="shared" ca="1" si="1"/>
        <v>74.582912024029042</v>
      </c>
      <c r="G9" s="154">
        <f ca="1">F9*(100%-'Données projet'!$C$24)*(100%-'Données projet'!$C$25)*(100%-'Données projet'!$C$26)*(100%-'Données projet'!$C$27)</f>
        <v>67.124620821626138</v>
      </c>
      <c r="H9" s="162">
        <f>IF(OR('Données projet'!B12="",'Données projet'!C12="",'Données projet'!C12=0%),0,AVERAGE(Calculateur!$CN$3:$CN$33)*B9)</f>
        <v>0</v>
      </c>
      <c r="I9" s="156">
        <f>H9*(100%-'Données projet'!$C$24)*(100%-'Données projet'!$C$25)*(100%-'Données projet'!$C$26)*(100%-'Données projet'!$C$27)</f>
        <v>0</v>
      </c>
      <c r="J9" s="157">
        <f>IF(OR('Données projet'!B12="",'Données projet'!C12="",'Données projet'!C12=0%),0,SUM(Calculateur!$CG$3:$CG$33)*VLOOKUP('Données projet'!$B$12,Paramètres!$A$1:$I$89,9,0)*B9)</f>
        <v>2.9000000000000004</v>
      </c>
      <c r="K9" s="158">
        <f>J9*(100%-'Données projet'!$C$24)*(100%-'Données projet'!$C$25)*(100%-'Données projet'!$C$26)*(100%-'Données projet'!$C$27)</f>
        <v>2.6100000000000003</v>
      </c>
      <c r="L9" s="159">
        <f t="shared" ca="1" si="2"/>
        <v>69.734620821626137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0" t="str">
        <f>IF('Données projet'!$B$13="","",'Données projet'!$B$13)</f>
        <v>Cormier</v>
      </c>
      <c r="B10" s="161">
        <f>'Données projet'!D13</f>
        <v>0.4</v>
      </c>
      <c r="C10" s="154">
        <f ca="1">IF(OR('Données projet'!B13="",'Données projet'!C13="",'Données projet'!C13=0%),0,Calculateur!CY3)</f>
        <v>376.96388721258387</v>
      </c>
      <c r="D10" s="154">
        <f>IF(OR('Données projet'!B13="",'Données projet'!C13="",'Données projet'!C13=0%),0,Calculateur!CZ3)</f>
        <v>211.14628470344377</v>
      </c>
      <c r="E10" s="154">
        <f t="shared" ca="1" si="0"/>
        <v>211.14628470344377</v>
      </c>
      <c r="F10" s="154">
        <f t="shared" ca="1" si="1"/>
        <v>84.458513881377513</v>
      </c>
      <c r="G10" s="154">
        <f ca="1">F10*(100%-'Données projet'!$C$24)*(100%-'Données projet'!$C$25)*(100%-'Données projet'!$C$26)*(100%-'Données projet'!$C$27)</f>
        <v>76.012662493239759</v>
      </c>
      <c r="H10" s="162">
        <f>IF(OR('Données projet'!B13="",'Données projet'!C13="",'Données projet'!C13=0%),0,AVERAGE(Calculateur!$DI$3:$DI$33)*B10)</f>
        <v>0</v>
      </c>
      <c r="I10" s="156">
        <f>H10*(100%-'Données projet'!$C$24)*(100%-'Données projet'!$C$25)*(100%-'Données projet'!$C$26)*(100%-'Données projet'!$C$27)</f>
        <v>0</v>
      </c>
      <c r="J10" s="157">
        <f>IF(OR('Données projet'!B13="",'Données projet'!C13="",'Données projet'!C13=0%),0,SUM(Calculateur!$DB$3:$DB$33)*VLOOKUP('Données projet'!$B$13,Paramètres!$A$1:$I$89,9,0)*B10)</f>
        <v>2.9000000000000004</v>
      </c>
      <c r="K10" s="158">
        <f>J10*(100%-'Données projet'!$C$24)*(100%-'Données projet'!$C$25)*(100%-'Données projet'!$C$26)*(100%-'Données projet'!$C$27)</f>
        <v>2.6100000000000003</v>
      </c>
      <c r="L10" s="159">
        <f t="shared" ca="1" si="2"/>
        <v>78.622662493239758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0" t="str">
        <f>IF('Données projet'!$B$14="","",'Données projet'!$B$14)</f>
        <v>Tilleul</v>
      </c>
      <c r="B11" s="161">
        <f>'Données projet'!D14</f>
        <v>0.4</v>
      </c>
      <c r="C11" s="154">
        <f ca="1">IF(OR('Données projet'!B14="",'Données projet'!C14="",'Données projet'!C14=0%),0,Calculateur!DT3)</f>
        <v>212.33913923444732</v>
      </c>
      <c r="D11" s="154">
        <f>IF(OR('Données projet'!B14="",'Données projet'!C14="",'Données projet'!C14=0%),0,Calculateur!DU3)</f>
        <v>183.51194426094372</v>
      </c>
      <c r="E11" s="154">
        <f t="shared" ca="1" si="0"/>
        <v>183.51194426094372</v>
      </c>
      <c r="F11" s="154">
        <f t="shared" ca="1" si="1"/>
        <v>73.404777704377494</v>
      </c>
      <c r="G11" s="154">
        <f ca="1">F11*(100%-'Données projet'!$C$24)*(100%-'Données projet'!$C$25)*(100%-'Données projet'!$C$26)*(100%-'Données projet'!$C$27)</f>
        <v>66.064299933939751</v>
      </c>
      <c r="H11" s="162">
        <f>IF(OR('Données projet'!B14="",'Données projet'!C14="",'Données projet'!C14=0%),0,AVERAGE(Calculateur!$ED$3:$ED$33)*B11)</f>
        <v>0</v>
      </c>
      <c r="I11" s="156">
        <f>H11*(100%-'Données projet'!$C$24)*(100%-'Données projet'!$C$25)*(100%-'Données projet'!$C$26)*(100%-'Données projet'!$C$27)</f>
        <v>0</v>
      </c>
      <c r="J11" s="157">
        <f>IF(OR('Données projet'!B14="",'Données projet'!C14="",'Données projet'!C14=0%),0,SUM(Calculateur!$DW$3:$DW$33)*VLOOKUP('Données projet'!$B$14,Paramètres!$A$1:$I$89,9,0)*B11)</f>
        <v>5.7051282051282053</v>
      </c>
      <c r="K11" s="158">
        <f>J11*(100%-'Données projet'!$C$24)*(100%-'Données projet'!$C$25)*(100%-'Données projet'!$C$26)*(100%-'Données projet'!$C$27)</f>
        <v>5.134615384615385</v>
      </c>
      <c r="L11" s="159">
        <f t="shared" ca="1" si="2"/>
        <v>71.198915318555137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0" t="str">
        <f>IF('Données projet'!$B$15="","",'Données projet'!$B$15)</f>
        <v/>
      </c>
      <c r="B12" s="161">
        <f>'Données projet'!D15</f>
        <v>0</v>
      </c>
      <c r="C12" s="154">
        <f>IF(OR('Données projet'!B15="",'Données projet'!C15="",'Données projet'!C15=0%),0,Calculateur!EO3)</f>
        <v>0</v>
      </c>
      <c r="D12" s="154">
        <f>IF(OR('Données projet'!B15="",'Données projet'!C15="",'Données projet'!C15=0%),0,Calculateur!EP3)</f>
        <v>0</v>
      </c>
      <c r="E12" s="154">
        <f t="shared" si="0"/>
        <v>0</v>
      </c>
      <c r="F12" s="154">
        <f t="shared" si="1"/>
        <v>0</v>
      </c>
      <c r="G12" s="154">
        <f>F12*(100%-'Données projet'!$C$24)*(100%-'Données projet'!$C$25)*(100%-'Données projet'!$C$26)*(100%-'Données projet'!$C$27)</f>
        <v>0</v>
      </c>
      <c r="H12" s="162">
        <f>IF(OR('Données projet'!B15="",'Données projet'!C15="",'Données projet'!C15=0%),0,AVERAGE(Calculateur!$EY$3:$EY$33)*B12)</f>
        <v>0</v>
      </c>
      <c r="I12" s="156">
        <f>H12*(100%-'Données projet'!$C$24)*(100%-'Données projet'!$C$25)*(100%-'Données projet'!$C$26)*(100%-'Données projet'!$C$27)</f>
        <v>0</v>
      </c>
      <c r="J12" s="157">
        <f>IF(OR('Données projet'!B15="",'Données projet'!C15="",'Données projet'!C15=0%),0,SUM(Calculateur!$ER$3:$ER$33)*VLOOKUP('Données projet'!$B$15,Paramètres!$A$1:$I$89,9,0)*B12)</f>
        <v>0</v>
      </c>
      <c r="K12" s="158">
        <f>J12*(100%-'Données projet'!$C$24)*(100%-'Données projet'!$C$25)*(100%-'Données projet'!$C$26)*(100%-'Données projet'!$C$27)</f>
        <v>0</v>
      </c>
      <c r="L12" s="159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0" t="str">
        <f>IF('Données projet'!$B$16="","",'Données projet'!$B$16)</f>
        <v/>
      </c>
      <c r="B13" s="161">
        <f>'Données projet'!D16</f>
        <v>0</v>
      </c>
      <c r="C13" s="154">
        <f>IF(OR('Données projet'!B16="",'Données projet'!C16="",'Données projet'!C16=0%),0,Calculateur!FJ3)</f>
        <v>0</v>
      </c>
      <c r="D13" s="154">
        <f>IF(OR('Données projet'!B16="",'Données projet'!C16="",'Données projet'!C16=0%),0,Calculateur!FK3)</f>
        <v>0</v>
      </c>
      <c r="E13" s="154">
        <f t="shared" si="0"/>
        <v>0</v>
      </c>
      <c r="F13" s="154">
        <f t="shared" si="1"/>
        <v>0</v>
      </c>
      <c r="G13" s="154">
        <f>F13*(100%-'Données projet'!$C$24)*(100%-'Données projet'!$C$25)*(100%-'Données projet'!$C$26)*(100%-'Données projet'!$C$27)</f>
        <v>0</v>
      </c>
      <c r="H13" s="162">
        <f>IF(OR('Données projet'!B16="",'Données projet'!C16="",'Données projet'!C16=0%),0,AVERAGE(Calculateur!$FT$3:$FT$33)*B13)</f>
        <v>0</v>
      </c>
      <c r="I13" s="156">
        <f>H13*(100%-'Données projet'!$C$24)*(100%-'Données projet'!$C$25)*(100%-'Données projet'!$C$26)*(100%-'Données projet'!$C$27)</f>
        <v>0</v>
      </c>
      <c r="J13" s="157">
        <f>IF(OR('Données projet'!C16="",'Données projet'!C16=0%),0,SUM(Calculateur!$FM$3:$FM$33)*VLOOKUP('Données projet'!$B$16,Paramètres!$A$1:$I$89,9,0)*B13)</f>
        <v>0</v>
      </c>
      <c r="K13" s="158">
        <f>J13*(100%-'Données projet'!$C$24)*(100%-'Données projet'!$C$25)*(100%-'Données projet'!$C$26)*(100%-'Données projet'!$C$27)</f>
        <v>0</v>
      </c>
      <c r="L13" s="159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0" t="str">
        <f>IF('Données projet'!$B$17="","",'Données projet'!$B$17)</f>
        <v/>
      </c>
      <c r="B14" s="161">
        <f>'Données projet'!D17</f>
        <v>0</v>
      </c>
      <c r="C14" s="154">
        <f>IF(OR('Données projet'!B17="",'Données projet'!C17="",'Données projet'!C17=0%),0,Calculateur!GE3)</f>
        <v>0</v>
      </c>
      <c r="D14" s="154">
        <f>IF(OR('Données projet'!B17="",'Données projet'!C17="",'Données projet'!C17=0%),0,Calculateur!GF3)</f>
        <v>0</v>
      </c>
      <c r="E14" s="154">
        <f t="shared" si="0"/>
        <v>0</v>
      </c>
      <c r="F14" s="154">
        <f t="shared" si="1"/>
        <v>0</v>
      </c>
      <c r="G14" s="154">
        <f>F14*(100%-'Données projet'!$C$24)*(100%-'Données projet'!$C$25)*(100%-'Données projet'!$C$26)*(100%-'Données projet'!$C$27)</f>
        <v>0</v>
      </c>
      <c r="H14" s="162">
        <f>IF(OR('Données projet'!B17="",'Données projet'!C17="",'Données projet'!C17=0%),0,AVERAGE(Calculateur!$GO$3:$GO$33)*B14)</f>
        <v>0</v>
      </c>
      <c r="I14" s="156">
        <f>H14*(100%-'Données projet'!$C$24)*(100%-'Données projet'!$C$25)*(100%-'Données projet'!$C$26)*(100%-'Données projet'!$C$27)</f>
        <v>0</v>
      </c>
      <c r="J14" s="157">
        <f>IF(OR('Données projet'!B17="",'Données projet'!C17="",'Données projet'!C17=0%),0,SUM(Calculateur!$GH$3:$GH$33)*VLOOKUP('Données projet'!$B$17,Paramètres!$A$1:$I$89,9,0)*B14)</f>
        <v>0</v>
      </c>
      <c r="K14" s="158">
        <f>J14*(100%-'Données projet'!$C$24)*(100%-'Données projet'!$C$25)*(100%-'Données projet'!$C$26)*(100%-'Données projet'!$C$27)</f>
        <v>0</v>
      </c>
      <c r="L14" s="159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3" t="str">
        <f>IF('Données projet'!B18="","",'Données projet'!B18)</f>
        <v/>
      </c>
      <c r="B15" s="164">
        <f>'Données projet'!D18</f>
        <v>0</v>
      </c>
      <c r="C15" s="165">
        <f>IF(OR('Données projet'!B18="",'Données projet'!C18="",'Données projet'!C18=0%),0,Calculateur!GZ3)</f>
        <v>0</v>
      </c>
      <c r="D15" s="165">
        <f>IF(OR('Données projet'!B18="",'Données projet'!C18="",'Données projet'!C18=0%),0,Calculateur!HA3)</f>
        <v>0</v>
      </c>
      <c r="E15" s="165">
        <f t="shared" si="0"/>
        <v>0</v>
      </c>
      <c r="F15" s="166">
        <f t="shared" si="1"/>
        <v>0</v>
      </c>
      <c r="G15" s="166">
        <f>F15*(100%-'Données projet'!$C$24)*(100%-'Données projet'!$C$25)*(100%-'Données projet'!$C$26)*(100%-'Données projet'!$C$27)</f>
        <v>0</v>
      </c>
      <c r="H15" s="167">
        <f>IF(OR('Données projet'!B18="",'Données projet'!C18="",'Données projet'!C18=0%),0,AVERAGE(Calculateur!$HJ$3:$HJ$33)*B15)</f>
        <v>0</v>
      </c>
      <c r="I15" s="168">
        <f>H15*(100%-'Données projet'!$C$24)*(100%-'Données projet'!$C$25)*(100%-'Données projet'!$C$26)*(100%-'Données projet'!$C$27)</f>
        <v>0</v>
      </c>
      <c r="J15" s="169">
        <f>IF(OR('Données projet'!B18="",'Données projet'!C18="",'Données projet'!C18=0%),0,SUM(Calculateur!$HC$3:$HC$33)*VLOOKUP('Données projet'!$B$18,Paramètres!$A$1:$I$89,9,0)*B15)</f>
        <v>0</v>
      </c>
      <c r="K15" s="170">
        <f>J15*(100%-'Données projet'!$C$24)*(100%-'Données projet'!$C$25)*(100%-'Données projet'!$C$26)*(100%-'Données projet'!$C$27)</f>
        <v>0</v>
      </c>
      <c r="L15" s="171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4"/>
      <c r="B16" s="231"/>
      <c r="C16" s="232"/>
      <c r="D16" s="25"/>
      <c r="E16" s="25"/>
      <c r="F16" s="172">
        <f t="shared" ref="F16:L16" ca="1" si="3">SUM(F6:F15)</f>
        <v>741.47736940051357</v>
      </c>
      <c r="G16" s="173">
        <f t="shared" ca="1" si="3"/>
        <v>667.32963246046234</v>
      </c>
      <c r="H16" s="174">
        <f t="shared" si="3"/>
        <v>0</v>
      </c>
      <c r="I16" s="174">
        <f t="shared" si="3"/>
        <v>0</v>
      </c>
      <c r="J16" s="175">
        <f t="shared" si="3"/>
        <v>30.4051282051282</v>
      </c>
      <c r="K16" s="175">
        <f t="shared" si="3"/>
        <v>27.364615384615384</v>
      </c>
      <c r="L16" s="176">
        <f t="shared" ca="1" si="3"/>
        <v>694.6942478450776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4"/>
      <c r="B17" s="231"/>
      <c r="C17" s="232"/>
      <c r="D17" s="229"/>
      <c r="E17" s="229"/>
      <c r="F17" s="318" t="s">
        <v>246</v>
      </c>
      <c r="G17" s="319"/>
      <c r="H17" s="319"/>
      <c r="I17" s="319"/>
      <c r="J17" s="319"/>
      <c r="K17" s="319"/>
      <c r="L17" s="319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4"/>
      <c r="B18" s="231"/>
      <c r="C18" s="232"/>
      <c r="D18" s="229"/>
      <c r="E18" s="229"/>
      <c r="F18" s="320"/>
      <c r="G18" s="320"/>
      <c r="H18" s="320"/>
      <c r="I18" s="320"/>
      <c r="J18" s="320"/>
      <c r="K18" s="320"/>
      <c r="L18" s="320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29"/>
      <c r="J19" s="229"/>
      <c r="K19" s="229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29"/>
      <c r="J20" s="229"/>
      <c r="K20" s="229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7" t="str">
        <f>A6</f>
        <v>Cèdre de l'Atlas</v>
      </c>
      <c r="B21" s="5"/>
      <c r="C21" s="5"/>
      <c r="D21" s="5"/>
      <c r="E21" s="5"/>
      <c r="F21" s="5"/>
      <c r="G21" s="5"/>
      <c r="H21" s="5"/>
      <c r="I21" s="229"/>
      <c r="J21" s="229"/>
      <c r="K21" s="229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29"/>
      <c r="J22" s="229"/>
      <c r="K22" s="229"/>
      <c r="L22" s="229"/>
      <c r="M22" s="229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29"/>
      <c r="J23" s="229"/>
      <c r="K23" s="229"/>
      <c r="L23" s="229"/>
      <c r="M23" s="229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29"/>
      <c r="J24" s="229"/>
      <c r="K24" s="229"/>
      <c r="L24" s="229"/>
      <c r="M24" s="229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29"/>
      <c r="J25" s="229"/>
      <c r="K25" s="229"/>
      <c r="L25" s="229"/>
      <c r="M25" s="229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29"/>
      <c r="J26" s="229"/>
      <c r="K26" s="229"/>
      <c r="L26" s="229"/>
      <c r="M26" s="229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29"/>
      <c r="J27" s="229"/>
      <c r="K27" s="229"/>
      <c r="L27" s="229"/>
      <c r="M27" s="229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29"/>
      <c r="J28" s="229"/>
      <c r="K28" s="229"/>
      <c r="L28" s="229"/>
      <c r="M28" s="229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29"/>
      <c r="J29" s="229"/>
      <c r="K29" s="229"/>
      <c r="L29" s="229"/>
      <c r="M29" s="229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29"/>
      <c r="J30" s="229"/>
      <c r="K30" s="229"/>
      <c r="L30" s="229"/>
      <c r="M30" s="229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29"/>
      <c r="J31" s="229"/>
      <c r="K31" s="229"/>
      <c r="L31" s="229"/>
      <c r="M31" s="229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29"/>
      <c r="J32" s="229"/>
      <c r="K32" s="229"/>
      <c r="L32" s="229"/>
      <c r="M32" s="229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29"/>
      <c r="J33" s="229"/>
      <c r="K33" s="229"/>
      <c r="L33" s="229"/>
      <c r="M33" s="229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29"/>
      <c r="J34" s="229"/>
      <c r="K34" s="229"/>
      <c r="L34" s="229"/>
      <c r="M34" s="229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29"/>
      <c r="J35" s="229"/>
      <c r="K35" s="229"/>
      <c r="L35" s="229"/>
      <c r="M35" s="229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29"/>
      <c r="J36" s="229"/>
      <c r="K36" s="229"/>
      <c r="L36" s="229"/>
      <c r="M36" s="229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29"/>
      <c r="J37" s="229"/>
      <c r="K37" s="229"/>
      <c r="L37" s="229"/>
      <c r="M37" s="229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29"/>
      <c r="J38" s="229"/>
      <c r="K38" s="229"/>
      <c r="L38" s="229"/>
      <c r="M38" s="229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7" t="str">
        <f>A7</f>
        <v>Chêne sessile</v>
      </c>
      <c r="B39" s="5"/>
      <c r="C39" s="5"/>
      <c r="D39" s="5"/>
      <c r="E39" s="5"/>
      <c r="F39" s="5"/>
      <c r="G39" s="5"/>
      <c r="H39" s="5"/>
      <c r="I39" s="229"/>
      <c r="J39" s="229"/>
      <c r="K39" s="229"/>
      <c r="L39" s="229"/>
      <c r="M39" s="229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29"/>
      <c r="J40" s="229"/>
      <c r="K40" s="229"/>
      <c r="L40" s="229"/>
      <c r="M40" s="229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29"/>
      <c r="J41" s="229"/>
      <c r="K41" s="229"/>
      <c r="L41" s="229"/>
      <c r="M41" s="229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29"/>
      <c r="J42" s="229"/>
      <c r="K42" s="229"/>
      <c r="L42" s="229"/>
      <c r="M42" s="229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29"/>
      <c r="J43" s="229"/>
      <c r="K43" s="229"/>
      <c r="L43" s="229"/>
      <c r="M43" s="229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29"/>
      <c r="J44" s="229"/>
      <c r="K44" s="229"/>
      <c r="L44" s="229"/>
      <c r="M44" s="229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29"/>
      <c r="J45" s="229"/>
      <c r="K45" s="229"/>
      <c r="L45" s="229"/>
      <c r="M45" s="229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29"/>
      <c r="J46" s="229"/>
      <c r="K46" s="229"/>
      <c r="L46" s="229"/>
      <c r="M46" s="229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29"/>
      <c r="J47" s="229"/>
      <c r="K47" s="229"/>
      <c r="L47" s="229"/>
      <c r="M47" s="229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29"/>
      <c r="J48" s="229"/>
      <c r="K48" s="229"/>
      <c r="L48" s="229"/>
      <c r="M48" s="229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29"/>
      <c r="J49" s="229"/>
      <c r="K49" s="229"/>
      <c r="L49" s="229"/>
      <c r="M49" s="229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29"/>
      <c r="J50" s="229"/>
      <c r="K50" s="229"/>
      <c r="L50" s="229"/>
      <c r="M50" s="229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29"/>
      <c r="J51" s="229"/>
      <c r="K51" s="229"/>
      <c r="L51" s="229"/>
      <c r="M51" s="229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29"/>
      <c r="J52" s="229"/>
      <c r="K52" s="229"/>
      <c r="L52" s="229"/>
      <c r="M52" s="229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29"/>
      <c r="J53" s="229"/>
      <c r="K53" s="229"/>
      <c r="L53" s="229"/>
      <c r="M53" s="229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29"/>
      <c r="J54" s="229"/>
      <c r="K54" s="229"/>
      <c r="L54" s="229"/>
      <c r="M54" s="229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29"/>
      <c r="J55" s="229"/>
      <c r="K55" s="229"/>
      <c r="L55" s="229"/>
      <c r="M55" s="229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29"/>
      <c r="J56" s="229"/>
      <c r="K56" s="229"/>
      <c r="L56" s="229"/>
      <c r="M56" s="229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7" t="str">
        <f>A8</f>
        <v>Chêne pubescent</v>
      </c>
      <c r="B57" s="5"/>
      <c r="C57" s="5"/>
      <c r="D57" s="5"/>
      <c r="E57" s="5"/>
      <c r="F57" s="5"/>
      <c r="G57" s="5"/>
      <c r="H57" s="5"/>
      <c r="I57" s="229"/>
      <c r="J57" s="229"/>
      <c r="K57" s="229"/>
      <c r="L57" s="229"/>
      <c r="M57" s="229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29"/>
      <c r="J58" s="229"/>
      <c r="K58" s="229"/>
      <c r="L58" s="229"/>
      <c r="M58" s="229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29"/>
      <c r="J59" s="229"/>
      <c r="K59" s="229"/>
      <c r="L59" s="229"/>
      <c r="M59" s="229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29"/>
      <c r="J60" s="229"/>
      <c r="K60" s="229"/>
      <c r="L60" s="229"/>
      <c r="M60" s="229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29"/>
      <c r="J61" s="229"/>
      <c r="K61" s="229"/>
      <c r="L61" s="229"/>
      <c r="M61" s="229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29"/>
      <c r="J62" s="229"/>
      <c r="K62" s="229"/>
      <c r="L62" s="229"/>
      <c r="M62" s="229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29"/>
      <c r="J63" s="229"/>
      <c r="K63" s="229"/>
      <c r="L63" s="229"/>
      <c r="M63" s="229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29"/>
      <c r="J64" s="229"/>
      <c r="K64" s="229"/>
      <c r="L64" s="229"/>
      <c r="M64" s="229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29"/>
      <c r="J65" s="229"/>
      <c r="K65" s="229"/>
      <c r="L65" s="229"/>
      <c r="M65" s="229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29"/>
      <c r="J66" s="229"/>
      <c r="K66" s="229"/>
      <c r="L66" s="229"/>
      <c r="M66" s="229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29"/>
      <c r="J67" s="229"/>
      <c r="K67" s="229"/>
      <c r="L67" s="229"/>
      <c r="M67" s="229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29"/>
      <c r="J68" s="229"/>
      <c r="K68" s="229"/>
      <c r="L68" s="229"/>
      <c r="M68" s="229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29"/>
      <c r="J69" s="229"/>
      <c r="K69" s="229"/>
      <c r="L69" s="229"/>
      <c r="M69" s="229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29"/>
      <c r="J70" s="229"/>
      <c r="K70" s="229"/>
      <c r="L70" s="229"/>
      <c r="M70" s="229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29"/>
      <c r="J71" s="229"/>
      <c r="K71" s="229"/>
      <c r="L71" s="229"/>
      <c r="M71" s="229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29"/>
      <c r="J72" s="229"/>
      <c r="K72" s="229"/>
      <c r="L72" s="229"/>
      <c r="M72" s="229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29"/>
      <c r="J73" s="229"/>
      <c r="K73" s="229"/>
      <c r="L73" s="229"/>
      <c r="M73" s="229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29"/>
      <c r="J74" s="229"/>
      <c r="K74" s="229"/>
      <c r="L74" s="229"/>
      <c r="M74" s="229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29"/>
      <c r="J75" s="229"/>
      <c r="K75" s="229"/>
      <c r="L75" s="229"/>
      <c r="M75" s="229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7" t="str">
        <f>A9</f>
        <v>Alisier torminal</v>
      </c>
      <c r="B76" s="5"/>
      <c r="C76" s="5"/>
      <c r="D76" s="5"/>
      <c r="E76" s="5"/>
      <c r="F76" s="5"/>
      <c r="G76" s="5"/>
      <c r="H76" s="5"/>
      <c r="I76" s="229"/>
      <c r="J76" s="229"/>
      <c r="K76" s="229"/>
      <c r="L76" s="229"/>
      <c r="M76" s="229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29"/>
      <c r="J77" s="229"/>
      <c r="K77" s="229"/>
      <c r="L77" s="229"/>
      <c r="M77" s="229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29"/>
      <c r="J78" s="229"/>
      <c r="K78" s="229"/>
      <c r="L78" s="229"/>
      <c r="M78" s="229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29"/>
      <c r="J79" s="229"/>
      <c r="K79" s="229"/>
      <c r="L79" s="229"/>
      <c r="M79" s="229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29"/>
      <c r="J80" s="229"/>
      <c r="K80" s="229"/>
      <c r="L80" s="229"/>
      <c r="M80" s="229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29"/>
      <c r="J81" s="229"/>
      <c r="K81" s="229"/>
      <c r="L81" s="229"/>
      <c r="M81" s="229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29"/>
      <c r="J82" s="229"/>
      <c r="K82" s="229"/>
      <c r="L82" s="229"/>
      <c r="M82" s="229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29"/>
      <c r="J83" s="229"/>
      <c r="K83" s="229"/>
      <c r="L83" s="229"/>
      <c r="M83" s="229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29"/>
      <c r="J84" s="229"/>
      <c r="K84" s="229"/>
      <c r="L84" s="229"/>
      <c r="M84" s="229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29"/>
      <c r="J85" s="229"/>
      <c r="K85" s="229"/>
      <c r="L85" s="229"/>
      <c r="M85" s="229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29"/>
      <c r="J86" s="229"/>
      <c r="K86" s="229"/>
      <c r="L86" s="229"/>
      <c r="M86" s="229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29"/>
      <c r="J87" s="229"/>
      <c r="K87" s="229"/>
      <c r="L87" s="229"/>
      <c r="M87" s="229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29"/>
      <c r="J88" s="229"/>
      <c r="K88" s="229"/>
      <c r="L88" s="229"/>
      <c r="M88" s="229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29"/>
      <c r="J89" s="229"/>
      <c r="K89" s="229"/>
      <c r="L89" s="229"/>
      <c r="M89" s="229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29"/>
      <c r="J90" s="229"/>
      <c r="K90" s="229"/>
      <c r="L90" s="229"/>
      <c r="M90" s="229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29"/>
      <c r="J91" s="229"/>
      <c r="K91" s="229"/>
      <c r="L91" s="229"/>
      <c r="M91" s="229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29"/>
      <c r="J92" s="229"/>
      <c r="K92" s="229"/>
      <c r="L92" s="229"/>
      <c r="M92" s="229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29"/>
      <c r="J93" s="229"/>
      <c r="K93" s="229"/>
      <c r="L93" s="229"/>
      <c r="M93" s="229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7" t="str">
        <f>A10</f>
        <v>Cormier</v>
      </c>
      <c r="B94" s="5"/>
      <c r="C94" s="5"/>
      <c r="D94" s="5"/>
      <c r="E94" s="5"/>
      <c r="F94" s="5"/>
      <c r="G94" s="5"/>
      <c r="H94" s="5"/>
      <c r="I94" s="229"/>
      <c r="J94" s="229"/>
      <c r="K94" s="229"/>
      <c r="L94" s="229"/>
      <c r="M94" s="229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29"/>
      <c r="J95" s="229"/>
      <c r="K95" s="229"/>
      <c r="L95" s="229"/>
      <c r="M95" s="229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29"/>
      <c r="J96" s="229"/>
      <c r="K96" s="229"/>
      <c r="L96" s="229"/>
      <c r="M96" s="229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29"/>
      <c r="J97" s="229"/>
      <c r="K97" s="229"/>
      <c r="L97" s="229"/>
      <c r="M97" s="229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29"/>
      <c r="J98" s="229"/>
      <c r="K98" s="229"/>
      <c r="L98" s="229"/>
      <c r="M98" s="229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29"/>
      <c r="J99" s="229"/>
      <c r="K99" s="229"/>
      <c r="L99" s="229"/>
      <c r="M99" s="229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29"/>
      <c r="J100" s="229"/>
      <c r="K100" s="229"/>
      <c r="L100" s="229"/>
      <c r="M100" s="229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29"/>
      <c r="J101" s="229"/>
      <c r="K101" s="229"/>
      <c r="L101" s="229"/>
      <c r="M101" s="229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29"/>
      <c r="J102" s="229"/>
      <c r="K102" s="229"/>
      <c r="L102" s="229"/>
      <c r="M102" s="229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29"/>
      <c r="J103" s="229"/>
      <c r="K103" s="229"/>
      <c r="L103" s="229"/>
      <c r="M103" s="229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29"/>
      <c r="J104" s="229"/>
      <c r="K104" s="229"/>
      <c r="L104" s="229"/>
      <c r="M104" s="229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29"/>
      <c r="J105" s="229"/>
      <c r="K105" s="229"/>
      <c r="L105" s="229"/>
      <c r="M105" s="229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29"/>
      <c r="J106" s="229"/>
      <c r="K106" s="229"/>
      <c r="L106" s="229"/>
      <c r="M106" s="229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29"/>
      <c r="J107" s="229"/>
      <c r="K107" s="229"/>
      <c r="L107" s="229"/>
      <c r="M107" s="229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29"/>
      <c r="J108" s="229"/>
      <c r="K108" s="229"/>
      <c r="L108" s="229"/>
      <c r="M108" s="229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29"/>
      <c r="J109" s="229"/>
      <c r="K109" s="229"/>
      <c r="L109" s="229"/>
      <c r="M109" s="229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29"/>
      <c r="J110" s="229"/>
      <c r="K110" s="229"/>
      <c r="L110" s="229"/>
      <c r="M110" s="229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29"/>
      <c r="J111" s="229"/>
      <c r="K111" s="229"/>
      <c r="L111" s="229"/>
      <c r="M111" s="229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7" t="str">
        <f>A11</f>
        <v>Tilleul</v>
      </c>
      <c r="B112" s="5"/>
      <c r="C112" s="5"/>
      <c r="D112" s="5"/>
      <c r="E112" s="5"/>
      <c r="F112" s="5"/>
      <c r="G112" s="5"/>
      <c r="H112" s="5"/>
      <c r="I112" s="229"/>
      <c r="J112" s="229"/>
      <c r="K112" s="229"/>
      <c r="L112" s="229"/>
      <c r="M112" s="229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29"/>
      <c r="J113" s="229"/>
      <c r="K113" s="229"/>
      <c r="L113" s="229"/>
      <c r="M113" s="229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29"/>
      <c r="J114" s="229"/>
      <c r="K114" s="229"/>
      <c r="L114" s="229"/>
      <c r="M114" s="229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29"/>
      <c r="J115" s="229"/>
      <c r="K115" s="229"/>
      <c r="L115" s="229"/>
      <c r="M115" s="229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29"/>
      <c r="J116" s="229"/>
      <c r="K116" s="229"/>
      <c r="L116" s="229"/>
      <c r="M116" s="229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29"/>
      <c r="J117" s="229"/>
      <c r="K117" s="229"/>
      <c r="L117" s="229"/>
      <c r="M117" s="229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29"/>
      <c r="J118" s="229"/>
      <c r="K118" s="229"/>
      <c r="L118" s="229"/>
      <c r="M118" s="229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29"/>
      <c r="J119" s="229"/>
      <c r="K119" s="229"/>
      <c r="L119" s="229"/>
      <c r="M119" s="229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29"/>
      <c r="J120" s="229"/>
      <c r="K120" s="229"/>
      <c r="L120" s="229"/>
      <c r="M120" s="229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29"/>
      <c r="J121" s="229"/>
      <c r="K121" s="229"/>
      <c r="L121" s="229"/>
      <c r="M121" s="229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29"/>
      <c r="J122" s="229"/>
      <c r="K122" s="229"/>
      <c r="L122" s="229"/>
      <c r="M122" s="229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29"/>
      <c r="J123" s="229"/>
      <c r="K123" s="229"/>
      <c r="L123" s="229"/>
      <c r="M123" s="229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29"/>
      <c r="J124" s="229"/>
      <c r="K124" s="229"/>
      <c r="L124" s="229"/>
      <c r="M124" s="229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29"/>
      <c r="J125" s="229"/>
      <c r="K125" s="229"/>
      <c r="L125" s="229"/>
      <c r="M125" s="229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29"/>
      <c r="J126" s="229"/>
      <c r="K126" s="229"/>
      <c r="L126" s="229"/>
      <c r="M126" s="229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29"/>
      <c r="J127" s="229"/>
      <c r="K127" s="229"/>
      <c r="L127" s="229"/>
      <c r="M127" s="229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29"/>
      <c r="J128" s="229"/>
      <c r="K128" s="229"/>
      <c r="L128" s="229"/>
      <c r="M128" s="229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29"/>
      <c r="J129" s="229"/>
      <c r="K129" s="229"/>
      <c r="L129" s="229"/>
      <c r="M129" s="229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7" t="str">
        <f>A12</f>
        <v/>
      </c>
      <c r="B130" s="5"/>
      <c r="C130" s="5"/>
      <c r="D130" s="5"/>
      <c r="E130" s="5"/>
      <c r="F130" s="5"/>
      <c r="G130" s="5"/>
      <c r="H130" s="5"/>
      <c r="I130" s="229"/>
      <c r="J130" s="229"/>
      <c r="K130" s="229"/>
      <c r="L130" s="229"/>
      <c r="M130" s="229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29"/>
      <c r="J131" s="229"/>
      <c r="K131" s="229"/>
      <c r="L131" s="229"/>
      <c r="M131" s="229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29"/>
      <c r="J132" s="229"/>
      <c r="K132" s="229"/>
      <c r="L132" s="229"/>
      <c r="M132" s="229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29"/>
      <c r="J133" s="229"/>
      <c r="K133" s="229"/>
      <c r="L133" s="229"/>
      <c r="M133" s="229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29"/>
      <c r="J134" s="229"/>
      <c r="K134" s="229"/>
      <c r="L134" s="229"/>
      <c r="M134" s="229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29"/>
      <c r="J135" s="229"/>
      <c r="K135" s="229"/>
      <c r="L135" s="229"/>
      <c r="M135" s="229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29"/>
      <c r="J136" s="229"/>
      <c r="K136" s="229"/>
      <c r="L136" s="229"/>
      <c r="M136" s="229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29"/>
      <c r="J137" s="229"/>
      <c r="K137" s="229"/>
      <c r="L137" s="229"/>
      <c r="M137" s="229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29"/>
      <c r="J138" s="229"/>
      <c r="K138" s="229"/>
      <c r="L138" s="229"/>
      <c r="M138" s="229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29"/>
      <c r="J139" s="229"/>
      <c r="K139" s="229"/>
      <c r="L139" s="229"/>
      <c r="M139" s="229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29"/>
      <c r="J140" s="229"/>
      <c r="K140" s="229"/>
      <c r="L140" s="229"/>
      <c r="M140" s="229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29"/>
      <c r="J141" s="229"/>
      <c r="K141" s="229"/>
      <c r="L141" s="229"/>
      <c r="M141" s="229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29"/>
      <c r="J142" s="229"/>
      <c r="K142" s="229"/>
      <c r="L142" s="229"/>
      <c r="M142" s="229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29"/>
      <c r="J143" s="229"/>
      <c r="K143" s="229"/>
      <c r="L143" s="229"/>
      <c r="M143" s="229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29"/>
      <c r="J144" s="229"/>
      <c r="K144" s="229"/>
      <c r="L144" s="229"/>
      <c r="M144" s="229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29"/>
      <c r="J145" s="229"/>
      <c r="K145" s="229"/>
      <c r="L145" s="229"/>
      <c r="M145" s="229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29"/>
      <c r="J146" s="229"/>
      <c r="K146" s="229"/>
      <c r="L146" s="229"/>
      <c r="M146" s="229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29"/>
      <c r="J147" s="229"/>
      <c r="K147" s="229"/>
      <c r="L147" s="229"/>
      <c r="M147" s="229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7" t="str">
        <f>A13</f>
        <v/>
      </c>
      <c r="B148" s="5"/>
      <c r="C148" s="5"/>
      <c r="D148" s="5"/>
      <c r="E148" s="5"/>
      <c r="F148" s="5"/>
      <c r="G148" s="5"/>
      <c r="H148" s="5"/>
      <c r="I148" s="229"/>
      <c r="J148" s="229"/>
      <c r="K148" s="229"/>
      <c r="L148" s="229"/>
      <c r="M148" s="229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29"/>
      <c r="J149" s="229"/>
      <c r="K149" s="229"/>
      <c r="L149" s="229"/>
      <c r="M149" s="229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29"/>
      <c r="J150" s="229"/>
      <c r="K150" s="229"/>
      <c r="L150" s="229"/>
      <c r="M150" s="229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29"/>
      <c r="J151" s="229"/>
      <c r="K151" s="229"/>
      <c r="L151" s="229"/>
      <c r="M151" s="229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29"/>
      <c r="J152" s="229"/>
      <c r="K152" s="229"/>
      <c r="L152" s="229"/>
      <c r="M152" s="229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29"/>
      <c r="J153" s="229"/>
      <c r="K153" s="229"/>
      <c r="L153" s="229"/>
      <c r="M153" s="229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29"/>
      <c r="J154" s="229"/>
      <c r="K154" s="229"/>
      <c r="L154" s="229"/>
      <c r="M154" s="229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29"/>
      <c r="J155" s="229"/>
      <c r="K155" s="229"/>
      <c r="L155" s="229"/>
      <c r="M155" s="229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29"/>
      <c r="J156" s="229"/>
      <c r="K156" s="229"/>
      <c r="L156" s="229"/>
      <c r="M156" s="229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29"/>
      <c r="J157" s="229"/>
      <c r="K157" s="229"/>
      <c r="L157" s="229"/>
      <c r="M157" s="229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29"/>
      <c r="J158" s="229"/>
      <c r="K158" s="229"/>
      <c r="L158" s="229"/>
      <c r="M158" s="229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29"/>
      <c r="J159" s="229"/>
      <c r="K159" s="229"/>
      <c r="L159" s="229"/>
      <c r="M159" s="229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29"/>
      <c r="J160" s="229"/>
      <c r="K160" s="229"/>
      <c r="L160" s="229"/>
      <c r="M160" s="229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29"/>
      <c r="J161" s="229"/>
      <c r="K161" s="229"/>
      <c r="L161" s="229"/>
      <c r="M161" s="229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29"/>
      <c r="J162" s="229"/>
      <c r="K162" s="229"/>
      <c r="L162" s="229"/>
      <c r="M162" s="229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29"/>
      <c r="J163" s="229"/>
      <c r="K163" s="229"/>
      <c r="L163" s="229"/>
      <c r="M163" s="229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29"/>
      <c r="J164" s="229"/>
      <c r="K164" s="229"/>
      <c r="L164" s="229"/>
      <c r="M164" s="229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29"/>
      <c r="J165" s="229"/>
      <c r="K165" s="229"/>
      <c r="L165" s="229"/>
      <c r="M165" s="229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7" t="str">
        <f>A14</f>
        <v/>
      </c>
      <c r="B166" s="5"/>
      <c r="C166" s="5"/>
      <c r="D166" s="5"/>
      <c r="E166" s="5"/>
      <c r="F166" s="5"/>
      <c r="G166" s="5"/>
      <c r="H166" s="5"/>
      <c r="I166" s="229"/>
      <c r="J166" s="229"/>
      <c r="K166" s="229"/>
      <c r="L166" s="229"/>
      <c r="M166" s="229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29"/>
      <c r="J167" s="229"/>
      <c r="K167" s="229"/>
      <c r="L167" s="229"/>
      <c r="M167" s="229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29"/>
      <c r="J168" s="229"/>
      <c r="K168" s="229"/>
      <c r="L168" s="229"/>
      <c r="M168" s="229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29"/>
      <c r="J169" s="229"/>
      <c r="K169" s="229"/>
      <c r="L169" s="229"/>
      <c r="M169" s="229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29"/>
      <c r="J170" s="229"/>
      <c r="K170" s="229"/>
      <c r="L170" s="229"/>
      <c r="M170" s="229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29"/>
      <c r="J171" s="229"/>
      <c r="K171" s="229"/>
      <c r="L171" s="229"/>
      <c r="M171" s="229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29"/>
      <c r="J172" s="229"/>
      <c r="K172" s="229"/>
      <c r="L172" s="229"/>
      <c r="M172" s="229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29"/>
      <c r="J173" s="229"/>
      <c r="K173" s="229"/>
      <c r="L173" s="229"/>
      <c r="M173" s="229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29"/>
      <c r="J174" s="229"/>
      <c r="K174" s="229"/>
      <c r="L174" s="229"/>
      <c r="M174" s="229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29"/>
      <c r="J175" s="229"/>
      <c r="K175" s="229"/>
      <c r="L175" s="229"/>
      <c r="M175" s="229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29"/>
      <c r="J176" s="229"/>
      <c r="K176" s="229"/>
      <c r="L176" s="229"/>
      <c r="M176" s="229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29"/>
      <c r="J177" s="229"/>
      <c r="K177" s="229"/>
      <c r="L177" s="229"/>
      <c r="M177" s="229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29"/>
      <c r="J178" s="229"/>
      <c r="K178" s="229"/>
      <c r="L178" s="229"/>
      <c r="M178" s="229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29"/>
      <c r="J179" s="229"/>
      <c r="K179" s="229"/>
      <c r="L179" s="229"/>
      <c r="M179" s="229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29"/>
      <c r="J180" s="229"/>
      <c r="K180" s="229"/>
      <c r="L180" s="229"/>
      <c r="M180" s="229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29"/>
      <c r="J181" s="229"/>
      <c r="K181" s="229"/>
      <c r="L181" s="229"/>
      <c r="M181" s="229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29"/>
      <c r="J182" s="229"/>
      <c r="K182" s="229"/>
      <c r="L182" s="229"/>
      <c r="M182" s="229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29"/>
      <c r="J183" s="229"/>
      <c r="K183" s="229"/>
      <c r="L183" s="229"/>
      <c r="M183" s="229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7" t="str">
        <f>A15</f>
        <v/>
      </c>
      <c r="B184" s="5"/>
      <c r="C184" s="5"/>
      <c r="D184" s="5"/>
      <c r="E184" s="5"/>
      <c r="F184" s="5"/>
      <c r="G184" s="5"/>
      <c r="H184" s="5"/>
      <c r="I184" s="229"/>
      <c r="J184" s="229"/>
      <c r="K184" s="229"/>
      <c r="L184" s="229"/>
      <c r="M184" s="229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29"/>
      <c r="J185" s="229"/>
      <c r="K185" s="229"/>
      <c r="L185" s="229"/>
      <c r="M185" s="229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29"/>
      <c r="J186" s="229"/>
      <c r="K186" s="229"/>
      <c r="L186" s="229"/>
      <c r="M186" s="229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29"/>
      <c r="J187" s="229"/>
      <c r="K187" s="229"/>
      <c r="L187" s="229"/>
      <c r="M187" s="229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29"/>
      <c r="J188" s="229"/>
      <c r="K188" s="229"/>
      <c r="L188" s="229"/>
      <c r="M188" s="229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29"/>
      <c r="J189" s="229"/>
      <c r="K189" s="229"/>
      <c r="L189" s="229"/>
      <c r="M189" s="229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29"/>
      <c r="J190" s="229"/>
      <c r="K190" s="229"/>
      <c r="L190" s="229"/>
      <c r="M190" s="229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29"/>
      <c r="J191" s="229"/>
      <c r="K191" s="229"/>
      <c r="L191" s="229"/>
      <c r="M191" s="229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29"/>
      <c r="J192" s="229"/>
      <c r="K192" s="229"/>
      <c r="L192" s="229"/>
      <c r="M192" s="229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29"/>
      <c r="J193" s="229"/>
      <c r="K193" s="229"/>
      <c r="L193" s="229"/>
      <c r="M193" s="229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29"/>
      <c r="J194" s="229"/>
      <c r="K194" s="229"/>
      <c r="L194" s="229"/>
      <c r="M194" s="229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29"/>
      <c r="J195" s="229"/>
      <c r="K195" s="229"/>
      <c r="L195" s="229"/>
      <c r="M195" s="229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29"/>
      <c r="J196" s="229"/>
      <c r="K196" s="229"/>
      <c r="L196" s="229"/>
      <c r="M196" s="229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29"/>
      <c r="J197" s="229"/>
      <c r="K197" s="229"/>
      <c r="L197" s="229"/>
      <c r="M197" s="229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29"/>
      <c r="J198" s="229"/>
      <c r="K198" s="229"/>
      <c r="L198" s="229"/>
      <c r="M198" s="229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29"/>
      <c r="J199" s="229"/>
      <c r="K199" s="229"/>
      <c r="L199" s="229"/>
      <c r="M199" s="229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29"/>
      <c r="J200" s="229"/>
      <c r="K200" s="229"/>
      <c r="L200" s="229"/>
      <c r="M200" s="229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29"/>
      <c r="J201" s="229"/>
      <c r="K201" s="229"/>
      <c r="L201" s="229"/>
      <c r="M201" s="229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29"/>
      <c r="J202" s="229"/>
      <c r="K202" s="229"/>
      <c r="L202" s="229"/>
      <c r="M202" s="229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69"/>
      <c r="J203" s="69"/>
      <c r="K203" s="69"/>
      <c r="L203" s="69"/>
      <c r="M203" s="229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69"/>
      <c r="J204" s="69"/>
      <c r="K204" s="69"/>
      <c r="L204" s="69"/>
      <c r="M204" s="69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69"/>
      <c r="J205" s="69"/>
      <c r="K205" s="69"/>
      <c r="L205" s="69"/>
      <c r="M205" s="69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69"/>
      <c r="J206" s="69"/>
      <c r="K206" s="69"/>
      <c r="L206" s="69"/>
      <c r="M206" s="69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69"/>
      <c r="J207" s="69"/>
      <c r="K207" s="69"/>
      <c r="L207" s="69"/>
      <c r="M207" s="69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69"/>
      <c r="J208" s="69"/>
      <c r="K208" s="69"/>
      <c r="L208" s="69"/>
      <c r="M208" s="69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69"/>
      <c r="J209" s="69"/>
      <c r="K209" s="69"/>
      <c r="L209" s="69"/>
      <c r="M209" s="69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69"/>
      <c r="J210" s="69"/>
      <c r="K210" s="69"/>
      <c r="L210" s="69"/>
      <c r="M210" s="69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69"/>
      <c r="J211" s="69"/>
      <c r="K211" s="69"/>
      <c r="L211" s="69"/>
      <c r="M211" s="69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69"/>
      <c r="J212" s="69"/>
      <c r="K212" s="69"/>
      <c r="L212" s="69"/>
      <c r="M212" s="69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69"/>
      <c r="J213" s="69"/>
      <c r="K213" s="69"/>
      <c r="L213" s="69"/>
      <c r="M213" s="69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69"/>
      <c r="J214" s="69"/>
      <c r="K214" s="69"/>
      <c r="L214" s="69"/>
      <c r="M214" s="69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69"/>
      <c r="J215" s="69"/>
      <c r="K215" s="69"/>
      <c r="L215" s="69"/>
      <c r="M215" s="69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69"/>
      <c r="J216" s="69"/>
      <c r="K216" s="69"/>
      <c r="L216" s="69"/>
      <c r="M216" s="69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69"/>
      <c r="J217" s="69"/>
      <c r="K217" s="69"/>
      <c r="L217" s="69"/>
      <c r="M217" s="69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69"/>
      <c r="J218" s="69"/>
      <c r="K218" s="69"/>
      <c r="L218" s="69"/>
      <c r="M218" s="69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69"/>
      <c r="J219" s="69"/>
      <c r="K219" s="69"/>
      <c r="L219" s="69"/>
      <c r="M219" s="69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69"/>
      <c r="J220" s="69"/>
      <c r="K220" s="69"/>
      <c r="L220" s="69"/>
      <c r="M220" s="69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69"/>
      <c r="J221" s="69"/>
      <c r="K221" s="69"/>
      <c r="L221" s="69"/>
      <c r="M221" s="69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69"/>
      <c r="J222" s="69"/>
      <c r="K222" s="69"/>
      <c r="L222" s="69"/>
      <c r="M222" s="69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69"/>
      <c r="J223" s="69"/>
      <c r="K223" s="69"/>
      <c r="L223" s="69"/>
      <c r="M223" s="69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69"/>
      <c r="J224" s="69"/>
      <c r="K224" s="69"/>
      <c r="L224" s="69"/>
      <c r="M224" s="69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69"/>
      <c r="J225" s="69"/>
      <c r="K225" s="69"/>
      <c r="L225" s="69"/>
      <c r="M225" s="69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69"/>
      <c r="J226" s="69"/>
      <c r="K226" s="69"/>
      <c r="L226" s="69"/>
      <c r="M226" s="69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69"/>
      <c r="J227" s="69"/>
      <c r="K227" s="69"/>
      <c r="L227" s="69"/>
      <c r="M227" s="69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69"/>
      <c r="J228" s="69"/>
      <c r="K228" s="69"/>
      <c r="L228" s="69"/>
      <c r="M228" s="69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69"/>
      <c r="J229" s="69"/>
      <c r="K229" s="69"/>
      <c r="L229" s="69"/>
      <c r="M229" s="69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69"/>
      <c r="J230" s="69"/>
      <c r="K230" s="69"/>
      <c r="L230" s="69"/>
      <c r="M230" s="69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69"/>
      <c r="J231" s="69"/>
      <c r="K231" s="69"/>
      <c r="L231" s="69"/>
      <c r="M231" s="69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69"/>
      <c r="J232" s="69"/>
      <c r="K232" s="69"/>
      <c r="L232" s="69"/>
      <c r="M232" s="69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69"/>
      <c r="J233" s="69"/>
      <c r="K233" s="69"/>
      <c r="L233" s="69"/>
      <c r="M233" s="69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69"/>
      <c r="J234" s="69"/>
      <c r="K234" s="69"/>
      <c r="L234" s="69"/>
      <c r="M234" s="69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69"/>
      <c r="J235" s="69"/>
      <c r="K235" s="69"/>
      <c r="L235" s="69"/>
      <c r="M235" s="69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69"/>
      <c r="J236" s="69"/>
      <c r="K236" s="69"/>
      <c r="L236" s="69"/>
      <c r="M236" s="69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69"/>
      <c r="J237" s="69"/>
      <c r="K237" s="69"/>
      <c r="L237" s="69"/>
      <c r="M237" s="69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69"/>
      <c r="J238" s="69"/>
      <c r="K238" s="69"/>
      <c r="L238" s="69"/>
      <c r="M238" s="69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69"/>
      <c r="J239" s="69"/>
      <c r="K239" s="69"/>
      <c r="L239" s="69"/>
      <c r="M239" s="69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69"/>
      <c r="J240" s="69"/>
      <c r="K240" s="69"/>
      <c r="L240" s="69"/>
      <c r="M240" s="69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69"/>
      <c r="J241" s="69"/>
      <c r="K241" s="69"/>
      <c r="L241" s="69"/>
      <c r="M241" s="69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69"/>
      <c r="J242" s="69"/>
      <c r="K242" s="69"/>
      <c r="L242" s="69"/>
      <c r="M242" s="69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69"/>
      <c r="J243" s="69"/>
      <c r="K243" s="69"/>
      <c r="L243" s="69"/>
      <c r="M243" s="69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69"/>
      <c r="J244" s="69"/>
      <c r="K244" s="69"/>
      <c r="L244" s="69"/>
      <c r="M244" s="69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69"/>
      <c r="J245" s="69"/>
      <c r="K245" s="69"/>
      <c r="L245" s="69"/>
      <c r="M245" s="69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69"/>
      <c r="J246" s="69"/>
      <c r="K246" s="69"/>
      <c r="L246" s="69"/>
      <c r="M246" s="69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69"/>
      <c r="J247" s="69"/>
      <c r="K247" s="69"/>
      <c r="L247" s="69"/>
      <c r="M247" s="69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69"/>
      <c r="J248" s="69"/>
      <c r="K248" s="69"/>
      <c r="L248" s="69"/>
      <c r="M248" s="69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69"/>
      <c r="J249" s="69"/>
      <c r="K249" s="69"/>
      <c r="L249" s="69"/>
      <c r="M249" s="69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69"/>
      <c r="J250" s="69"/>
      <c r="K250" s="69"/>
      <c r="L250" s="69"/>
      <c r="M250" s="69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69"/>
      <c r="J251" s="69"/>
      <c r="K251" s="69"/>
      <c r="L251" s="69"/>
      <c r="M251" s="69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69"/>
      <c r="J252" s="69"/>
      <c r="K252" s="69"/>
      <c r="L252" s="69"/>
      <c r="M252" s="69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69"/>
      <c r="J253" s="69"/>
      <c r="K253" s="69"/>
      <c r="L253" s="69"/>
      <c r="M253" s="69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69"/>
      <c r="J254" s="69"/>
      <c r="K254" s="69"/>
      <c r="L254" s="69"/>
      <c r="M254" s="69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69"/>
      <c r="J255" s="69"/>
      <c r="K255" s="69"/>
      <c r="L255" s="69"/>
      <c r="M255" s="69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69"/>
      <c r="J256" s="69"/>
      <c r="K256" s="69"/>
      <c r="L256" s="69"/>
      <c r="M256" s="69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69"/>
      <c r="J257" s="69"/>
      <c r="K257" s="69"/>
      <c r="L257" s="69"/>
      <c r="M257" s="69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69"/>
      <c r="J258" s="69"/>
      <c r="K258" s="69"/>
      <c r="L258" s="69"/>
      <c r="M258" s="69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69"/>
      <c r="J259" s="69"/>
      <c r="K259" s="69"/>
      <c r="L259" s="69"/>
      <c r="M259" s="69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69"/>
      <c r="J260" s="69"/>
      <c r="K260" s="69"/>
      <c r="L260" s="69"/>
      <c r="M260" s="69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69"/>
      <c r="J261" s="69"/>
      <c r="K261" s="69"/>
      <c r="L261" s="69"/>
      <c r="M261" s="69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69"/>
      <c r="J262" s="69"/>
      <c r="K262" s="69"/>
      <c r="L262" s="69"/>
      <c r="M262" s="69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69"/>
      <c r="J263" s="69"/>
      <c r="K263" s="69"/>
      <c r="L263" s="69"/>
      <c r="M263" s="69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69"/>
      <c r="J264" s="69"/>
      <c r="K264" s="69"/>
      <c r="L264" s="69"/>
      <c r="M264" s="69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69"/>
      <c r="J265" s="69"/>
      <c r="K265" s="69"/>
      <c r="L265" s="69"/>
      <c r="M265" s="69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69"/>
      <c r="J266" s="69"/>
      <c r="K266" s="69"/>
      <c r="L266" s="69"/>
      <c r="M266" s="69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69"/>
      <c r="J267" s="69"/>
      <c r="K267" s="69"/>
      <c r="L267" s="69"/>
      <c r="M267" s="69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69"/>
      <c r="J268" s="69"/>
      <c r="K268" s="69"/>
      <c r="L268" s="69"/>
      <c r="M268" s="69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69"/>
      <c r="J269" s="69"/>
      <c r="K269" s="69"/>
      <c r="L269" s="69"/>
      <c r="M269" s="69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69"/>
      <c r="J270" s="69"/>
      <c r="K270" s="69"/>
      <c r="L270" s="69"/>
      <c r="M270" s="69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69"/>
      <c r="J271" s="69"/>
      <c r="K271" s="69"/>
      <c r="L271" s="69"/>
      <c r="M271" s="69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69"/>
      <c r="J272" s="69"/>
      <c r="K272" s="69"/>
      <c r="L272" s="69"/>
      <c r="M272" s="69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69"/>
      <c r="J273" s="69"/>
      <c r="K273" s="69"/>
      <c r="L273" s="69"/>
      <c r="M273" s="69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69"/>
      <c r="J274" s="69"/>
      <c r="K274" s="69"/>
      <c r="L274" s="69"/>
      <c r="M274" s="69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69"/>
      <c r="J275" s="69"/>
      <c r="K275" s="69"/>
      <c r="L275" s="69"/>
      <c r="M275" s="69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69"/>
      <c r="J276" s="69"/>
      <c r="K276" s="69"/>
      <c r="L276" s="69"/>
      <c r="M276" s="69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69"/>
      <c r="J277" s="69"/>
      <c r="K277" s="69"/>
      <c r="L277" s="69"/>
      <c r="M277" s="69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69"/>
      <c r="J278" s="69"/>
      <c r="K278" s="69"/>
      <c r="L278" s="69"/>
      <c r="M278" s="69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69"/>
      <c r="J279" s="69"/>
      <c r="K279" s="69"/>
      <c r="L279" s="69"/>
      <c r="M279" s="69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69"/>
      <c r="J280" s="69"/>
      <c r="K280" s="69"/>
      <c r="L280" s="69"/>
      <c r="M280" s="69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69"/>
      <c r="J281" s="69"/>
      <c r="K281" s="69"/>
      <c r="L281" s="69"/>
      <c r="M281" s="69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69"/>
      <c r="J282" s="69"/>
      <c r="K282" s="69"/>
      <c r="L282" s="69"/>
      <c r="M282" s="69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69"/>
      <c r="J283" s="69"/>
      <c r="K283" s="69"/>
      <c r="L283" s="69"/>
      <c r="M283" s="69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69"/>
      <c r="J284" s="69"/>
      <c r="K284" s="69"/>
      <c r="L284" s="69"/>
      <c r="M284" s="69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69"/>
      <c r="J285" s="69"/>
      <c r="K285" s="69"/>
      <c r="L285" s="69"/>
      <c r="M285" s="69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69"/>
      <c r="J286" s="69"/>
      <c r="K286" s="69"/>
      <c r="L286" s="69"/>
      <c r="M286" s="69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69"/>
      <c r="J287" s="69"/>
      <c r="K287" s="69"/>
      <c r="L287" s="69"/>
      <c r="M287" s="69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69"/>
      <c r="J288" s="69"/>
      <c r="K288" s="69"/>
      <c r="L288" s="69"/>
      <c r="M288" s="69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69"/>
      <c r="J289" s="69"/>
      <c r="K289" s="69"/>
      <c r="L289" s="69"/>
      <c r="M289" s="69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69"/>
      <c r="J290" s="69"/>
      <c r="K290" s="69"/>
      <c r="L290" s="69"/>
      <c r="M290" s="69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69"/>
      <c r="J291" s="69"/>
      <c r="K291" s="69"/>
      <c r="L291" s="69"/>
      <c r="M291" s="69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69"/>
      <c r="J292" s="69"/>
      <c r="K292" s="69"/>
      <c r="L292" s="69"/>
      <c r="M292" s="69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69"/>
      <c r="J293" s="69"/>
      <c r="K293" s="69"/>
      <c r="L293" s="69"/>
      <c r="M293" s="69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69"/>
      <c r="J294" s="69"/>
      <c r="K294" s="69"/>
      <c r="L294" s="69"/>
      <c r="M294" s="69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69"/>
      <c r="J295" s="69"/>
      <c r="K295" s="69"/>
      <c r="L295" s="69"/>
      <c r="M295" s="69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69"/>
      <c r="J296" s="69"/>
      <c r="K296" s="69"/>
      <c r="L296" s="69"/>
      <c r="M296" s="69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69"/>
      <c r="J297" s="69"/>
      <c r="K297" s="69"/>
      <c r="L297" s="69"/>
      <c r="M297" s="69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69"/>
      <c r="J298" s="69"/>
      <c r="K298" s="69"/>
      <c r="L298" s="69"/>
      <c r="M298" s="69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69"/>
      <c r="J299" s="69"/>
      <c r="K299" s="69"/>
      <c r="L299" s="69"/>
      <c r="M299" s="69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69"/>
      <c r="J300" s="69"/>
      <c r="K300" s="69"/>
      <c r="L300" s="69"/>
      <c r="M300" s="69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69"/>
      <c r="J301" s="69"/>
      <c r="K301" s="69"/>
      <c r="L301" s="69"/>
      <c r="M301" s="69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69"/>
      <c r="J302" s="69"/>
      <c r="K302" s="69"/>
      <c r="L302" s="69"/>
      <c r="M302" s="69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69"/>
      <c r="J303" s="69"/>
      <c r="K303" s="69"/>
      <c r="L303" s="69"/>
      <c r="M303" s="69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69"/>
      <c r="J304" s="69"/>
      <c r="K304" s="69"/>
      <c r="L304" s="69"/>
      <c r="M304" s="69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69"/>
      <c r="J305" s="69"/>
      <c r="K305" s="69"/>
      <c r="L305" s="69"/>
      <c r="M305" s="69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69"/>
      <c r="J306" s="69"/>
      <c r="K306" s="69"/>
      <c r="L306" s="69"/>
      <c r="M306" s="69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69"/>
      <c r="J307" s="69"/>
      <c r="K307" s="69"/>
      <c r="L307" s="69"/>
      <c r="M307" s="69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69"/>
      <c r="J308" s="69"/>
      <c r="K308" s="69"/>
      <c r="L308" s="69"/>
      <c r="M308" s="69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69"/>
      <c r="J309" s="69"/>
      <c r="K309" s="69"/>
      <c r="L309" s="69"/>
      <c r="M309" s="69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69"/>
      <c r="J310" s="69"/>
      <c r="K310" s="69"/>
      <c r="L310" s="69"/>
      <c r="M310" s="69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69"/>
      <c r="J311" s="69"/>
      <c r="K311" s="69"/>
      <c r="L311" s="69"/>
      <c r="M311" s="69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69"/>
      <c r="J312" s="69"/>
      <c r="K312" s="69"/>
      <c r="L312" s="69"/>
      <c r="M312" s="69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69"/>
      <c r="J313" s="69"/>
      <c r="K313" s="69"/>
      <c r="L313" s="69"/>
      <c r="M313" s="69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69"/>
      <c r="J314" s="69"/>
      <c r="K314" s="69"/>
      <c r="L314" s="69"/>
      <c r="M314" s="69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69"/>
      <c r="J315" s="69"/>
      <c r="K315" s="69"/>
      <c r="L315" s="69"/>
      <c r="M315" s="69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69"/>
      <c r="J316" s="69"/>
      <c r="K316" s="69"/>
      <c r="L316" s="69"/>
      <c r="M316" s="69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69"/>
      <c r="J317" s="69"/>
      <c r="K317" s="69"/>
      <c r="L317" s="69"/>
      <c r="M317" s="69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69"/>
      <c r="J318" s="69"/>
      <c r="K318" s="69"/>
      <c r="L318" s="69"/>
      <c r="M318" s="69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69"/>
      <c r="J319" s="69"/>
      <c r="K319" s="69"/>
      <c r="L319" s="69"/>
      <c r="M319" s="69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69"/>
      <c r="J320" s="69"/>
      <c r="K320" s="69"/>
      <c r="L320" s="69"/>
      <c r="M320" s="69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69"/>
      <c r="J321" s="69"/>
      <c r="K321" s="69"/>
      <c r="L321" s="69"/>
      <c r="M321" s="69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69"/>
      <c r="J322" s="69"/>
      <c r="K322" s="69"/>
      <c r="L322" s="69"/>
      <c r="M322" s="69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69"/>
      <c r="J323" s="69"/>
      <c r="K323" s="69"/>
      <c r="L323" s="69"/>
      <c r="M323" s="69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69"/>
      <c r="J324" s="69"/>
      <c r="K324" s="69"/>
      <c r="L324" s="69"/>
      <c r="M324" s="69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69"/>
      <c r="J325" s="69"/>
      <c r="K325" s="69"/>
      <c r="L325" s="69"/>
      <c r="M325" s="69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69"/>
      <c r="J326" s="69"/>
      <c r="K326" s="69"/>
      <c r="L326" s="69"/>
      <c r="M326" s="69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69"/>
      <c r="J327" s="69"/>
      <c r="K327" s="69"/>
      <c r="L327" s="69"/>
      <c r="M327" s="69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69"/>
      <c r="J328" s="69"/>
      <c r="K328" s="69"/>
      <c r="L328" s="69"/>
      <c r="M328" s="69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69"/>
      <c r="J329" s="69"/>
      <c r="K329" s="69"/>
      <c r="L329" s="69"/>
      <c r="M329" s="69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69"/>
      <c r="J330" s="69"/>
      <c r="K330" s="69"/>
      <c r="L330" s="69"/>
      <c r="M330" s="69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69"/>
      <c r="J331" s="69"/>
      <c r="K331" s="69"/>
      <c r="L331" s="69"/>
      <c r="M331" s="69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69"/>
      <c r="J332" s="69"/>
      <c r="K332" s="69"/>
      <c r="L332" s="69"/>
      <c r="M332" s="69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69"/>
      <c r="J333" s="69"/>
      <c r="K333" s="69"/>
      <c r="L333" s="69"/>
      <c r="M333" s="69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69"/>
      <c r="J334" s="69"/>
      <c r="K334" s="69"/>
      <c r="L334" s="69"/>
      <c r="M334" s="69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69"/>
      <c r="J335" s="69"/>
      <c r="K335" s="69"/>
      <c r="L335" s="69"/>
      <c r="M335" s="69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69"/>
      <c r="J336" s="69"/>
      <c r="K336" s="69"/>
      <c r="L336" s="69"/>
      <c r="M336" s="69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69"/>
      <c r="J337" s="69"/>
      <c r="K337" s="69"/>
      <c r="L337" s="69"/>
      <c r="M337" s="69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69"/>
      <c r="J338" s="69"/>
      <c r="K338" s="69"/>
      <c r="L338" s="69"/>
      <c r="M338" s="69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69"/>
      <c r="J339" s="69"/>
      <c r="K339" s="69"/>
      <c r="L339" s="69"/>
      <c r="M339" s="69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69"/>
      <c r="J340" s="69"/>
      <c r="K340" s="69"/>
      <c r="L340" s="69"/>
      <c r="M340" s="69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69"/>
      <c r="J341" s="69"/>
      <c r="K341" s="69"/>
      <c r="L341" s="69"/>
      <c r="M341" s="69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69"/>
      <c r="J342" s="69"/>
      <c r="K342" s="69"/>
      <c r="L342" s="69"/>
      <c r="M342" s="69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69"/>
      <c r="J343" s="69"/>
      <c r="K343" s="69"/>
      <c r="L343" s="69"/>
      <c r="M343" s="69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69"/>
      <c r="J344" s="69"/>
      <c r="K344" s="69"/>
      <c r="L344" s="69"/>
      <c r="M344" s="69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69"/>
      <c r="J345" s="69"/>
      <c r="K345" s="69"/>
      <c r="L345" s="69"/>
      <c r="M345" s="69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69"/>
      <c r="J346" s="69"/>
      <c r="K346" s="69"/>
      <c r="L346" s="69"/>
      <c r="M346" s="69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69"/>
      <c r="J347" s="69"/>
      <c r="K347" s="69"/>
      <c r="L347" s="69"/>
      <c r="M347" s="69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69"/>
      <c r="J348" s="69"/>
      <c r="K348" s="69"/>
      <c r="L348" s="69"/>
      <c r="M348" s="69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69"/>
      <c r="J349" s="69"/>
      <c r="K349" s="69"/>
      <c r="L349" s="69"/>
      <c r="M349" s="69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69"/>
      <c r="J350" s="69"/>
      <c r="K350" s="69"/>
      <c r="L350" s="69"/>
      <c r="M350" s="69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69"/>
      <c r="J351" s="69"/>
      <c r="K351" s="69"/>
      <c r="L351" s="69"/>
      <c r="M351" s="69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69"/>
      <c r="J352" s="69"/>
      <c r="K352" s="69"/>
      <c r="L352" s="69"/>
      <c r="M352" s="69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69"/>
      <c r="J353" s="69"/>
      <c r="K353" s="69"/>
      <c r="L353" s="69"/>
      <c r="M353" s="69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69"/>
      <c r="J354" s="69"/>
      <c r="K354" s="69"/>
      <c r="L354" s="69"/>
      <c r="M354" s="69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69"/>
      <c r="J355" s="69"/>
      <c r="K355" s="69"/>
      <c r="L355" s="69"/>
      <c r="M355" s="69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69"/>
      <c r="J356" s="69"/>
      <c r="K356" s="69"/>
      <c r="L356" s="69"/>
      <c r="M356" s="69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abSelected="1" topLeftCell="G1" zoomScale="85" zoomScaleNormal="85" workbookViewId="0">
      <selection activeCell="T37" sqref="T37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69"/>
      <c r="G1" s="69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15" t="s">
        <v>272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7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0" customFormat="1" x14ac:dyDescent="0.3">
      <c r="A3" s="97"/>
      <c r="B3" s="97"/>
      <c r="C3" s="97"/>
      <c r="D3" s="97"/>
      <c r="E3" s="97"/>
      <c r="F3" s="178"/>
      <c r="G3" s="178"/>
      <c r="H3" s="179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</row>
    <row r="4" spans="1:42" s="200" customFormat="1" x14ac:dyDescent="0.3">
      <c r="A4" s="97"/>
      <c r="B4" s="97"/>
      <c r="C4" s="97"/>
      <c r="D4" s="97"/>
      <c r="E4" s="97"/>
      <c r="G4" s="178"/>
      <c r="H4" s="338" t="s">
        <v>315</v>
      </c>
      <c r="I4" s="338"/>
      <c r="K4" s="335" t="s">
        <v>253</v>
      </c>
      <c r="L4" s="336"/>
      <c r="M4" s="266">
        <v>4.4999999999999998E-2</v>
      </c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</row>
    <row r="5" spans="1:42" s="200" customFormat="1" x14ac:dyDescent="0.3">
      <c r="A5" s="97"/>
      <c r="B5" s="97"/>
      <c r="C5" s="97"/>
      <c r="D5" s="97"/>
      <c r="E5" s="97"/>
      <c r="G5" s="178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</row>
    <row r="6" spans="1:42" s="200" customFormat="1" ht="15" thickBot="1" x14ac:dyDescent="0.35">
      <c r="A6" s="97"/>
      <c r="B6" s="97"/>
      <c r="C6" s="97"/>
      <c r="D6" s="97"/>
      <c r="E6" s="97"/>
      <c r="F6" s="227"/>
      <c r="G6" s="178"/>
      <c r="H6" s="180"/>
      <c r="I6" s="180"/>
      <c r="J6" s="180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</row>
    <row r="7" spans="1:42" s="200" customFormat="1" ht="27.75" customHeight="1" thickBot="1" x14ac:dyDescent="0.55000000000000004">
      <c r="A7" s="273"/>
      <c r="B7" s="274"/>
      <c r="C7" s="274"/>
      <c r="D7" s="274"/>
      <c r="E7" s="275"/>
      <c r="F7" s="275" t="s">
        <v>192</v>
      </c>
      <c r="G7" s="276"/>
      <c r="H7" s="274"/>
      <c r="I7" s="274"/>
      <c r="J7" s="277"/>
      <c r="K7" s="271"/>
      <c r="L7" s="272"/>
      <c r="M7" s="272"/>
      <c r="N7" s="278" t="s">
        <v>191</v>
      </c>
      <c r="O7" s="278"/>
      <c r="P7" s="279"/>
      <c r="Q7" s="280"/>
      <c r="R7" s="327" t="s">
        <v>310</v>
      </c>
      <c r="S7" s="328"/>
      <c r="T7" s="328"/>
      <c r="U7" s="328"/>
      <c r="V7" s="329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</row>
    <row r="8" spans="1:42" x14ac:dyDescent="0.3">
      <c r="A8" s="25"/>
      <c r="C8" s="25"/>
      <c r="D8" s="25"/>
      <c r="E8" s="25"/>
      <c r="F8" s="219"/>
      <c r="G8" s="219"/>
      <c r="H8" s="5"/>
      <c r="I8" s="5"/>
      <c r="J8" s="212"/>
      <c r="K8" s="223"/>
      <c r="L8" s="25"/>
      <c r="M8" s="25"/>
      <c r="N8" s="25"/>
      <c r="O8" s="25"/>
      <c r="P8" s="25"/>
      <c r="Q8" s="263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58" t="s">
        <v>311</v>
      </c>
      <c r="C9" s="25"/>
      <c r="D9" s="25"/>
      <c r="E9" s="25"/>
      <c r="F9" s="259"/>
      <c r="G9" s="258" t="s">
        <v>314</v>
      </c>
      <c r="J9" s="212"/>
      <c r="K9" s="223"/>
      <c r="O9" s="25"/>
      <c r="P9" s="25"/>
      <c r="Q9" s="263"/>
      <c r="R9" s="25"/>
      <c r="S9" s="5"/>
      <c r="T9" s="183" t="s">
        <v>262</v>
      </c>
      <c r="U9" s="186" t="s">
        <v>249</v>
      </c>
      <c r="V9" s="183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58" t="s">
        <v>317</v>
      </c>
      <c r="C10" s="25"/>
      <c r="D10" s="25"/>
      <c r="E10" s="25"/>
      <c r="F10" s="259"/>
      <c r="G10" s="258" t="s">
        <v>316</v>
      </c>
      <c r="J10" s="212"/>
      <c r="K10" s="223"/>
      <c r="O10" s="25"/>
      <c r="P10" s="25"/>
      <c r="Q10" s="263"/>
      <c r="R10" s="25"/>
      <c r="S10" s="183" t="str">
        <f>B14</f>
        <v>Cèdre de l'Atlas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800.24193610640418</v>
      </c>
      <c r="U10" s="188">
        <f>'Données projet'!D9</f>
        <v>0.4</v>
      </c>
      <c r="V10" s="187">
        <f>U10*T10</f>
        <v>320.0967744425617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58" t="s">
        <v>312</v>
      </c>
      <c r="B11" s="25"/>
      <c r="C11" s="25"/>
      <c r="D11" s="25"/>
      <c r="E11" s="25"/>
      <c r="F11" s="259"/>
      <c r="G11" s="258" t="s">
        <v>313</v>
      </c>
      <c r="J11" s="212"/>
      <c r="K11" s="223"/>
      <c r="M11" s="5"/>
      <c r="N11" s="5"/>
      <c r="O11" s="25"/>
      <c r="P11" s="25"/>
      <c r="Q11" s="263"/>
      <c r="R11" s="25"/>
      <c r="S11" s="183" t="str">
        <f>B45</f>
        <v>Chêne sessile</v>
      </c>
      <c r="T11" s="27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745.68779920433803</v>
      </c>
      <c r="U11" s="188">
        <f>'Données projet'!D10</f>
        <v>1.2</v>
      </c>
      <c r="V11" s="187">
        <f t="shared" ref="V11" si="0">U11*T11</f>
        <v>894.82535904520557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59"/>
      <c r="G12" s="1"/>
      <c r="J12" s="212"/>
      <c r="K12" s="223"/>
      <c r="L12" s="215"/>
      <c r="M12" s="25"/>
      <c r="N12" s="25"/>
      <c r="O12" s="25"/>
      <c r="P12" s="25"/>
      <c r="Q12" s="263"/>
      <c r="R12" s="25"/>
      <c r="S12" s="183" t="str">
        <f>B76</f>
        <v>Chêne pubescent</v>
      </c>
      <c r="T12" s="27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591.87660484177854</v>
      </c>
      <c r="U12" s="188">
        <f>'Données projet'!D11</f>
        <v>1.2</v>
      </c>
      <c r="V12" s="187">
        <f t="shared" ref="V12:V19" si="1">U12*T12</f>
        <v>710.25192581013425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59"/>
      <c r="J13" s="25"/>
      <c r="K13" s="223"/>
      <c r="L13" s="182" t="s">
        <v>257</v>
      </c>
      <c r="M13" s="25"/>
      <c r="N13" s="25"/>
      <c r="O13" s="25"/>
      <c r="P13" s="25"/>
      <c r="Q13" s="263"/>
      <c r="R13" s="25"/>
      <c r="S13" s="183" t="str">
        <f>B107</f>
        <v>Alisier torminal</v>
      </c>
      <c r="T13" s="27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705.5478114794895</v>
      </c>
      <c r="U13" s="188">
        <f>'Données projet'!D12</f>
        <v>0.4</v>
      </c>
      <c r="V13" s="187">
        <f t="shared" si="1"/>
        <v>282.21912459179583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4" t="str">
        <f>IF('Données projet'!$B$9="","",'Données projet'!$B$9)</f>
        <v>Cèdre de l'Atlas</v>
      </c>
      <c r="C14" s="5"/>
      <c r="D14" s="5"/>
      <c r="E14" s="5"/>
      <c r="F14" s="259"/>
      <c r="G14" s="219"/>
      <c r="H14" s="183" t="s">
        <v>178</v>
      </c>
      <c r="I14" s="183" t="s">
        <v>290</v>
      </c>
      <c r="J14" s="213"/>
      <c r="K14" s="181"/>
      <c r="L14" s="215"/>
      <c r="M14" s="25"/>
      <c r="N14" s="25"/>
      <c r="O14" s="5"/>
      <c r="P14" s="5"/>
      <c r="Q14" s="264"/>
      <c r="R14" s="5"/>
      <c r="S14" s="183" t="str">
        <f>B138</f>
        <v>Cormier</v>
      </c>
      <c r="T14" s="27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705.5478114794895</v>
      </c>
      <c r="U14" s="188">
        <f>'Données projet'!D13</f>
        <v>0.4</v>
      </c>
      <c r="V14" s="187">
        <f t="shared" si="1"/>
        <v>282.21912459179583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59"/>
      <c r="G15" s="339" t="s">
        <v>318</v>
      </c>
      <c r="H15" s="201">
        <v>0</v>
      </c>
      <c r="I15" s="202">
        <v>0</v>
      </c>
      <c r="J15" s="214"/>
      <c r="K15" s="223"/>
      <c r="L15" s="215"/>
      <c r="M15" s="25"/>
      <c r="N15" s="25"/>
      <c r="O15" s="25"/>
      <c r="P15" s="25"/>
      <c r="Q15" s="263"/>
      <c r="R15" s="25"/>
      <c r="S15" s="183" t="str">
        <f>B169</f>
        <v>Tilleul</v>
      </c>
      <c r="T15" s="27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725.19010074067182</v>
      </c>
      <c r="U15" s="188">
        <f>'Données projet'!D14</f>
        <v>0.4</v>
      </c>
      <c r="V15" s="187">
        <f t="shared" si="1"/>
        <v>290.07604029626873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5" t="s">
        <v>180</v>
      </c>
      <c r="B16" s="51" t="s">
        <v>256</v>
      </c>
      <c r="C16" s="51" t="s">
        <v>255</v>
      </c>
      <c r="D16" s="255" t="s">
        <v>252</v>
      </c>
      <c r="E16" s="255" t="s">
        <v>320</v>
      </c>
      <c r="F16" s="259"/>
      <c r="G16" s="339"/>
      <c r="H16" s="201"/>
      <c r="I16" s="202"/>
      <c r="J16" s="214"/>
      <c r="K16" s="223"/>
      <c r="L16" s="335" t="s">
        <v>254</v>
      </c>
      <c r="M16" s="336"/>
      <c r="N16" s="2">
        <v>100</v>
      </c>
      <c r="O16" s="25"/>
      <c r="P16" s="25"/>
      <c r="Q16" s="263"/>
      <c r="R16" s="25"/>
      <c r="S16" s="183" t="str">
        <f>B200</f>
        <v/>
      </c>
      <c r="T16" s="27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8">
        <f>'Données projet'!D15</f>
        <v>0</v>
      </c>
      <c r="V16" s="187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08">
        <v>0</v>
      </c>
      <c r="B17" s="211" t="s">
        <v>132</v>
      </c>
      <c r="C17" s="210" t="s">
        <v>132</v>
      </c>
      <c r="D17" s="209" t="s">
        <v>132</v>
      </c>
      <c r="E17" s="204"/>
      <c r="F17" s="259"/>
      <c r="G17" s="339"/>
      <c r="J17" s="214"/>
      <c r="K17" s="223"/>
      <c r="L17" s="293" t="s">
        <v>289</v>
      </c>
      <c r="M17" s="295"/>
      <c r="N17" s="185">
        <f>VLOOKUP(N16,Calculateur!$A$2:$H$153,3,0)/VLOOKUP('Scénario référence'!$G$15,Paramètres!A1:I89,3,0)/VLOOKUP('Scénario référence'!$G$15,Paramètres!A1:I89,5,0)</f>
        <v>99.999999999999915</v>
      </c>
      <c r="O17" s="25"/>
      <c r="P17" s="25"/>
      <c r="Q17" s="263"/>
      <c r="R17" s="25"/>
      <c r="S17" s="183" t="str">
        <f>B231</f>
        <v/>
      </c>
      <c r="T17" s="27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8">
        <f>'Données projet'!D16</f>
        <v>0</v>
      </c>
      <c r="V17" s="187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08">
        <v>1</v>
      </c>
      <c r="B18" s="211" t="s">
        <v>132</v>
      </c>
      <c r="C18" s="210" t="s">
        <v>132</v>
      </c>
      <c r="D18" s="209" t="s">
        <v>132</v>
      </c>
      <c r="E18" s="204"/>
      <c r="F18" s="259"/>
      <c r="G18" s="339"/>
      <c r="J18" s="214"/>
      <c r="K18" s="223"/>
      <c r="L18" s="293" t="s">
        <v>255</v>
      </c>
      <c r="M18" s="295"/>
      <c r="N18" s="203">
        <v>20</v>
      </c>
      <c r="O18" s="25"/>
      <c r="P18" s="25"/>
      <c r="Q18" s="263"/>
      <c r="R18" s="25"/>
      <c r="S18" s="183" t="str">
        <f>B262</f>
        <v/>
      </c>
      <c r="T18" s="27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8">
        <f>'Données projet'!D17</f>
        <v>0</v>
      </c>
      <c r="V18" s="187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08">
        <v>2</v>
      </c>
      <c r="B19" s="211" t="s">
        <v>132</v>
      </c>
      <c r="C19" s="210" t="s">
        <v>132</v>
      </c>
      <c r="D19" s="209" t="s">
        <v>132</v>
      </c>
      <c r="E19" s="204"/>
      <c r="F19" s="259"/>
      <c r="G19" s="339"/>
      <c r="H19" s="230" t="s">
        <v>178</v>
      </c>
      <c r="I19" s="230" t="s">
        <v>287</v>
      </c>
      <c r="J19" s="258"/>
      <c r="K19" s="181"/>
      <c r="L19" s="335" t="s">
        <v>288</v>
      </c>
      <c r="M19" s="336"/>
      <c r="N19" s="189">
        <f>N17*N18</f>
        <v>1999.9999999999982</v>
      </c>
      <c r="O19" s="25"/>
      <c r="P19" s="5"/>
      <c r="Q19" s="264"/>
      <c r="R19" s="5"/>
      <c r="S19" s="183" t="str">
        <f>B293</f>
        <v/>
      </c>
      <c r="T19" s="27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8">
        <f>'Données projet'!D18</f>
        <v>0</v>
      </c>
      <c r="V19" s="187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08">
        <v>3</v>
      </c>
      <c r="B20" s="211" t="s">
        <v>132</v>
      </c>
      <c r="C20" s="210" t="s">
        <v>132</v>
      </c>
      <c r="D20" s="209" t="s">
        <v>132</v>
      </c>
      <c r="E20" s="204"/>
      <c r="F20" s="259"/>
      <c r="G20" s="339"/>
      <c r="H20" s="201">
        <v>0</v>
      </c>
      <c r="I20" s="202">
        <v>9045</v>
      </c>
      <c r="J20" s="5"/>
      <c r="K20" s="181"/>
      <c r="O20" s="25"/>
      <c r="P20" s="5"/>
      <c r="Q20" s="264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08">
        <v>4</v>
      </c>
      <c r="B21" s="211" t="s">
        <v>132</v>
      </c>
      <c r="C21" s="210" t="s">
        <v>132</v>
      </c>
      <c r="D21" s="209" t="s">
        <v>132</v>
      </c>
      <c r="E21" s="204"/>
      <c r="F21" s="259"/>
      <c r="H21" s="201"/>
      <c r="I21" s="202"/>
      <c r="K21" s="181"/>
      <c r="O21" s="25"/>
      <c r="P21" s="5"/>
      <c r="Q21" s="264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08">
        <v>5</v>
      </c>
      <c r="B22" s="211" t="s">
        <v>132</v>
      </c>
      <c r="C22" s="210" t="s">
        <v>132</v>
      </c>
      <c r="D22" s="209" t="s">
        <v>132</v>
      </c>
      <c r="E22" s="204"/>
      <c r="F22" s="259"/>
      <c r="H22" s="201"/>
      <c r="I22" s="202"/>
      <c r="K22" s="181"/>
      <c r="O22" s="25"/>
      <c r="P22" s="5"/>
      <c r="Q22" s="264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0">
        <f>'Données projet'!A36</f>
        <v>30</v>
      </c>
      <c r="B23" s="191">
        <f>'Données projet'!D36</f>
        <v>0</v>
      </c>
      <c r="C23" s="204"/>
      <c r="D23" s="192">
        <f>B23*C23</f>
        <v>0</v>
      </c>
      <c r="E23" s="204"/>
      <c r="F23" s="259"/>
      <c r="H23" s="201"/>
      <c r="I23" s="202"/>
      <c r="K23" s="223"/>
      <c r="L23" s="337" t="s">
        <v>260</v>
      </c>
      <c r="M23" s="337"/>
      <c r="N23" s="337"/>
      <c r="O23" s="25"/>
      <c r="P23" s="25"/>
      <c r="Q23" s="263"/>
      <c r="R23" s="25"/>
      <c r="S23" s="183" t="s">
        <v>264</v>
      </c>
      <c r="T23" s="332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-33400.31165122224</v>
      </c>
      <c r="U23" s="332"/>
      <c r="V23" s="332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0">
        <f>'Données projet'!A37</f>
        <v>35</v>
      </c>
      <c r="B24" s="191">
        <f>'Données projet'!D37</f>
        <v>0</v>
      </c>
      <c r="C24" s="204"/>
      <c r="D24" s="192">
        <f t="shared" ref="D24:D42" si="2">B24*C24</f>
        <v>0</v>
      </c>
      <c r="E24" s="204"/>
      <c r="F24" s="262"/>
      <c r="H24" s="201"/>
      <c r="I24" s="202"/>
      <c r="K24" s="223"/>
      <c r="O24" s="25"/>
      <c r="P24" s="25"/>
      <c r="Q24" s="263"/>
      <c r="R24" s="25"/>
      <c r="S24" s="183" t="s">
        <v>261</v>
      </c>
      <c r="T24" s="333">
        <f ca="1">'Scénario référence'!$B$8*$M$30*'Données projet'!$C$5+('Scénario référence'!B9+'Scénario référence'!B10+'Scénario référence'!F8+'Scénario référence'!F9)*$N$19/(1+M4)^N16*'Données projet'!$C$5</f>
        <v>98.053012764137719</v>
      </c>
      <c r="U24" s="333"/>
      <c r="V24" s="333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0">
        <f>'Données projet'!A38</f>
        <v>40</v>
      </c>
      <c r="B25" s="191">
        <f>'Données projet'!D38</f>
        <v>0</v>
      </c>
      <c r="C25" s="204"/>
      <c r="D25" s="192">
        <f t="shared" si="2"/>
        <v>0</v>
      </c>
      <c r="E25" s="204"/>
      <c r="F25" s="262"/>
      <c r="G25" s="1"/>
      <c r="H25" s="201"/>
      <c r="I25" s="202"/>
      <c r="K25" s="223"/>
      <c r="L25" s="269" t="s">
        <v>285</v>
      </c>
      <c r="M25" s="269"/>
      <c r="N25" s="269"/>
      <c r="O25" s="269"/>
      <c r="P25" s="203"/>
      <c r="Q25" s="263"/>
      <c r="R25" s="25"/>
      <c r="S25" s="196" t="s">
        <v>266</v>
      </c>
      <c r="T25" s="334">
        <f ca="1">T23-T24</f>
        <v>-33498.36466398638</v>
      </c>
      <c r="U25" s="334"/>
      <c r="V25" s="334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0">
        <f>'Données projet'!A39</f>
        <v>45</v>
      </c>
      <c r="B26" s="191">
        <f>'Données projet'!D39</f>
        <v>0</v>
      </c>
      <c r="C26" s="204"/>
      <c r="D26" s="192">
        <f t="shared" si="2"/>
        <v>0</v>
      </c>
      <c r="E26" s="204"/>
      <c r="F26" s="262"/>
      <c r="G26" s="257"/>
      <c r="H26" s="201"/>
      <c r="I26" s="202"/>
      <c r="K26" s="223"/>
      <c r="L26" s="321" t="s">
        <v>258</v>
      </c>
      <c r="M26" s="322"/>
      <c r="N26" s="322"/>
      <c r="O26" s="322"/>
      <c r="P26" s="323"/>
      <c r="Q26" s="263"/>
      <c r="R26" s="25"/>
      <c r="S26" s="196" t="s">
        <v>265</v>
      </c>
      <c r="T26" s="331" t="str">
        <f ca="1">IF(T25&lt;0,"Votre projet est additionnel","Votre projet n'est pas additionnel")</f>
        <v>Votre projet est additionnel</v>
      </c>
      <c r="U26" s="331"/>
      <c r="V26" s="331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0">
        <f>'Données projet'!A40</f>
        <v>50</v>
      </c>
      <c r="B27" s="191">
        <f>'Données projet'!D40</f>
        <v>0</v>
      </c>
      <c r="C27" s="204"/>
      <c r="D27" s="192">
        <f t="shared" si="2"/>
        <v>0</v>
      </c>
      <c r="E27" s="204"/>
      <c r="F27" s="262"/>
      <c r="G27" s="257"/>
      <c r="H27" s="201"/>
      <c r="I27" s="202"/>
      <c r="K27" s="223"/>
      <c r="L27" s="324"/>
      <c r="M27" s="325"/>
      <c r="N27" s="325"/>
      <c r="O27" s="325"/>
      <c r="P27" s="326"/>
      <c r="Q27" s="263"/>
      <c r="R27" s="25"/>
      <c r="S27" s="330" t="s">
        <v>267</v>
      </c>
      <c r="T27" s="330"/>
      <c r="U27" s="330"/>
      <c r="V27" s="330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0">
        <f>'Données projet'!A41</f>
        <v>51</v>
      </c>
      <c r="B28" s="191">
        <f>'Données projet'!D41</f>
        <v>100.30769230769231</v>
      </c>
      <c r="C28" s="204">
        <v>15</v>
      </c>
      <c r="D28" s="192">
        <f t="shared" si="2"/>
        <v>1504.6153846153845</v>
      </c>
      <c r="E28" s="204"/>
      <c r="F28" s="262"/>
      <c r="G28" s="220"/>
      <c r="H28" s="201"/>
      <c r="I28" s="202"/>
      <c r="K28" s="223"/>
      <c r="Q28" s="263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0">
        <f>'Données projet'!A42</f>
        <v>55</v>
      </c>
      <c r="B29" s="191">
        <f>'Données projet'!D42</f>
        <v>0</v>
      </c>
      <c r="C29" s="204"/>
      <c r="D29" s="192">
        <f t="shared" si="2"/>
        <v>0</v>
      </c>
      <c r="E29" s="204"/>
      <c r="F29" s="262"/>
      <c r="G29" s="216"/>
      <c r="H29" s="201"/>
      <c r="I29" s="202"/>
      <c r="K29" s="223"/>
      <c r="O29" s="25"/>
      <c r="P29" s="25"/>
      <c r="Q29" s="263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0">
        <f>'Données projet'!A43</f>
        <v>60</v>
      </c>
      <c r="B30" s="191">
        <f>'Données projet'!D43</f>
        <v>0</v>
      </c>
      <c r="C30" s="204"/>
      <c r="D30" s="192">
        <f t="shared" si="2"/>
        <v>0</v>
      </c>
      <c r="E30" s="204"/>
      <c r="F30" s="262"/>
      <c r="G30" s="216"/>
      <c r="H30" s="201"/>
      <c r="I30" s="202"/>
      <c r="K30" s="193"/>
      <c r="L30" s="183" t="s">
        <v>259</v>
      </c>
      <c r="M30" s="194">
        <f ca="1">SUM(OFFSET($P$33,0,0,MIN('Données projet'!$E$9:$E$18)+1,1))</f>
        <v>0</v>
      </c>
      <c r="O30" s="5"/>
      <c r="P30" s="5"/>
      <c r="Q30" s="264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0">
        <f>'Données projet'!A44</f>
        <v>63</v>
      </c>
      <c r="B31" s="191">
        <f>'Données projet'!D44</f>
        <v>108.0923076923077</v>
      </c>
      <c r="C31" s="204">
        <v>20</v>
      </c>
      <c r="D31" s="192">
        <f t="shared" si="2"/>
        <v>2161.8461538461538</v>
      </c>
      <c r="E31" s="204"/>
      <c r="F31" s="262"/>
      <c r="G31" s="216"/>
      <c r="H31" s="201"/>
      <c r="I31" s="202"/>
      <c r="K31" s="181"/>
      <c r="Q31" s="263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0">
        <f>'Données projet'!A45</f>
        <v>65</v>
      </c>
      <c r="B32" s="191">
        <f>'Données projet'!D45</f>
        <v>0</v>
      </c>
      <c r="C32" s="204"/>
      <c r="D32" s="192">
        <f t="shared" si="2"/>
        <v>0</v>
      </c>
      <c r="E32" s="204"/>
      <c r="F32" s="262"/>
      <c r="G32" s="216"/>
      <c r="H32" s="201"/>
      <c r="I32" s="202"/>
      <c r="K32" s="181"/>
      <c r="N32" s="5"/>
      <c r="O32" s="268" t="s">
        <v>178</v>
      </c>
      <c r="P32" s="268" t="s">
        <v>252</v>
      </c>
      <c r="Q32" s="263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0">
        <f>'Données projet'!A46</f>
        <v>70</v>
      </c>
      <c r="B33" s="191">
        <f>'Données projet'!D46</f>
        <v>0</v>
      </c>
      <c r="C33" s="204"/>
      <c r="D33" s="192">
        <f t="shared" si="2"/>
        <v>0</v>
      </c>
      <c r="E33" s="204"/>
      <c r="F33" s="262"/>
      <c r="G33" s="216"/>
      <c r="H33" s="201"/>
      <c r="I33" s="202"/>
      <c r="K33" s="181"/>
      <c r="L33" s="5"/>
      <c r="M33" s="5"/>
      <c r="N33" s="5"/>
      <c r="O33" s="205">
        <v>0</v>
      </c>
      <c r="P33" s="195">
        <f t="shared" ref="P33:P64" si="3">$P$25/(1+$M$4)^O33</f>
        <v>0</v>
      </c>
      <c r="Q33" s="263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0">
        <f>'Données projet'!A47</f>
        <v>75</v>
      </c>
      <c r="B34" s="191">
        <f>'Données projet'!D47</f>
        <v>85.361538461538458</v>
      </c>
      <c r="C34" s="204">
        <v>30</v>
      </c>
      <c r="D34" s="192">
        <f t="shared" si="2"/>
        <v>2560.8461538461538</v>
      </c>
      <c r="E34" s="204"/>
      <c r="F34" s="262"/>
      <c r="G34" s="216"/>
      <c r="H34" s="201"/>
      <c r="I34" s="202"/>
      <c r="K34" s="181"/>
      <c r="L34" s="282"/>
      <c r="M34" s="282"/>
      <c r="N34" s="283"/>
      <c r="O34" s="205">
        <f>IF(O33+1&lt;=MIN('Données projet'!$E$9:$E$18),O33+1,"STOP")</f>
        <v>1</v>
      </c>
      <c r="P34" s="195">
        <f t="shared" si="3"/>
        <v>0</v>
      </c>
      <c r="Q34" s="263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0">
        <f>'Données projet'!A48</f>
        <v>80</v>
      </c>
      <c r="B35" s="191">
        <f>'Données projet'!D48</f>
        <v>0</v>
      </c>
      <c r="C35" s="204"/>
      <c r="D35" s="192">
        <f t="shared" si="2"/>
        <v>0</v>
      </c>
      <c r="E35" s="204"/>
      <c r="F35" s="262"/>
      <c r="G35" s="216"/>
      <c r="H35" s="201"/>
      <c r="I35" s="202"/>
      <c r="K35" s="181"/>
      <c r="L35" s="282"/>
      <c r="M35" s="282"/>
      <c r="N35" s="283"/>
      <c r="O35" s="205">
        <f>IF(O34+1&lt;=MIN('Données projet'!$E$9:$E$18),O34+1,"STOP")</f>
        <v>2</v>
      </c>
      <c r="P35" s="195">
        <f t="shared" si="3"/>
        <v>0</v>
      </c>
      <c r="Q35" s="263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0">
        <f>'Données projet'!A49</f>
        <v>85</v>
      </c>
      <c r="B36" s="191">
        <f>'Données projet'!D49</f>
        <v>0</v>
      </c>
      <c r="C36" s="204"/>
      <c r="D36" s="192">
        <f t="shared" si="2"/>
        <v>0</v>
      </c>
      <c r="E36" s="204"/>
      <c r="F36" s="262"/>
      <c r="G36" s="216"/>
      <c r="H36" s="201"/>
      <c r="I36" s="202"/>
      <c r="K36" s="181"/>
      <c r="L36" s="25"/>
      <c r="M36" s="25"/>
      <c r="N36" s="25"/>
      <c r="O36" s="205">
        <f>IF(O35+1&lt;=MIN('Données projet'!$E$9:$E$18),O35+1,"STOP")</f>
        <v>3</v>
      </c>
      <c r="P36" s="195">
        <f t="shared" si="3"/>
        <v>0</v>
      </c>
      <c r="Q36" s="263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0">
        <f>'Données projet'!A50</f>
        <v>87</v>
      </c>
      <c r="B37" s="191">
        <f>'Données projet'!D50</f>
        <v>82.938461538461524</v>
      </c>
      <c r="C37" s="204">
        <v>50</v>
      </c>
      <c r="D37" s="192">
        <f t="shared" si="2"/>
        <v>4146.9230769230762</v>
      </c>
      <c r="E37" s="204"/>
      <c r="F37" s="262"/>
      <c r="G37" s="216"/>
      <c r="H37" s="201"/>
      <c r="I37" s="202"/>
      <c r="K37" s="181"/>
      <c r="L37" s="25"/>
      <c r="M37" s="25"/>
      <c r="N37" s="25"/>
      <c r="O37" s="205">
        <f>IF(O36+1&lt;=MIN('Données projet'!$E$9:$E$18),O36+1,"STOP")</f>
        <v>4</v>
      </c>
      <c r="P37" s="195">
        <f t="shared" si="3"/>
        <v>0</v>
      </c>
      <c r="Q37" s="263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0">
        <f>'Données projet'!A51</f>
        <v>90</v>
      </c>
      <c r="B38" s="191">
        <f>'Données projet'!D51</f>
        <v>0</v>
      </c>
      <c r="C38" s="204"/>
      <c r="D38" s="192">
        <f t="shared" si="2"/>
        <v>0</v>
      </c>
      <c r="E38" s="204"/>
      <c r="F38" s="262"/>
      <c r="G38" s="216"/>
      <c r="H38" s="201"/>
      <c r="I38" s="202"/>
      <c r="K38" s="181"/>
      <c r="L38" s="25"/>
      <c r="M38" s="25"/>
      <c r="N38" s="25"/>
      <c r="O38" s="205">
        <f>IF(O37+1&lt;=MIN('Données projet'!$E$9:$E$18),O37+1,"STOP")</f>
        <v>5</v>
      </c>
      <c r="P38" s="195">
        <f t="shared" si="3"/>
        <v>0</v>
      </c>
      <c r="Q38" s="263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0">
        <f>'Données projet'!A52</f>
        <v>95</v>
      </c>
      <c r="B39" s="191">
        <f>'Données projet'!D52</f>
        <v>0</v>
      </c>
      <c r="C39" s="204"/>
      <c r="D39" s="192">
        <f t="shared" si="2"/>
        <v>0</v>
      </c>
      <c r="E39" s="204"/>
      <c r="F39" s="262"/>
      <c r="G39" s="216"/>
      <c r="H39" s="201"/>
      <c r="I39" s="202"/>
      <c r="K39" s="223"/>
      <c r="L39" s="25"/>
      <c r="M39" s="25"/>
      <c r="N39" s="25"/>
      <c r="O39" s="205">
        <f>IF(O38+1&lt;=MIN('Données projet'!$E$9:$E$18),O38+1,"STOP")</f>
        <v>6</v>
      </c>
      <c r="P39" s="195">
        <f t="shared" si="3"/>
        <v>0</v>
      </c>
      <c r="Q39" s="263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0">
        <f>'Données projet'!A53</f>
        <v>99</v>
      </c>
      <c r="B40" s="191">
        <f>'Données projet'!D53</f>
        <v>198.32307692307691</v>
      </c>
      <c r="C40" s="204">
        <v>60</v>
      </c>
      <c r="D40" s="192">
        <f t="shared" si="2"/>
        <v>11899.384615384615</v>
      </c>
      <c r="E40" s="204"/>
      <c r="F40" s="262"/>
      <c r="G40" s="216"/>
      <c r="H40" s="201"/>
      <c r="I40" s="202"/>
      <c r="K40" s="223"/>
      <c r="L40" s="25"/>
      <c r="M40" s="25"/>
      <c r="N40" s="25"/>
      <c r="O40" s="205">
        <f>IF(O39+1&lt;=MIN('Données projet'!$E$9:$E$18),O39+1,"STOP")</f>
        <v>7</v>
      </c>
      <c r="P40" s="195">
        <f t="shared" si="3"/>
        <v>0</v>
      </c>
      <c r="Q40" s="263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0">
        <f>'Données projet'!A54</f>
        <v>100</v>
      </c>
      <c r="B41" s="191">
        <f>'Données projet'!D54</f>
        <v>0</v>
      </c>
      <c r="C41" s="204"/>
      <c r="D41" s="192">
        <f t="shared" si="2"/>
        <v>0</v>
      </c>
      <c r="E41" s="204"/>
      <c r="F41" s="262"/>
      <c r="G41" s="216"/>
      <c r="H41" s="201"/>
      <c r="I41" s="202"/>
      <c r="K41" s="223"/>
      <c r="L41" s="25"/>
      <c r="M41" s="25"/>
      <c r="N41" s="25"/>
      <c r="O41" s="205">
        <f>IF(O40+1&lt;=MIN('Données projet'!$E$9:$E$18),O40+1,"STOP")</f>
        <v>8</v>
      </c>
      <c r="P41" s="195">
        <f t="shared" si="3"/>
        <v>0</v>
      </c>
      <c r="Q41" s="263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0">
        <f>'Données projet'!A55</f>
        <v>109</v>
      </c>
      <c r="B42" s="191">
        <f>'Données projet'!D55</f>
        <v>256.09230769230771</v>
      </c>
      <c r="C42" s="204">
        <v>80</v>
      </c>
      <c r="D42" s="192">
        <f t="shared" si="2"/>
        <v>20487.384615384617</v>
      </c>
      <c r="E42" s="204"/>
      <c r="F42" s="262"/>
      <c r="G42" s="216"/>
      <c r="H42" s="201"/>
      <c r="I42" s="202"/>
      <c r="K42" s="223"/>
      <c r="L42" s="25"/>
      <c r="M42" s="25"/>
      <c r="N42" s="25"/>
      <c r="O42" s="205">
        <f>IF(O41+1&lt;=MIN('Données projet'!$E$9:$E$18),O41+1,"STOP")</f>
        <v>9</v>
      </c>
      <c r="P42" s="195">
        <f t="shared" si="3"/>
        <v>0</v>
      </c>
      <c r="Q42" s="263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7"/>
      <c r="B43" s="197"/>
      <c r="C43" s="197"/>
      <c r="D43" s="254"/>
      <c r="E43" s="254"/>
      <c r="F43" s="267"/>
      <c r="G43" s="216"/>
      <c r="H43" s="201"/>
      <c r="I43" s="202"/>
      <c r="K43" s="223"/>
      <c r="L43" s="25"/>
      <c r="M43" s="25"/>
      <c r="N43" s="25"/>
      <c r="O43" s="205">
        <f>IF(O42+1&lt;=MIN('Données projet'!$E$9:$E$18),O42+1,"STOP")</f>
        <v>10</v>
      </c>
      <c r="P43" s="195">
        <f t="shared" si="3"/>
        <v>0</v>
      </c>
      <c r="Q43" s="264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59"/>
      <c r="G44" s="216"/>
      <c r="H44" s="201"/>
      <c r="I44" s="202"/>
      <c r="K44" s="223"/>
      <c r="L44" s="25"/>
      <c r="M44" s="25"/>
      <c r="N44" s="25"/>
      <c r="O44" s="205">
        <f>IF(O43+1&lt;=MIN('Données projet'!$E$9:$E$18),O43+1,"STOP")</f>
        <v>11</v>
      </c>
      <c r="P44" s="195">
        <f t="shared" si="3"/>
        <v>0</v>
      </c>
      <c r="Q44" s="264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4" t="str">
        <f>IF('Données projet'!$B$10="","",'Données projet'!$B$10)</f>
        <v>Chêne sessile</v>
      </c>
      <c r="C45" s="5"/>
      <c r="D45" s="5"/>
      <c r="E45" s="5"/>
      <c r="F45" s="259"/>
      <c r="G45" s="216"/>
      <c r="H45" s="201"/>
      <c r="I45" s="202"/>
      <c r="J45" s="25"/>
      <c r="K45" s="223"/>
      <c r="L45" s="25"/>
      <c r="M45" s="25"/>
      <c r="N45" s="25"/>
      <c r="O45" s="205">
        <f>IF(O44+1&lt;=MIN('Données projet'!$E$9:$E$18),O44+1,"STOP")</f>
        <v>12</v>
      </c>
      <c r="P45" s="195">
        <f t="shared" si="3"/>
        <v>0</v>
      </c>
      <c r="Q45" s="264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59"/>
      <c r="G46" s="216"/>
      <c r="H46" s="201"/>
      <c r="I46" s="202"/>
      <c r="J46" s="25"/>
      <c r="K46" s="223"/>
      <c r="L46" s="218"/>
      <c r="M46" s="218"/>
      <c r="N46" s="218"/>
      <c r="O46" s="205">
        <f>IF(O45+1&lt;=MIN('Données projet'!$E$9:$E$18),O45+1,"STOP")</f>
        <v>13</v>
      </c>
      <c r="P46" s="198">
        <f t="shared" si="3"/>
        <v>0</v>
      </c>
      <c r="Q46" s="264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5" t="s">
        <v>180</v>
      </c>
      <c r="B47" s="51" t="s">
        <v>256</v>
      </c>
      <c r="C47" s="51" t="s">
        <v>255</v>
      </c>
      <c r="D47" s="255" t="s">
        <v>252</v>
      </c>
      <c r="E47" s="255" t="s">
        <v>320</v>
      </c>
      <c r="F47" s="260"/>
      <c r="G47" s="216"/>
      <c r="H47" s="201"/>
      <c r="I47" s="202"/>
      <c r="J47" s="25"/>
      <c r="K47" s="223"/>
      <c r="L47" s="5"/>
      <c r="M47" s="5"/>
      <c r="N47" s="5"/>
      <c r="O47" s="205">
        <f>IF(O46+1&lt;=MIN('Données projet'!$E$9:$E$18),O46+1,"STOP")</f>
        <v>14</v>
      </c>
      <c r="P47" s="195">
        <f t="shared" si="3"/>
        <v>0</v>
      </c>
      <c r="Q47" s="264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08">
        <v>0</v>
      </c>
      <c r="B48" s="211" t="s">
        <v>132</v>
      </c>
      <c r="C48" s="210" t="s">
        <v>132</v>
      </c>
      <c r="D48" s="209" t="s">
        <v>132</v>
      </c>
      <c r="E48" s="204"/>
      <c r="F48" s="260"/>
      <c r="G48" s="216"/>
      <c r="H48" s="201"/>
      <c r="I48" s="202"/>
      <c r="J48" s="25"/>
      <c r="K48" s="223"/>
      <c r="L48" s="5"/>
      <c r="M48" s="5"/>
      <c r="N48" s="5"/>
      <c r="O48" s="205">
        <f>IF(O47+1&lt;=MIN('Données projet'!$E$9:$E$18),O47+1,"STOP")</f>
        <v>15</v>
      </c>
      <c r="P48" s="195">
        <f t="shared" si="3"/>
        <v>0</v>
      </c>
      <c r="Q48" s="264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6" customFormat="1" ht="17.25" customHeight="1" x14ac:dyDescent="0.3">
      <c r="A49" s="208">
        <v>1</v>
      </c>
      <c r="B49" s="211" t="s">
        <v>132</v>
      </c>
      <c r="C49" s="210" t="s">
        <v>132</v>
      </c>
      <c r="D49" s="209" t="s">
        <v>132</v>
      </c>
      <c r="E49" s="204"/>
      <c r="F49" s="260"/>
      <c r="G49" s="217"/>
      <c r="H49" s="201"/>
      <c r="I49" s="202"/>
      <c r="J49" s="218"/>
      <c r="K49" s="225"/>
      <c r="L49" s="5"/>
      <c r="M49" s="5"/>
      <c r="N49" s="5"/>
      <c r="O49" s="205">
        <f>IF(O48+1&lt;=MIN('Données projet'!$E$9:$E$18),O48+1,"STOP")</f>
        <v>16</v>
      </c>
      <c r="P49" s="195">
        <f t="shared" si="3"/>
        <v>0</v>
      </c>
      <c r="Q49" s="265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</row>
    <row r="50" spans="1:56" x14ac:dyDescent="0.3">
      <c r="A50" s="208">
        <v>2</v>
      </c>
      <c r="B50" s="211" t="s">
        <v>132</v>
      </c>
      <c r="C50" s="210" t="s">
        <v>132</v>
      </c>
      <c r="D50" s="209" t="s">
        <v>132</v>
      </c>
      <c r="E50" s="204"/>
      <c r="F50" s="260"/>
      <c r="G50" s="219"/>
      <c r="H50" s="201"/>
      <c r="I50" s="202"/>
      <c r="J50" s="25"/>
      <c r="K50" s="181"/>
      <c r="L50" s="5"/>
      <c r="M50" s="5"/>
      <c r="N50" s="5"/>
      <c r="O50" s="205">
        <f>IF(O49+1&lt;=MIN('Données projet'!$E$9:$E$18),O49+1,"STOP")</f>
        <v>17</v>
      </c>
      <c r="P50" s="195">
        <f t="shared" si="3"/>
        <v>0</v>
      </c>
      <c r="Q50" s="264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08">
        <v>3</v>
      </c>
      <c r="B51" s="211" t="s">
        <v>132</v>
      </c>
      <c r="C51" s="210" t="s">
        <v>132</v>
      </c>
      <c r="D51" s="209" t="s">
        <v>132</v>
      </c>
      <c r="E51" s="204"/>
      <c r="F51" s="260"/>
      <c r="G51" s="219"/>
      <c r="H51" s="201"/>
      <c r="I51" s="202"/>
      <c r="J51" s="25"/>
      <c r="K51" s="181"/>
      <c r="L51" s="5"/>
      <c r="M51" s="5"/>
      <c r="N51" s="5"/>
      <c r="O51" s="205">
        <f>IF(O50+1&lt;=MIN('Données projet'!$E$9:$E$18),O50+1,"STOP")</f>
        <v>18</v>
      </c>
      <c r="P51" s="195">
        <f t="shared" si="3"/>
        <v>0</v>
      </c>
      <c r="Q51" s="264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08">
        <v>4</v>
      </c>
      <c r="B52" s="211" t="s">
        <v>132</v>
      </c>
      <c r="C52" s="210" t="s">
        <v>132</v>
      </c>
      <c r="D52" s="209" t="s">
        <v>132</v>
      </c>
      <c r="E52" s="204"/>
      <c r="F52" s="260"/>
      <c r="G52" s="219"/>
      <c r="H52" s="201"/>
      <c r="I52" s="202"/>
      <c r="J52" s="25"/>
      <c r="K52" s="181"/>
      <c r="L52" s="5"/>
      <c r="M52" s="5"/>
      <c r="N52" s="5"/>
      <c r="O52" s="205">
        <f>IF(O51+1&lt;=MIN('Données projet'!$E$9:$E$18),O51+1,"STOP")</f>
        <v>19</v>
      </c>
      <c r="P52" s="195">
        <f t="shared" si="3"/>
        <v>0</v>
      </c>
      <c r="Q52" s="264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08">
        <v>5</v>
      </c>
      <c r="B53" s="211" t="s">
        <v>132</v>
      </c>
      <c r="C53" s="210" t="s">
        <v>132</v>
      </c>
      <c r="D53" s="209" t="s">
        <v>132</v>
      </c>
      <c r="E53" s="204"/>
      <c r="F53" s="260"/>
      <c r="G53" s="220"/>
      <c r="H53" s="201"/>
      <c r="I53" s="202"/>
      <c r="J53" s="25"/>
      <c r="K53" s="181"/>
      <c r="L53" s="5"/>
      <c r="M53" s="5"/>
      <c r="N53" s="5"/>
      <c r="O53" s="205">
        <f>IF(O52+1&lt;=MIN('Données projet'!$E$9:$E$18),O52+1,"STOP")</f>
        <v>20</v>
      </c>
      <c r="P53" s="195">
        <f t="shared" si="3"/>
        <v>0</v>
      </c>
      <c r="Q53" s="264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0">
        <f>'Données projet'!A62</f>
        <v>20</v>
      </c>
      <c r="B54" s="191">
        <f>'Données projet'!D62</f>
        <v>0</v>
      </c>
      <c r="C54" s="202"/>
      <c r="D54" s="189">
        <f>B54*C54</f>
        <v>0</v>
      </c>
      <c r="E54" s="204"/>
      <c r="F54" s="261"/>
      <c r="G54" s="220"/>
      <c r="H54" s="201"/>
      <c r="I54" s="202"/>
      <c r="J54" s="25"/>
      <c r="K54" s="181"/>
      <c r="L54" s="5"/>
      <c r="M54" s="5"/>
      <c r="N54" s="5"/>
      <c r="O54" s="205">
        <f>IF(O53+1&lt;=MIN('Données projet'!$E$9:$E$18),O53+1,"STOP")</f>
        <v>21</v>
      </c>
      <c r="P54" s="195">
        <f t="shared" si="3"/>
        <v>0</v>
      </c>
      <c r="Q54" s="264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0">
        <f>'Données projet'!A63</f>
        <v>25</v>
      </c>
      <c r="B55" s="191">
        <f>'Données projet'!D63</f>
        <v>34</v>
      </c>
      <c r="C55" s="204">
        <v>10</v>
      </c>
      <c r="D55" s="189">
        <f t="shared" ref="D55:D73" si="4">B55*C55</f>
        <v>340</v>
      </c>
      <c r="E55" s="204"/>
      <c r="F55" s="261"/>
      <c r="G55" s="220"/>
      <c r="H55" s="201"/>
      <c r="I55" s="202"/>
      <c r="J55" s="25"/>
      <c r="K55" s="181"/>
      <c r="L55" s="5"/>
      <c r="M55" s="5"/>
      <c r="N55" s="5"/>
      <c r="O55" s="205">
        <f>IF(O54+1&lt;=MIN('Données projet'!$E$9:$E$18),O54+1,"STOP")</f>
        <v>22</v>
      </c>
      <c r="P55" s="195">
        <f t="shared" si="3"/>
        <v>0</v>
      </c>
      <c r="Q55" s="264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0">
        <f>'Données projet'!A64</f>
        <v>30</v>
      </c>
      <c r="B56" s="191">
        <f>'Données projet'!D64</f>
        <v>0</v>
      </c>
      <c r="C56" s="204"/>
      <c r="D56" s="189">
        <f t="shared" si="4"/>
        <v>0</v>
      </c>
      <c r="E56" s="204"/>
      <c r="F56" s="261"/>
      <c r="G56" s="220"/>
      <c r="H56" s="201"/>
      <c r="I56" s="202"/>
      <c r="J56" s="25"/>
      <c r="K56" s="181"/>
      <c r="L56" s="5"/>
      <c r="M56" s="5"/>
      <c r="N56" s="5"/>
      <c r="O56" s="205">
        <f>IF(O55+1&lt;=MIN('Données projet'!$E$9:$E$18),O55+1,"STOP")</f>
        <v>23</v>
      </c>
      <c r="P56" s="195">
        <f t="shared" si="3"/>
        <v>0</v>
      </c>
      <c r="Q56" s="264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0">
        <f>'Données projet'!A65</f>
        <v>35</v>
      </c>
      <c r="B57" s="191">
        <f>'Données projet'!D65</f>
        <v>56</v>
      </c>
      <c r="C57" s="204">
        <v>10</v>
      </c>
      <c r="D57" s="189">
        <f t="shared" si="4"/>
        <v>560</v>
      </c>
      <c r="E57" s="204"/>
      <c r="F57" s="261"/>
      <c r="G57" s="220"/>
      <c r="H57" s="201"/>
      <c r="I57" s="202"/>
      <c r="J57" s="25"/>
      <c r="K57" s="181"/>
      <c r="L57" s="5"/>
      <c r="M57" s="5"/>
      <c r="N57" s="5"/>
      <c r="O57" s="205">
        <f>IF(O56+1&lt;=MIN('Données projet'!$E$9:$E$18),O56+1,"STOP")</f>
        <v>24</v>
      </c>
      <c r="P57" s="195">
        <f t="shared" si="3"/>
        <v>0</v>
      </c>
      <c r="Q57" s="264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0">
        <f>'Données projet'!A66</f>
        <v>40</v>
      </c>
      <c r="B58" s="191">
        <f>'Données projet'!D66</f>
        <v>0</v>
      </c>
      <c r="C58" s="204"/>
      <c r="D58" s="189">
        <f t="shared" si="4"/>
        <v>0</v>
      </c>
      <c r="E58" s="204"/>
      <c r="F58" s="261"/>
      <c r="G58" s="220"/>
      <c r="H58" s="201"/>
      <c r="I58" s="202"/>
      <c r="J58" s="25"/>
      <c r="K58" s="181"/>
      <c r="L58" s="5"/>
      <c r="M58" s="5"/>
      <c r="N58" s="5"/>
      <c r="O58" s="205">
        <f>IF(O57+1&lt;=MIN('Données projet'!$E$9:$E$18),O57+1,"STOP")</f>
        <v>25</v>
      </c>
      <c r="P58" s="195">
        <f t="shared" si="3"/>
        <v>0</v>
      </c>
      <c r="Q58" s="264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0">
        <f>'Données projet'!A67</f>
        <v>45</v>
      </c>
      <c r="B59" s="191">
        <f>'Données projet'!D67</f>
        <v>56</v>
      </c>
      <c r="C59" s="204">
        <v>10</v>
      </c>
      <c r="D59" s="189">
        <f t="shared" si="4"/>
        <v>560</v>
      </c>
      <c r="E59" s="204"/>
      <c r="F59" s="261"/>
      <c r="G59" s="220"/>
      <c r="H59" s="201"/>
      <c r="I59" s="202"/>
      <c r="J59" s="25"/>
      <c r="K59" s="181"/>
      <c r="L59" s="5"/>
      <c r="M59" s="5"/>
      <c r="N59" s="5"/>
      <c r="O59" s="205">
        <f>IF(O58+1&lt;=MIN('Données projet'!$E$9:$E$18),O58+1,"STOP")</f>
        <v>26</v>
      </c>
      <c r="P59" s="195">
        <f t="shared" si="3"/>
        <v>0</v>
      </c>
      <c r="Q59" s="264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0">
        <f>'Données projet'!A68</f>
        <v>50</v>
      </c>
      <c r="B60" s="191">
        <f>'Données projet'!D68</f>
        <v>0</v>
      </c>
      <c r="C60" s="204"/>
      <c r="D60" s="189">
        <f t="shared" si="4"/>
        <v>0</v>
      </c>
      <c r="E60" s="204"/>
      <c r="F60" s="261"/>
      <c r="G60" s="221"/>
      <c r="H60" s="201"/>
      <c r="I60" s="202"/>
      <c r="J60" s="25"/>
      <c r="K60" s="181"/>
      <c r="L60" s="5"/>
      <c r="M60" s="5"/>
      <c r="N60" s="5"/>
      <c r="O60" s="205">
        <f>IF(O59+1&lt;=MIN('Données projet'!$E$9:$E$18),O59+1,"STOP")</f>
        <v>27</v>
      </c>
      <c r="P60" s="195">
        <f t="shared" si="3"/>
        <v>0</v>
      </c>
      <c r="Q60" s="264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0">
        <f>'Données projet'!A69</f>
        <v>55</v>
      </c>
      <c r="B61" s="191">
        <f>'Données projet'!D69</f>
        <v>56</v>
      </c>
      <c r="C61" s="204">
        <v>20</v>
      </c>
      <c r="D61" s="189">
        <f t="shared" si="4"/>
        <v>1120</v>
      </c>
      <c r="E61" s="204"/>
      <c r="F61" s="261"/>
      <c r="G61" s="221"/>
      <c r="H61" s="201"/>
      <c r="I61" s="202"/>
      <c r="J61" s="25"/>
      <c r="K61" s="181"/>
      <c r="L61" s="5"/>
      <c r="M61" s="5"/>
      <c r="N61" s="5"/>
      <c r="O61" s="205">
        <f>IF(O60+1&lt;=MIN('Données projet'!$E$9:$E$18),O60+1,"STOP")</f>
        <v>28</v>
      </c>
      <c r="P61" s="195">
        <f t="shared" si="3"/>
        <v>0</v>
      </c>
      <c r="Q61" s="264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0">
        <f>'Données projet'!A70</f>
        <v>60</v>
      </c>
      <c r="B62" s="191">
        <f>'Données projet'!D70</f>
        <v>0</v>
      </c>
      <c r="C62" s="204"/>
      <c r="D62" s="189">
        <f t="shared" si="4"/>
        <v>0</v>
      </c>
      <c r="E62" s="204"/>
      <c r="F62" s="261"/>
      <c r="G62" s="221"/>
      <c r="H62" s="201"/>
      <c r="I62" s="202"/>
      <c r="J62" s="25"/>
      <c r="K62" s="181"/>
      <c r="L62" s="5"/>
      <c r="M62" s="5"/>
      <c r="N62" s="5"/>
      <c r="O62" s="205">
        <f>IF(O61+1&lt;=MIN('Données projet'!$E$9:$E$18),O61+1,"STOP")</f>
        <v>29</v>
      </c>
      <c r="P62" s="195">
        <f t="shared" si="3"/>
        <v>0</v>
      </c>
      <c r="Q62" s="264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0">
        <f>'Données projet'!A71</f>
        <v>65</v>
      </c>
      <c r="B63" s="191">
        <f>'Données projet'!D71</f>
        <v>56</v>
      </c>
      <c r="C63" s="204">
        <v>30</v>
      </c>
      <c r="D63" s="189">
        <f t="shared" si="4"/>
        <v>1680</v>
      </c>
      <c r="E63" s="204"/>
      <c r="F63" s="261"/>
      <c r="G63" s="221"/>
      <c r="H63" s="201"/>
      <c r="I63" s="202"/>
      <c r="J63" s="25"/>
      <c r="K63" s="181"/>
      <c r="L63" s="5"/>
      <c r="M63" s="5"/>
      <c r="N63" s="5"/>
      <c r="O63" s="205">
        <f>IF(O62+1&lt;=MIN('Données projet'!$E$9:$E$18),O62+1,"STOP")</f>
        <v>30</v>
      </c>
      <c r="P63" s="195">
        <f t="shared" si="3"/>
        <v>0</v>
      </c>
      <c r="Q63" s="264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0">
        <f>'Données projet'!A72</f>
        <v>70</v>
      </c>
      <c r="B64" s="191">
        <f>'Données projet'!D72</f>
        <v>0</v>
      </c>
      <c r="C64" s="204"/>
      <c r="D64" s="189">
        <f t="shared" si="4"/>
        <v>0</v>
      </c>
      <c r="E64" s="204"/>
      <c r="F64" s="261"/>
      <c r="G64" s="221"/>
      <c r="H64" s="201"/>
      <c r="I64" s="202"/>
      <c r="J64" s="222"/>
      <c r="K64" s="181"/>
      <c r="L64" s="5"/>
      <c r="M64" s="5"/>
      <c r="N64" s="5"/>
      <c r="O64" s="205">
        <f>IF(O63+1&lt;=MIN('Données projet'!$E$9:$E$18),O63+1,"STOP")</f>
        <v>31</v>
      </c>
      <c r="P64" s="195">
        <f t="shared" si="3"/>
        <v>0</v>
      </c>
      <c r="Q64" s="264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0">
        <f>'Données projet'!A73</f>
        <v>75</v>
      </c>
      <c r="B65" s="191">
        <f>'Données projet'!D73</f>
        <v>56</v>
      </c>
      <c r="C65" s="204">
        <v>40</v>
      </c>
      <c r="D65" s="189">
        <f t="shared" si="4"/>
        <v>2240</v>
      </c>
      <c r="E65" s="204"/>
      <c r="F65" s="261"/>
      <c r="G65" s="221"/>
      <c r="H65" s="201"/>
      <c r="I65" s="202"/>
      <c r="J65" s="199"/>
      <c r="K65" s="181"/>
      <c r="L65" s="5"/>
      <c r="M65" s="5"/>
      <c r="N65" s="5"/>
      <c r="O65" s="205">
        <f>IF(O64+1&lt;=MIN('Données projet'!$E$9:$E$18),O64+1,"STOP")</f>
        <v>32</v>
      </c>
      <c r="P65" s="195">
        <f t="shared" ref="P65:P96" si="5">$P$25/(1+$M$4)^O65</f>
        <v>0</v>
      </c>
      <c r="Q65" s="264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0">
        <f>'Données projet'!A74</f>
        <v>80</v>
      </c>
      <c r="B66" s="191">
        <f>'Données projet'!D74</f>
        <v>0</v>
      </c>
      <c r="C66" s="204"/>
      <c r="D66" s="189">
        <f t="shared" si="4"/>
        <v>0</v>
      </c>
      <c r="E66" s="204"/>
      <c r="F66" s="261"/>
      <c r="G66" s="221"/>
      <c r="H66" s="201"/>
      <c r="I66" s="202"/>
      <c r="J66" s="199"/>
      <c r="K66" s="181"/>
      <c r="L66" s="5"/>
      <c r="M66" s="5"/>
      <c r="N66" s="5"/>
      <c r="O66" s="205">
        <f>IF(O65+1&lt;=MIN('Données projet'!$E$9:$E$18),O65+1,"STOP")</f>
        <v>33</v>
      </c>
      <c r="P66" s="195">
        <f t="shared" si="5"/>
        <v>0</v>
      </c>
      <c r="Q66" s="264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0">
        <f>'Données projet'!A75</f>
        <v>90</v>
      </c>
      <c r="B67" s="191">
        <f>'Données projet'!D75</f>
        <v>84</v>
      </c>
      <c r="C67" s="204">
        <v>50</v>
      </c>
      <c r="D67" s="189">
        <f t="shared" si="4"/>
        <v>4200</v>
      </c>
      <c r="E67" s="204"/>
      <c r="F67" s="261"/>
      <c r="G67" s="221"/>
      <c r="H67" s="201"/>
      <c r="I67" s="202"/>
      <c r="J67" s="199"/>
      <c r="K67" s="181"/>
      <c r="L67" s="5"/>
      <c r="M67" s="5"/>
      <c r="N67" s="5"/>
      <c r="O67" s="205">
        <f>IF(O66+1&lt;=MIN('Données projet'!$E$9:$E$18),O66+1,"STOP")</f>
        <v>34</v>
      </c>
      <c r="P67" s="195">
        <f t="shared" si="5"/>
        <v>0</v>
      </c>
      <c r="Q67" s="264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0">
        <f>'Données projet'!A76</f>
        <v>100</v>
      </c>
      <c r="B68" s="191">
        <f>'Données projet'!D76</f>
        <v>0</v>
      </c>
      <c r="C68" s="204"/>
      <c r="D68" s="189">
        <f t="shared" si="4"/>
        <v>0</v>
      </c>
      <c r="E68" s="204"/>
      <c r="F68" s="261"/>
      <c r="G68" s="221"/>
      <c r="H68" s="201"/>
      <c r="I68" s="202"/>
      <c r="J68" s="199"/>
      <c r="K68" s="181"/>
      <c r="L68" s="5"/>
      <c r="M68" s="5"/>
      <c r="N68" s="5"/>
      <c r="O68" s="205">
        <f>IF(O67+1&lt;=MIN('Données projet'!$E$9:$E$18),O67+1,"STOP")</f>
        <v>35</v>
      </c>
      <c r="P68" s="195">
        <f t="shared" si="5"/>
        <v>0</v>
      </c>
      <c r="Q68" s="264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0">
        <f>'Données projet'!A77</f>
        <v>110</v>
      </c>
      <c r="B69" s="191">
        <f>'Données projet'!D77</f>
        <v>106</v>
      </c>
      <c r="C69" s="204">
        <v>70</v>
      </c>
      <c r="D69" s="189">
        <f t="shared" si="4"/>
        <v>7420</v>
      </c>
      <c r="E69" s="204"/>
      <c r="F69" s="261"/>
      <c r="G69" s="221"/>
      <c r="H69" s="201"/>
      <c r="I69" s="202"/>
      <c r="J69" s="199"/>
      <c r="K69" s="181"/>
      <c r="L69" s="5"/>
      <c r="M69" s="5"/>
      <c r="N69" s="5"/>
      <c r="O69" s="205">
        <f>IF(O68+1&lt;=MIN('Données projet'!$E$9:$E$18),O68+1,"STOP")</f>
        <v>36</v>
      </c>
      <c r="P69" s="195">
        <f t="shared" si="5"/>
        <v>0</v>
      </c>
      <c r="Q69" s="264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0">
        <f>'Données projet'!A78</f>
        <v>120</v>
      </c>
      <c r="B70" s="191">
        <f>'Données projet'!D78</f>
        <v>0</v>
      </c>
      <c r="C70" s="204"/>
      <c r="D70" s="189">
        <f t="shared" si="4"/>
        <v>0</v>
      </c>
      <c r="E70" s="204"/>
      <c r="F70" s="261"/>
      <c r="G70" s="221"/>
      <c r="H70" s="201"/>
      <c r="I70" s="202"/>
      <c r="J70" s="199"/>
      <c r="K70" s="181"/>
      <c r="L70" s="5"/>
      <c r="M70" s="5"/>
      <c r="N70" s="5"/>
      <c r="O70" s="205">
        <f>IF(O69+1&lt;=MIN('Données projet'!$E$9:$E$18),O69+1,"STOP")</f>
        <v>37</v>
      </c>
      <c r="P70" s="195">
        <f t="shared" si="5"/>
        <v>0</v>
      </c>
      <c r="Q70" s="264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0">
        <f>'Données projet'!A79</f>
        <v>130</v>
      </c>
      <c r="B71" s="191">
        <f>'Données projet'!D79</f>
        <v>91</v>
      </c>
      <c r="C71" s="204">
        <v>100</v>
      </c>
      <c r="D71" s="189">
        <f t="shared" si="4"/>
        <v>9100</v>
      </c>
      <c r="E71" s="204"/>
      <c r="F71" s="261"/>
      <c r="G71" s="221"/>
      <c r="H71" s="201"/>
      <c r="I71" s="202"/>
      <c r="J71" s="199"/>
      <c r="K71" s="181"/>
      <c r="L71" s="5"/>
      <c r="M71" s="5"/>
      <c r="N71" s="5"/>
      <c r="O71" s="205">
        <f>IF(O70+1&lt;=MIN('Données projet'!$E$9:$E$18),O70+1,"STOP")</f>
        <v>38</v>
      </c>
      <c r="P71" s="195">
        <f t="shared" si="5"/>
        <v>0</v>
      </c>
      <c r="Q71" s="264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0">
        <f>'Données projet'!A80</f>
        <v>140</v>
      </c>
      <c r="B72" s="191">
        <f>'Données projet'!D80</f>
        <v>0</v>
      </c>
      <c r="C72" s="204"/>
      <c r="D72" s="189">
        <f t="shared" si="4"/>
        <v>0</v>
      </c>
      <c r="E72" s="204"/>
      <c r="F72" s="261"/>
      <c r="G72" s="221"/>
      <c r="H72" s="201"/>
      <c r="I72" s="202"/>
      <c r="J72" s="5"/>
      <c r="K72" s="181"/>
      <c r="L72" s="5"/>
      <c r="M72" s="5"/>
      <c r="N72" s="5"/>
      <c r="O72" s="205">
        <f>IF(O71+1&lt;=MIN('Données projet'!$E$9:$E$18),O71+1,"STOP")</f>
        <v>39</v>
      </c>
      <c r="P72" s="195">
        <f t="shared" si="5"/>
        <v>0</v>
      </c>
      <c r="Q72" s="264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0">
        <f>'Données projet'!A81</f>
        <v>150</v>
      </c>
      <c r="B73" s="191">
        <f>'Données projet'!D81</f>
        <v>376</v>
      </c>
      <c r="C73" s="204">
        <v>200</v>
      </c>
      <c r="D73" s="189">
        <f t="shared" si="4"/>
        <v>75200</v>
      </c>
      <c r="E73" s="204"/>
      <c r="F73" s="261"/>
      <c r="G73" s="221"/>
      <c r="H73" s="201"/>
      <c r="I73" s="202"/>
      <c r="J73" s="5"/>
      <c r="K73" s="181"/>
      <c r="L73" s="5"/>
      <c r="M73" s="5"/>
      <c r="N73" s="5"/>
      <c r="O73" s="205">
        <f>IF(O72+1&lt;=MIN('Données projet'!$E$9:$E$18),O72+1,"STOP")</f>
        <v>40</v>
      </c>
      <c r="P73" s="195">
        <f t="shared" si="5"/>
        <v>0</v>
      </c>
      <c r="Q73" s="264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59"/>
      <c r="G74" s="221"/>
      <c r="H74" s="201"/>
      <c r="I74" s="202"/>
      <c r="J74" s="5"/>
      <c r="K74" s="181"/>
      <c r="L74" s="5"/>
      <c r="M74" s="5"/>
      <c r="N74" s="5"/>
      <c r="O74" s="205">
        <f>IF(O73+1&lt;=MIN('Données projet'!$E$9:$E$18),O73+1,"STOP")</f>
        <v>41</v>
      </c>
      <c r="P74" s="195">
        <f t="shared" si="5"/>
        <v>0</v>
      </c>
      <c r="Q74" s="264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59"/>
      <c r="G75" s="221"/>
      <c r="H75" s="201"/>
      <c r="I75" s="202"/>
      <c r="J75" s="5"/>
      <c r="K75" s="181"/>
      <c r="L75" s="5"/>
      <c r="M75" s="5"/>
      <c r="N75" s="5"/>
      <c r="O75" s="205">
        <f>IF(O74+1&lt;=MIN('Données projet'!$E$9:$E$18),O74+1,"STOP")</f>
        <v>42</v>
      </c>
      <c r="P75" s="195">
        <f t="shared" si="5"/>
        <v>0</v>
      </c>
      <c r="Q75" s="264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4" t="str">
        <f>IF('Données projet'!B11="","",'Données projet'!B11)</f>
        <v>Chêne pubescent</v>
      </c>
      <c r="C76" s="5"/>
      <c r="D76" s="5"/>
      <c r="E76" s="5"/>
      <c r="F76" s="259"/>
      <c r="G76" s="221"/>
      <c r="H76" s="201"/>
      <c r="I76" s="202"/>
      <c r="J76" s="5"/>
      <c r="K76" s="181"/>
      <c r="L76" s="5"/>
      <c r="M76" s="5"/>
      <c r="N76" s="5"/>
      <c r="O76" s="205">
        <f>IF(O75+1&lt;=MIN('Données projet'!$E$9:$E$18),O75+1,"STOP")</f>
        <v>43</v>
      </c>
      <c r="P76" s="195">
        <f t="shared" si="5"/>
        <v>0</v>
      </c>
      <c r="Q76" s="264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59"/>
      <c r="G77" s="221"/>
      <c r="H77" s="201"/>
      <c r="I77" s="202"/>
      <c r="J77" s="5"/>
      <c r="K77" s="181"/>
      <c r="L77" s="5"/>
      <c r="M77" s="5"/>
      <c r="N77" s="5"/>
      <c r="O77" s="205">
        <f>IF(O76+1&lt;=MIN('Données projet'!$E$9:$E$18),O76+1,"STOP")</f>
        <v>44</v>
      </c>
      <c r="P77" s="195">
        <f t="shared" si="5"/>
        <v>0</v>
      </c>
      <c r="Q77" s="26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5" t="s">
        <v>180</v>
      </c>
      <c r="B78" s="51" t="s">
        <v>256</v>
      </c>
      <c r="C78" s="51" t="s">
        <v>255</v>
      </c>
      <c r="D78" s="255" t="s">
        <v>252</v>
      </c>
      <c r="E78" s="255" t="s">
        <v>320</v>
      </c>
      <c r="F78" s="260"/>
      <c r="G78" s="221"/>
      <c r="H78" s="201"/>
      <c r="I78" s="202"/>
      <c r="J78" s="5"/>
      <c r="K78" s="181"/>
      <c r="L78" s="5"/>
      <c r="M78" s="5"/>
      <c r="N78" s="5"/>
      <c r="O78" s="205">
        <f>IF(O77+1&lt;=MIN('Données projet'!$E$9:$E$18),O77+1,"STOP")</f>
        <v>45</v>
      </c>
      <c r="P78" s="195">
        <f t="shared" si="5"/>
        <v>0</v>
      </c>
      <c r="Q78" s="264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08">
        <v>0</v>
      </c>
      <c r="B79" s="211" t="s">
        <v>132</v>
      </c>
      <c r="C79" s="210" t="s">
        <v>132</v>
      </c>
      <c r="D79" s="209" t="s">
        <v>132</v>
      </c>
      <c r="E79" s="204"/>
      <c r="F79" s="260"/>
      <c r="G79" s="221"/>
      <c r="H79" s="201"/>
      <c r="I79" s="202"/>
      <c r="J79" s="5"/>
      <c r="K79" s="181"/>
      <c r="L79" s="5"/>
      <c r="M79" s="5"/>
      <c r="N79" s="5"/>
      <c r="O79" s="205">
        <f>IF(O78+1&lt;=MIN('Données projet'!$E$9:$E$18),O78+1,"STOP")</f>
        <v>46</v>
      </c>
      <c r="P79" s="195">
        <f t="shared" si="5"/>
        <v>0</v>
      </c>
      <c r="Q79" s="264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08">
        <v>1</v>
      </c>
      <c r="B80" s="211" t="s">
        <v>132</v>
      </c>
      <c r="C80" s="210" t="s">
        <v>132</v>
      </c>
      <c r="D80" s="209" t="s">
        <v>132</v>
      </c>
      <c r="E80" s="204"/>
      <c r="F80" s="260"/>
      <c r="G80" s="219"/>
      <c r="H80" s="201"/>
      <c r="I80" s="202"/>
      <c r="J80" s="5"/>
      <c r="K80" s="181"/>
      <c r="L80" s="5"/>
      <c r="M80" s="5"/>
      <c r="N80" s="5"/>
      <c r="O80" s="205">
        <f>IF(O79+1&lt;=MIN('Données projet'!$E$9:$E$18),O79+1,"STOP")</f>
        <v>47</v>
      </c>
      <c r="P80" s="195">
        <f t="shared" si="5"/>
        <v>0</v>
      </c>
      <c r="Q80" s="264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08">
        <v>2</v>
      </c>
      <c r="B81" s="211" t="s">
        <v>132</v>
      </c>
      <c r="C81" s="210" t="s">
        <v>132</v>
      </c>
      <c r="D81" s="209" t="s">
        <v>132</v>
      </c>
      <c r="E81" s="204"/>
      <c r="F81" s="260"/>
      <c r="G81" s="219"/>
      <c r="H81" s="201"/>
      <c r="I81" s="202"/>
      <c r="J81" s="5"/>
      <c r="K81" s="181"/>
      <c r="L81" s="5"/>
      <c r="M81" s="5"/>
      <c r="N81" s="5"/>
      <c r="O81" s="205">
        <f>IF(O80+1&lt;=MIN('Données projet'!$E$9:$E$18),O80+1,"STOP")</f>
        <v>48</v>
      </c>
      <c r="P81" s="195">
        <f t="shared" si="5"/>
        <v>0</v>
      </c>
      <c r="Q81" s="264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08">
        <v>3</v>
      </c>
      <c r="B82" s="211" t="s">
        <v>132</v>
      </c>
      <c r="C82" s="210" t="s">
        <v>132</v>
      </c>
      <c r="D82" s="209" t="s">
        <v>132</v>
      </c>
      <c r="E82" s="204"/>
      <c r="F82" s="260"/>
      <c r="G82" s="219"/>
      <c r="H82" s="201"/>
      <c r="I82" s="202"/>
      <c r="J82" s="5"/>
      <c r="K82" s="181"/>
      <c r="L82" s="5"/>
      <c r="M82" s="5"/>
      <c r="N82" s="5"/>
      <c r="O82" s="205">
        <f>IF(O81+1&lt;=MIN('Données projet'!$E$9:$E$18),O81+1,"STOP")</f>
        <v>49</v>
      </c>
      <c r="P82" s="195">
        <f t="shared" si="5"/>
        <v>0</v>
      </c>
      <c r="Q82" s="264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08">
        <v>4</v>
      </c>
      <c r="B83" s="211" t="s">
        <v>132</v>
      </c>
      <c r="C83" s="210" t="s">
        <v>132</v>
      </c>
      <c r="D83" s="209" t="s">
        <v>132</v>
      </c>
      <c r="E83" s="204"/>
      <c r="F83" s="260"/>
      <c r="G83" s="219"/>
      <c r="H83" s="201"/>
      <c r="I83" s="202"/>
      <c r="J83" s="5"/>
      <c r="K83" s="181"/>
      <c r="L83" s="5"/>
      <c r="M83" s="5"/>
      <c r="N83" s="5"/>
      <c r="O83" s="205">
        <f>IF(O82+1&lt;=MIN('Données projet'!$E$9:$E$18),O82+1,"STOP")</f>
        <v>50</v>
      </c>
      <c r="P83" s="195">
        <f t="shared" si="5"/>
        <v>0</v>
      </c>
      <c r="Q83" s="264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08">
        <v>5</v>
      </c>
      <c r="B84" s="211" t="s">
        <v>132</v>
      </c>
      <c r="C84" s="210" t="s">
        <v>132</v>
      </c>
      <c r="D84" s="209" t="s">
        <v>132</v>
      </c>
      <c r="E84" s="204"/>
      <c r="F84" s="260"/>
      <c r="G84" s="220"/>
      <c r="H84" s="201"/>
      <c r="I84" s="202"/>
      <c r="J84" s="5"/>
      <c r="K84" s="181"/>
      <c r="L84" s="5"/>
      <c r="M84" s="5"/>
      <c r="N84" s="5"/>
      <c r="O84" s="205">
        <f>IF(O83+1&lt;=MIN('Données projet'!$E$9:$E$18),O83+1,"STOP")</f>
        <v>51</v>
      </c>
      <c r="P84" s="195">
        <f t="shared" si="5"/>
        <v>0</v>
      </c>
      <c r="Q84" s="264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0">
        <f>'Données projet'!A88</f>
        <v>20</v>
      </c>
      <c r="B85" s="191">
        <f>'Données projet'!D88</f>
        <v>0</v>
      </c>
      <c r="C85" s="202"/>
      <c r="D85" s="189">
        <f>B85*C85</f>
        <v>0</v>
      </c>
      <c r="E85" s="204"/>
      <c r="F85" s="261"/>
      <c r="G85" s="220"/>
      <c r="H85" s="201"/>
      <c r="I85" s="202"/>
      <c r="J85" s="5"/>
      <c r="K85" s="181"/>
      <c r="L85" s="5"/>
      <c r="M85" s="5"/>
      <c r="N85" s="5"/>
      <c r="O85" s="205">
        <f>IF(O84+1&lt;=MIN('Données projet'!$E$9:$E$18),O84+1,"STOP")</f>
        <v>52</v>
      </c>
      <c r="P85" s="195">
        <f t="shared" si="5"/>
        <v>0</v>
      </c>
      <c r="Q85" s="264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0">
        <f>'Données projet'!A89</f>
        <v>25</v>
      </c>
      <c r="B86" s="191">
        <f>'Données projet'!D89</f>
        <v>0</v>
      </c>
      <c r="C86" s="202"/>
      <c r="D86" s="189">
        <f t="shared" ref="D86:D104" si="6">B86*C86</f>
        <v>0</v>
      </c>
      <c r="E86" s="204"/>
      <c r="F86" s="261"/>
      <c r="G86" s="220"/>
      <c r="H86" s="201"/>
      <c r="I86" s="202"/>
      <c r="J86" s="5"/>
      <c r="K86" s="181"/>
      <c r="L86" s="5"/>
      <c r="M86" s="5"/>
      <c r="N86" s="5"/>
      <c r="O86" s="205">
        <f>IF(O85+1&lt;=MIN('Données projet'!$E$9:$E$18),O85+1,"STOP")</f>
        <v>53</v>
      </c>
      <c r="P86" s="195">
        <f t="shared" si="5"/>
        <v>0</v>
      </c>
      <c r="Q86" s="264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0">
        <f>'Données projet'!A90</f>
        <v>30</v>
      </c>
      <c r="B87" s="191">
        <f>'Données projet'!D90</f>
        <v>29</v>
      </c>
      <c r="C87" s="202">
        <v>10</v>
      </c>
      <c r="D87" s="189">
        <f t="shared" si="6"/>
        <v>290</v>
      </c>
      <c r="E87" s="204"/>
      <c r="F87" s="261"/>
      <c r="G87" s="220"/>
      <c r="H87" s="201"/>
      <c r="I87" s="202"/>
      <c r="J87" s="5"/>
      <c r="K87" s="181"/>
      <c r="L87" s="5"/>
      <c r="M87" s="5"/>
      <c r="N87" s="5"/>
      <c r="O87" s="205">
        <f>IF(O86+1&lt;=MIN('Données projet'!$E$9:$E$18),O86+1,"STOP")</f>
        <v>54</v>
      </c>
      <c r="P87" s="195">
        <f t="shared" si="5"/>
        <v>0</v>
      </c>
      <c r="Q87" s="264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0">
        <f>'Données projet'!A91</f>
        <v>35</v>
      </c>
      <c r="B88" s="191">
        <f>'Données projet'!D91</f>
        <v>0</v>
      </c>
      <c r="C88" s="202"/>
      <c r="D88" s="189">
        <f t="shared" si="6"/>
        <v>0</v>
      </c>
      <c r="E88" s="204"/>
      <c r="F88" s="261"/>
      <c r="G88" s="220"/>
      <c r="H88" s="201"/>
      <c r="I88" s="202"/>
      <c r="J88" s="5"/>
      <c r="K88" s="181"/>
      <c r="L88" s="5"/>
      <c r="M88" s="5"/>
      <c r="N88" s="5"/>
      <c r="O88" s="205">
        <f>IF(O87+1&lt;=MIN('Données projet'!$E$9:$E$18),O87+1,"STOP")</f>
        <v>55</v>
      </c>
      <c r="P88" s="195">
        <f t="shared" si="5"/>
        <v>0</v>
      </c>
      <c r="Q88" s="264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0">
        <f>'Données projet'!A92</f>
        <v>40</v>
      </c>
      <c r="B89" s="191">
        <f>'Données projet'!D92</f>
        <v>42</v>
      </c>
      <c r="C89" s="202">
        <v>10</v>
      </c>
      <c r="D89" s="189">
        <f t="shared" si="6"/>
        <v>420</v>
      </c>
      <c r="E89" s="204"/>
      <c r="F89" s="261"/>
      <c r="G89" s="220"/>
      <c r="H89" s="201"/>
      <c r="I89" s="202"/>
      <c r="J89" s="5"/>
      <c r="K89" s="181"/>
      <c r="L89" s="5"/>
      <c r="M89" s="5"/>
      <c r="N89" s="5"/>
      <c r="O89" s="205">
        <f>IF(O88+1&lt;=MIN('Données projet'!$E$9:$E$18),O88+1,"STOP")</f>
        <v>56</v>
      </c>
      <c r="P89" s="195">
        <f t="shared" si="5"/>
        <v>0</v>
      </c>
      <c r="Q89" s="264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0">
        <f>'Données projet'!A93</f>
        <v>45</v>
      </c>
      <c r="B90" s="191">
        <f>'Données projet'!D93</f>
        <v>0</v>
      </c>
      <c r="C90" s="202"/>
      <c r="D90" s="189">
        <f t="shared" si="6"/>
        <v>0</v>
      </c>
      <c r="E90" s="204"/>
      <c r="F90" s="261"/>
      <c r="G90" s="220"/>
      <c r="H90" s="201"/>
      <c r="I90" s="202"/>
      <c r="J90" s="5"/>
      <c r="K90" s="181"/>
      <c r="L90" s="5"/>
      <c r="M90" s="5"/>
      <c r="N90" s="5"/>
      <c r="O90" s="205">
        <f>IF(O89+1&lt;=MIN('Données projet'!$E$9:$E$18),O89+1,"STOP")</f>
        <v>57</v>
      </c>
      <c r="P90" s="195">
        <f t="shared" si="5"/>
        <v>0</v>
      </c>
      <c r="Q90" s="264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0">
        <f>'Données projet'!A94</f>
        <v>50</v>
      </c>
      <c r="B91" s="191">
        <f>'Données projet'!D94</f>
        <v>42</v>
      </c>
      <c r="C91" s="202">
        <v>10</v>
      </c>
      <c r="D91" s="189">
        <f t="shared" si="6"/>
        <v>420</v>
      </c>
      <c r="E91" s="204"/>
      <c r="F91" s="261"/>
      <c r="G91" s="221"/>
      <c r="H91" s="201"/>
      <c r="I91" s="202"/>
      <c r="J91" s="5"/>
      <c r="K91" s="181"/>
      <c r="L91" s="5"/>
      <c r="M91" s="5"/>
      <c r="N91" s="5"/>
      <c r="O91" s="205">
        <f>IF(O90+1&lt;=MIN('Données projet'!$E$9:$E$18),O90+1,"STOP")</f>
        <v>58</v>
      </c>
      <c r="P91" s="195">
        <f t="shared" si="5"/>
        <v>0</v>
      </c>
      <c r="Q91" s="26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0">
        <f>'Données projet'!A95</f>
        <v>55</v>
      </c>
      <c r="B92" s="191">
        <f>'Données projet'!D95</f>
        <v>0</v>
      </c>
      <c r="C92" s="202"/>
      <c r="D92" s="189">
        <f t="shared" si="6"/>
        <v>0</v>
      </c>
      <c r="E92" s="204"/>
      <c r="F92" s="261"/>
      <c r="G92" s="221"/>
      <c r="H92" s="201"/>
      <c r="I92" s="202"/>
      <c r="J92" s="5"/>
      <c r="K92" s="181"/>
      <c r="L92" s="5"/>
      <c r="M92" s="5"/>
      <c r="N92" s="5"/>
      <c r="O92" s="205">
        <f>IF(O91+1&lt;=MIN('Données projet'!$E$9:$E$18),O91+1,"STOP")</f>
        <v>59</v>
      </c>
      <c r="P92" s="195">
        <f t="shared" si="5"/>
        <v>0</v>
      </c>
      <c r="Q92" s="26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0">
        <f>'Données projet'!A96</f>
        <v>60</v>
      </c>
      <c r="B93" s="191">
        <f>'Données projet'!D96</f>
        <v>42</v>
      </c>
      <c r="C93" s="202">
        <v>20</v>
      </c>
      <c r="D93" s="189">
        <f t="shared" si="6"/>
        <v>840</v>
      </c>
      <c r="E93" s="204"/>
      <c r="F93" s="261"/>
      <c r="G93" s="221"/>
      <c r="H93" s="201"/>
      <c r="I93" s="202"/>
      <c r="J93" s="5"/>
      <c r="K93" s="181"/>
      <c r="L93" s="5"/>
      <c r="M93" s="5"/>
      <c r="N93" s="5"/>
      <c r="O93" s="205">
        <f>IF(O92+1&lt;=MIN('Données projet'!$E$9:$E$18),O92+1,"STOP")</f>
        <v>60</v>
      </c>
      <c r="P93" s="195">
        <f t="shared" si="5"/>
        <v>0</v>
      </c>
      <c r="Q93" s="264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0">
        <f>'Données projet'!A97</f>
        <v>65</v>
      </c>
      <c r="B94" s="191">
        <f>'Données projet'!D97</f>
        <v>0</v>
      </c>
      <c r="C94" s="202"/>
      <c r="D94" s="189">
        <f t="shared" si="6"/>
        <v>0</v>
      </c>
      <c r="E94" s="204"/>
      <c r="F94" s="261"/>
      <c r="G94" s="221"/>
      <c r="H94" s="201"/>
      <c r="I94" s="202"/>
      <c r="J94" s="5"/>
      <c r="K94" s="181"/>
      <c r="L94" s="5"/>
      <c r="M94" s="5"/>
      <c r="N94" s="5"/>
      <c r="O94" s="205">
        <f>IF(O93+1&lt;=MIN('Données projet'!$E$9:$E$18),O93+1,"STOP")</f>
        <v>61</v>
      </c>
      <c r="P94" s="195">
        <f t="shared" si="5"/>
        <v>0</v>
      </c>
      <c r="Q94" s="264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0">
        <f>'Données projet'!A98</f>
        <v>70</v>
      </c>
      <c r="B95" s="191">
        <f>'Données projet'!D98</f>
        <v>42</v>
      </c>
      <c r="C95" s="202">
        <v>30</v>
      </c>
      <c r="D95" s="189">
        <f t="shared" si="6"/>
        <v>1260</v>
      </c>
      <c r="E95" s="204"/>
      <c r="F95" s="261"/>
      <c r="G95" s="221"/>
      <c r="H95" s="201"/>
      <c r="I95" s="202"/>
      <c r="J95" s="5"/>
      <c r="K95" s="181"/>
      <c r="L95" s="5"/>
      <c r="M95" s="5"/>
      <c r="N95" s="5"/>
      <c r="O95" s="205">
        <f>IF(O94+1&lt;=MIN('Données projet'!$E$9:$E$18),O94+1,"STOP")</f>
        <v>62</v>
      </c>
      <c r="P95" s="195">
        <f t="shared" si="5"/>
        <v>0</v>
      </c>
      <c r="Q95" s="264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0">
        <f>'Données projet'!A99</f>
        <v>75</v>
      </c>
      <c r="B96" s="191">
        <f>'Données projet'!D99</f>
        <v>0</v>
      </c>
      <c r="C96" s="202"/>
      <c r="D96" s="189">
        <f t="shared" si="6"/>
        <v>0</v>
      </c>
      <c r="E96" s="204"/>
      <c r="F96" s="261"/>
      <c r="G96" s="221"/>
      <c r="H96" s="201"/>
      <c r="I96" s="202"/>
      <c r="J96" s="5"/>
      <c r="K96" s="181"/>
      <c r="L96" s="5"/>
      <c r="M96" s="5"/>
      <c r="N96" s="5"/>
      <c r="O96" s="205">
        <f>IF(O95+1&lt;=MIN('Données projet'!$E$9:$E$18),O95+1,"STOP")</f>
        <v>63</v>
      </c>
      <c r="P96" s="195">
        <f t="shared" si="5"/>
        <v>0</v>
      </c>
      <c r="Q96" s="264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0">
        <f>'Données projet'!A100</f>
        <v>80</v>
      </c>
      <c r="B97" s="191">
        <f>'Données projet'!D100</f>
        <v>42</v>
      </c>
      <c r="C97" s="202">
        <v>40</v>
      </c>
      <c r="D97" s="189">
        <f t="shared" si="6"/>
        <v>1680</v>
      </c>
      <c r="E97" s="204"/>
      <c r="F97" s="261"/>
      <c r="G97" s="221"/>
      <c r="H97" s="201"/>
      <c r="I97" s="202"/>
      <c r="J97" s="5"/>
      <c r="K97" s="181"/>
      <c r="L97" s="5"/>
      <c r="M97" s="5"/>
      <c r="N97" s="5"/>
      <c r="O97" s="205">
        <f>IF(O96+1&lt;=MIN('Données projet'!$E$9:$E$18),O96+1,"STOP")</f>
        <v>64</v>
      </c>
      <c r="P97" s="195">
        <f t="shared" ref="P97:P128" si="7">$P$25/(1+$M$4)^O97</f>
        <v>0</v>
      </c>
      <c r="Q97" s="264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0">
        <f>'Données projet'!A101</f>
        <v>90</v>
      </c>
      <c r="B98" s="191">
        <f>'Données projet'!D101</f>
        <v>42</v>
      </c>
      <c r="C98" s="202">
        <v>50</v>
      </c>
      <c r="D98" s="189">
        <f t="shared" si="6"/>
        <v>2100</v>
      </c>
      <c r="E98" s="204"/>
      <c r="F98" s="261"/>
      <c r="G98" s="221"/>
      <c r="H98" s="201"/>
      <c r="I98" s="202"/>
      <c r="J98" s="5"/>
      <c r="K98" s="181"/>
      <c r="L98" s="5"/>
      <c r="M98" s="5"/>
      <c r="N98" s="5"/>
      <c r="O98" s="205">
        <f>IF(O97+1&lt;=MIN('Données projet'!$E$9:$E$18),O97+1,"STOP")</f>
        <v>65</v>
      </c>
      <c r="P98" s="195">
        <f t="shared" si="7"/>
        <v>0</v>
      </c>
      <c r="Q98" s="264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0">
        <f>'Données projet'!A102</f>
        <v>100</v>
      </c>
      <c r="B99" s="191">
        <f>'Données projet'!D102</f>
        <v>42</v>
      </c>
      <c r="C99" s="202">
        <v>70</v>
      </c>
      <c r="D99" s="189">
        <f t="shared" si="6"/>
        <v>2940</v>
      </c>
      <c r="E99" s="204"/>
      <c r="F99" s="261"/>
      <c r="G99" s="221"/>
      <c r="H99" s="201"/>
      <c r="I99" s="202"/>
      <c r="J99" s="5"/>
      <c r="K99" s="181"/>
      <c r="L99" s="5"/>
      <c r="M99" s="5"/>
      <c r="N99" s="5"/>
      <c r="O99" s="205">
        <f>IF(O98+1&lt;=MIN('Données projet'!$E$9:$E$18),O98+1,"STOP")</f>
        <v>66</v>
      </c>
      <c r="P99" s="195">
        <f t="shared" si="7"/>
        <v>0</v>
      </c>
      <c r="Q99" s="264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0">
        <f>'Données projet'!A103</f>
        <v>110</v>
      </c>
      <c r="B100" s="191">
        <f>'Données projet'!D103</f>
        <v>39</v>
      </c>
      <c r="C100" s="202">
        <v>100</v>
      </c>
      <c r="D100" s="189">
        <f t="shared" si="6"/>
        <v>3900</v>
      </c>
      <c r="E100" s="204"/>
      <c r="F100" s="261"/>
      <c r="G100" s="221"/>
      <c r="H100" s="201"/>
      <c r="I100" s="202"/>
      <c r="J100" s="5"/>
      <c r="K100" s="181"/>
      <c r="L100" s="5"/>
      <c r="M100" s="5"/>
      <c r="N100" s="5"/>
      <c r="O100" s="205">
        <f>IF(O99+1&lt;=MIN('Données projet'!$E$9:$E$18),O99+1,"STOP")</f>
        <v>67</v>
      </c>
      <c r="P100" s="195">
        <f t="shared" si="7"/>
        <v>0</v>
      </c>
      <c r="Q100" s="264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0">
        <f>'Données projet'!A104</f>
        <v>120</v>
      </c>
      <c r="B101" s="191">
        <f>'Données projet'!D104</f>
        <v>35</v>
      </c>
      <c r="C101" s="202">
        <v>120</v>
      </c>
      <c r="D101" s="189">
        <f t="shared" si="6"/>
        <v>4200</v>
      </c>
      <c r="E101" s="204"/>
      <c r="F101" s="261"/>
      <c r="G101" s="221"/>
      <c r="H101" s="201"/>
      <c r="I101" s="202"/>
      <c r="J101" s="5"/>
      <c r="K101" s="181"/>
      <c r="L101" s="5"/>
      <c r="M101" s="5"/>
      <c r="N101" s="5"/>
      <c r="O101" s="205">
        <f>IF(O100+1&lt;=MIN('Données projet'!$E$9:$E$18),O100+1,"STOP")</f>
        <v>68</v>
      </c>
      <c r="P101" s="195">
        <f t="shared" si="7"/>
        <v>0</v>
      </c>
      <c r="Q101" s="264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0">
        <f>'Données projet'!A105</f>
        <v>130</v>
      </c>
      <c r="B102" s="191">
        <f>'Données projet'!D105</f>
        <v>31</v>
      </c>
      <c r="C102" s="202">
        <v>120</v>
      </c>
      <c r="D102" s="189">
        <f t="shared" si="6"/>
        <v>3720</v>
      </c>
      <c r="E102" s="204"/>
      <c r="F102" s="261"/>
      <c r="G102" s="221"/>
      <c r="H102" s="201"/>
      <c r="I102" s="202"/>
      <c r="J102" s="5"/>
      <c r="K102" s="181"/>
      <c r="L102" s="5"/>
      <c r="M102" s="5"/>
      <c r="N102" s="5"/>
      <c r="O102" s="205">
        <f>IF(O101+1&lt;=MIN('Données projet'!$E$9:$E$18),O101+1,"STOP")</f>
        <v>69</v>
      </c>
      <c r="P102" s="195">
        <f t="shared" si="7"/>
        <v>0</v>
      </c>
      <c r="Q102" s="264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0">
        <f>'Données projet'!A106</f>
        <v>140</v>
      </c>
      <c r="B103" s="191">
        <f>'Données projet'!D106</f>
        <v>27</v>
      </c>
      <c r="C103" s="202">
        <v>150</v>
      </c>
      <c r="D103" s="189">
        <f t="shared" si="6"/>
        <v>4050</v>
      </c>
      <c r="E103" s="204"/>
      <c r="F103" s="261"/>
      <c r="G103" s="221"/>
      <c r="H103" s="201"/>
      <c r="I103" s="202"/>
      <c r="J103" s="5"/>
      <c r="K103" s="181"/>
      <c r="L103" s="5"/>
      <c r="M103" s="5"/>
      <c r="N103" s="5"/>
      <c r="O103" s="205">
        <f>IF(O102+1&lt;=MIN('Données projet'!$E$9:$E$18),O102+1,"STOP")</f>
        <v>70</v>
      </c>
      <c r="P103" s="195">
        <f t="shared" si="7"/>
        <v>0</v>
      </c>
      <c r="Q103" s="264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0">
        <f>'Données projet'!A107</f>
        <v>150</v>
      </c>
      <c r="B104" s="191">
        <f>'Données projet'!D107</f>
        <v>293</v>
      </c>
      <c r="C104" s="202">
        <v>200</v>
      </c>
      <c r="D104" s="189">
        <f t="shared" si="6"/>
        <v>58600</v>
      </c>
      <c r="E104" s="204"/>
      <c r="F104" s="261"/>
      <c r="G104" s="221"/>
      <c r="H104" s="201"/>
      <c r="I104" s="202"/>
      <c r="J104" s="5"/>
      <c r="K104" s="181"/>
      <c r="L104" s="5"/>
      <c r="M104" s="5"/>
      <c r="N104" s="5"/>
      <c r="O104" s="205">
        <f>IF(O103+1&lt;=MIN('Données projet'!$E$9:$E$18),O103+1,"STOP")</f>
        <v>71</v>
      </c>
      <c r="P104" s="195">
        <f t="shared" si="7"/>
        <v>0</v>
      </c>
      <c r="Q104" s="264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59"/>
      <c r="G105" s="221"/>
      <c r="H105" s="201"/>
      <c r="I105" s="202"/>
      <c r="J105" s="5"/>
      <c r="K105" s="181"/>
      <c r="L105" s="5"/>
      <c r="M105" s="5"/>
      <c r="N105" s="5"/>
      <c r="O105" s="205">
        <f>IF(O104+1&lt;=MIN('Données projet'!$E$9:$E$18),O104+1,"STOP")</f>
        <v>72</v>
      </c>
      <c r="P105" s="195">
        <f t="shared" si="7"/>
        <v>0</v>
      </c>
      <c r="Q105" s="264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59"/>
      <c r="G106" s="221"/>
      <c r="H106" s="201"/>
      <c r="I106" s="202"/>
      <c r="J106" s="5"/>
      <c r="K106" s="181"/>
      <c r="L106" s="5"/>
      <c r="M106" s="5"/>
      <c r="N106" s="5"/>
      <c r="O106" s="205">
        <f>IF(O105+1&lt;=MIN('Données projet'!$E$9:$E$18),O105+1,"STOP")</f>
        <v>73</v>
      </c>
      <c r="P106" s="195">
        <f t="shared" si="7"/>
        <v>0</v>
      </c>
      <c r="Q106" s="264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4" t="str">
        <f>IF('Données projet'!B12="","",'Données projet'!B12)</f>
        <v>Alisier torminal</v>
      </c>
      <c r="C107" s="5"/>
      <c r="D107" s="5"/>
      <c r="E107" s="5"/>
      <c r="F107" s="259"/>
      <c r="G107" s="221"/>
      <c r="H107" s="201"/>
      <c r="I107" s="202"/>
      <c r="J107" s="5"/>
      <c r="K107" s="181"/>
      <c r="L107" s="5"/>
      <c r="M107" s="5"/>
      <c r="N107" s="5"/>
      <c r="O107" s="205">
        <f>IF(O106+1&lt;=MIN('Données projet'!$E$9:$E$18),O106+1,"STOP")</f>
        <v>74</v>
      </c>
      <c r="P107" s="195">
        <f t="shared" si="7"/>
        <v>0</v>
      </c>
      <c r="Q107" s="264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59"/>
      <c r="G108" s="221"/>
      <c r="H108" s="201"/>
      <c r="I108" s="202"/>
      <c r="J108" s="5"/>
      <c r="K108" s="181"/>
      <c r="L108" s="5"/>
      <c r="M108" s="5"/>
      <c r="N108" s="5"/>
      <c r="O108" s="205">
        <f>IF(O107+1&lt;=MIN('Données projet'!$E$9:$E$18),O107+1,"STOP")</f>
        <v>75</v>
      </c>
      <c r="P108" s="195">
        <f t="shared" si="7"/>
        <v>0</v>
      </c>
      <c r="Q108" s="264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5" t="s">
        <v>180</v>
      </c>
      <c r="B109" s="51" t="s">
        <v>256</v>
      </c>
      <c r="C109" s="51" t="s">
        <v>255</v>
      </c>
      <c r="D109" s="255" t="s">
        <v>252</v>
      </c>
      <c r="E109" s="255" t="s">
        <v>320</v>
      </c>
      <c r="F109" s="260"/>
      <c r="G109" s="221"/>
      <c r="H109" s="201"/>
      <c r="I109" s="202"/>
      <c r="J109" s="5"/>
      <c r="K109" s="181"/>
      <c r="L109" s="5"/>
      <c r="M109" s="5"/>
      <c r="N109" s="5"/>
      <c r="O109" s="205">
        <f>IF(O108+1&lt;=MIN('Données projet'!$E$9:$E$18),O108+1,"STOP")</f>
        <v>76</v>
      </c>
      <c r="P109" s="195">
        <f t="shared" si="7"/>
        <v>0</v>
      </c>
      <c r="Q109" s="264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08">
        <v>0</v>
      </c>
      <c r="B110" s="211" t="s">
        <v>132</v>
      </c>
      <c r="C110" s="210" t="s">
        <v>132</v>
      </c>
      <c r="D110" s="209" t="s">
        <v>132</v>
      </c>
      <c r="E110" s="204"/>
      <c r="F110" s="260"/>
      <c r="G110" s="221"/>
      <c r="H110" s="201"/>
      <c r="I110" s="202"/>
      <c r="J110" s="5"/>
      <c r="K110" s="181"/>
      <c r="L110" s="5"/>
      <c r="M110" s="5"/>
      <c r="N110" s="5"/>
      <c r="O110" s="205">
        <f>IF(O109+1&lt;=MIN('Données projet'!$E$9:$E$18),O109+1,"STOP")</f>
        <v>77</v>
      </c>
      <c r="P110" s="195">
        <f t="shared" si="7"/>
        <v>0</v>
      </c>
      <c r="Q110" s="264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08">
        <v>1</v>
      </c>
      <c r="B111" s="211" t="s">
        <v>132</v>
      </c>
      <c r="C111" s="210" t="s">
        <v>132</v>
      </c>
      <c r="D111" s="209" t="s">
        <v>132</v>
      </c>
      <c r="E111" s="204"/>
      <c r="F111" s="260"/>
      <c r="G111" s="219"/>
      <c r="H111" s="201"/>
      <c r="I111" s="202"/>
      <c r="J111" s="5"/>
      <c r="K111" s="181"/>
      <c r="L111" s="5"/>
      <c r="M111" s="5"/>
      <c r="N111" s="5"/>
      <c r="O111" s="205">
        <f>IF(O110+1&lt;=MIN('Données projet'!$E$9:$E$18),O110+1,"STOP")</f>
        <v>78</v>
      </c>
      <c r="P111" s="195">
        <f t="shared" si="7"/>
        <v>0</v>
      </c>
      <c r="Q111" s="264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08">
        <v>2</v>
      </c>
      <c r="B112" s="211" t="s">
        <v>132</v>
      </c>
      <c r="C112" s="210" t="s">
        <v>132</v>
      </c>
      <c r="D112" s="209" t="s">
        <v>132</v>
      </c>
      <c r="E112" s="204"/>
      <c r="F112" s="260"/>
      <c r="G112" s="219"/>
      <c r="H112" s="201"/>
      <c r="I112" s="202"/>
      <c r="J112" s="5"/>
      <c r="K112" s="181"/>
      <c r="L112" s="5"/>
      <c r="M112" s="5"/>
      <c r="N112" s="5"/>
      <c r="O112" s="205">
        <f>IF(O111+1&lt;=MIN('Données projet'!$E$9:$E$18),O111+1,"STOP")</f>
        <v>79</v>
      </c>
      <c r="P112" s="195">
        <f t="shared" si="7"/>
        <v>0</v>
      </c>
      <c r="Q112" s="264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08">
        <v>3</v>
      </c>
      <c r="B113" s="211" t="s">
        <v>132</v>
      </c>
      <c r="C113" s="210" t="s">
        <v>132</v>
      </c>
      <c r="D113" s="209" t="s">
        <v>132</v>
      </c>
      <c r="E113" s="204"/>
      <c r="F113" s="260"/>
      <c r="G113" s="219"/>
      <c r="H113" s="201"/>
      <c r="I113" s="202"/>
      <c r="J113" s="5"/>
      <c r="K113" s="181"/>
      <c r="L113" s="5"/>
      <c r="M113" s="5"/>
      <c r="N113" s="5"/>
      <c r="O113" s="205">
        <f>IF(O112+1&lt;=MIN('Données projet'!$E$9:$E$18),O112+1,"STOP")</f>
        <v>80</v>
      </c>
      <c r="P113" s="195">
        <f t="shared" si="7"/>
        <v>0</v>
      </c>
      <c r="Q113" s="264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08">
        <v>4</v>
      </c>
      <c r="B114" s="211" t="s">
        <v>132</v>
      </c>
      <c r="C114" s="210" t="s">
        <v>132</v>
      </c>
      <c r="D114" s="209" t="s">
        <v>132</v>
      </c>
      <c r="E114" s="204"/>
      <c r="F114" s="260"/>
      <c r="G114" s="219"/>
      <c r="H114" s="201"/>
      <c r="I114" s="202"/>
      <c r="J114" s="5"/>
      <c r="K114" s="181"/>
      <c r="L114" s="5"/>
      <c r="M114" s="5"/>
      <c r="N114" s="5"/>
      <c r="O114" s="205">
        <f>IF(O113+1&lt;=MIN('Données projet'!$E$9:$E$18),O113+1,"STOP")</f>
        <v>81</v>
      </c>
      <c r="P114" s="195">
        <f t="shared" si="7"/>
        <v>0</v>
      </c>
      <c r="Q114" s="264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08">
        <v>5</v>
      </c>
      <c r="B115" s="211" t="s">
        <v>132</v>
      </c>
      <c r="C115" s="210" t="s">
        <v>132</v>
      </c>
      <c r="D115" s="209" t="s">
        <v>132</v>
      </c>
      <c r="E115" s="204"/>
      <c r="F115" s="260"/>
      <c r="G115" s="220"/>
      <c r="H115" s="201"/>
      <c r="I115" s="202"/>
      <c r="J115" s="5"/>
      <c r="K115" s="181"/>
      <c r="L115" s="5"/>
      <c r="M115" s="5"/>
      <c r="N115" s="5"/>
      <c r="O115" s="205">
        <f>IF(O114+1&lt;=MIN('Données projet'!$E$9:$E$18),O114+1,"STOP")</f>
        <v>82</v>
      </c>
      <c r="P115" s="195">
        <f t="shared" si="7"/>
        <v>0</v>
      </c>
      <c r="Q115" s="264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0">
        <f>'Données projet'!A114</f>
        <v>20</v>
      </c>
      <c r="B116" s="191">
        <f>'Données projet'!D114</f>
        <v>0</v>
      </c>
      <c r="C116" s="202"/>
      <c r="D116" s="189">
        <f>B116*C116</f>
        <v>0</v>
      </c>
      <c r="E116" s="204"/>
      <c r="F116" s="261"/>
      <c r="G116" s="220"/>
      <c r="H116" s="201"/>
      <c r="I116" s="202"/>
      <c r="J116" s="5"/>
      <c r="K116" s="181"/>
      <c r="L116" s="5"/>
      <c r="M116" s="5"/>
      <c r="N116" s="5"/>
      <c r="O116" s="205">
        <f>IF(O115+1&lt;=MIN('Données projet'!$E$9:$E$18),O115+1,"STOP")</f>
        <v>83</v>
      </c>
      <c r="P116" s="195">
        <f t="shared" si="7"/>
        <v>0</v>
      </c>
      <c r="Q116" s="26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0">
        <f>'Données projet'!A115</f>
        <v>25</v>
      </c>
      <c r="B117" s="191">
        <f>'Données projet'!D115</f>
        <v>0</v>
      </c>
      <c r="C117" s="202"/>
      <c r="D117" s="189">
        <f t="shared" ref="D117:D135" si="8">B117*C117</f>
        <v>0</v>
      </c>
      <c r="E117" s="204"/>
      <c r="F117" s="261"/>
      <c r="G117" s="220"/>
      <c r="H117" s="201"/>
      <c r="I117" s="202"/>
      <c r="J117" s="5"/>
      <c r="K117" s="181"/>
      <c r="L117" s="5"/>
      <c r="M117" s="5"/>
      <c r="N117" s="5"/>
      <c r="O117" s="205">
        <f>IF(O116+1&lt;=MIN('Données projet'!$E$9:$E$18),O116+1,"STOP")</f>
        <v>84</v>
      </c>
      <c r="P117" s="195">
        <f t="shared" si="7"/>
        <v>0</v>
      </c>
      <c r="Q117" s="264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0">
        <f>'Données projet'!A116</f>
        <v>30</v>
      </c>
      <c r="B118" s="191">
        <f>'Données projet'!D116</f>
        <v>29</v>
      </c>
      <c r="C118" s="202">
        <v>10</v>
      </c>
      <c r="D118" s="189">
        <f t="shared" si="8"/>
        <v>290</v>
      </c>
      <c r="E118" s="204"/>
      <c r="F118" s="261"/>
      <c r="G118" s="220"/>
      <c r="H118" s="201"/>
      <c r="I118" s="202"/>
      <c r="J118" s="5"/>
      <c r="K118" s="181"/>
      <c r="L118" s="5"/>
      <c r="M118" s="5"/>
      <c r="N118" s="5"/>
      <c r="O118" s="205">
        <f>IF(O117+1&lt;=MIN('Données projet'!$E$9:$E$18),O117+1,"STOP")</f>
        <v>85</v>
      </c>
      <c r="P118" s="195">
        <f t="shared" si="7"/>
        <v>0</v>
      </c>
      <c r="Q118" s="264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0">
        <f>'Données projet'!A117</f>
        <v>35</v>
      </c>
      <c r="B119" s="191">
        <f>'Données projet'!D117</f>
        <v>0</v>
      </c>
      <c r="C119" s="202"/>
      <c r="D119" s="189">
        <f t="shared" si="8"/>
        <v>0</v>
      </c>
      <c r="E119" s="204"/>
      <c r="F119" s="261"/>
      <c r="G119" s="220"/>
      <c r="H119" s="201"/>
      <c r="I119" s="202"/>
      <c r="J119" s="5"/>
      <c r="K119" s="181"/>
      <c r="L119" s="5"/>
      <c r="M119" s="5"/>
      <c r="N119" s="5"/>
      <c r="O119" s="205">
        <f>IF(O118+1&lt;=MIN('Données projet'!$E$9:$E$18),O118+1,"STOP")</f>
        <v>86</v>
      </c>
      <c r="P119" s="195">
        <f t="shared" si="7"/>
        <v>0</v>
      </c>
      <c r="Q119" s="264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0">
        <f>'Données projet'!A118</f>
        <v>40</v>
      </c>
      <c r="B120" s="191">
        <f>'Données projet'!D118</f>
        <v>42</v>
      </c>
      <c r="C120" s="202">
        <v>10</v>
      </c>
      <c r="D120" s="189">
        <f t="shared" si="8"/>
        <v>420</v>
      </c>
      <c r="E120" s="204"/>
      <c r="F120" s="261"/>
      <c r="G120" s="220"/>
      <c r="H120" s="201"/>
      <c r="I120" s="202"/>
      <c r="J120" s="5"/>
      <c r="K120" s="181"/>
      <c r="L120" s="5"/>
      <c r="M120" s="5"/>
      <c r="N120" s="5"/>
      <c r="O120" s="205">
        <f>IF(O119+1&lt;=MIN('Données projet'!$E$9:$E$18),O119+1,"STOP")</f>
        <v>87</v>
      </c>
      <c r="P120" s="195">
        <f t="shared" si="7"/>
        <v>0</v>
      </c>
      <c r="Q120" s="264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0">
        <f>'Données projet'!A119</f>
        <v>45</v>
      </c>
      <c r="B121" s="191">
        <f>'Données projet'!D119</f>
        <v>0</v>
      </c>
      <c r="C121" s="202"/>
      <c r="D121" s="189">
        <f t="shared" si="8"/>
        <v>0</v>
      </c>
      <c r="E121" s="204"/>
      <c r="F121" s="261"/>
      <c r="G121" s="220"/>
      <c r="H121" s="201"/>
      <c r="I121" s="202"/>
      <c r="J121" s="5"/>
      <c r="K121" s="181"/>
      <c r="L121" s="5"/>
      <c r="M121" s="5"/>
      <c r="N121" s="5"/>
      <c r="O121" s="205">
        <f>IF(O120+1&lt;=MIN('Données projet'!$E$9:$E$18),O120+1,"STOP")</f>
        <v>88</v>
      </c>
      <c r="P121" s="195">
        <f t="shared" si="7"/>
        <v>0</v>
      </c>
      <c r="Q121" s="264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0">
        <f>'Données projet'!A120</f>
        <v>50</v>
      </c>
      <c r="B122" s="191">
        <f>'Données projet'!D120</f>
        <v>42</v>
      </c>
      <c r="C122" s="202">
        <v>15</v>
      </c>
      <c r="D122" s="189">
        <f t="shared" si="8"/>
        <v>630</v>
      </c>
      <c r="E122" s="204"/>
      <c r="F122" s="261"/>
      <c r="G122" s="221"/>
      <c r="H122" s="201"/>
      <c r="I122" s="202"/>
      <c r="J122" s="5"/>
      <c r="K122" s="181"/>
      <c r="L122" s="5"/>
      <c r="M122" s="5"/>
      <c r="N122" s="5"/>
      <c r="O122" s="205">
        <f>IF(O121+1&lt;=MIN('Données projet'!$E$9:$E$18),O121+1,"STOP")</f>
        <v>89</v>
      </c>
      <c r="P122" s="195">
        <f t="shared" si="7"/>
        <v>0</v>
      </c>
      <c r="Q122" s="264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0">
        <f>'Données projet'!A121</f>
        <v>55</v>
      </c>
      <c r="B123" s="191">
        <f>'Données projet'!D121</f>
        <v>0</v>
      </c>
      <c r="C123" s="202"/>
      <c r="D123" s="189">
        <f t="shared" si="8"/>
        <v>0</v>
      </c>
      <c r="E123" s="204"/>
      <c r="F123" s="261"/>
      <c r="G123" s="221"/>
      <c r="H123" s="201"/>
      <c r="I123" s="202"/>
      <c r="J123" s="5"/>
      <c r="K123" s="181"/>
      <c r="L123" s="5"/>
      <c r="M123" s="5"/>
      <c r="N123" s="5"/>
      <c r="O123" s="205">
        <f>IF(O122+1&lt;=MIN('Données projet'!$E$9:$E$18),O122+1,"STOP")</f>
        <v>90</v>
      </c>
      <c r="P123" s="195">
        <f t="shared" si="7"/>
        <v>0</v>
      </c>
      <c r="Q123" s="264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0">
        <f>'Données projet'!A122</f>
        <v>60</v>
      </c>
      <c r="B124" s="191">
        <f>'Données projet'!D122</f>
        <v>42</v>
      </c>
      <c r="C124" s="202">
        <v>20</v>
      </c>
      <c r="D124" s="189">
        <f t="shared" si="8"/>
        <v>840</v>
      </c>
      <c r="E124" s="204"/>
      <c r="F124" s="261"/>
      <c r="G124" s="221"/>
      <c r="H124" s="201"/>
      <c r="I124" s="202"/>
      <c r="J124" s="5"/>
      <c r="K124" s="181"/>
      <c r="L124" s="5"/>
      <c r="M124" s="5"/>
      <c r="N124" s="5"/>
      <c r="O124" s="205">
        <f>IF(O123+1&lt;=MIN('Données projet'!$E$9:$E$18),O123+1,"STOP")</f>
        <v>91</v>
      </c>
      <c r="P124" s="195">
        <f t="shared" si="7"/>
        <v>0</v>
      </c>
      <c r="Q124" s="264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0">
        <f>'Données projet'!A123</f>
        <v>65</v>
      </c>
      <c r="B125" s="191">
        <f>'Données projet'!D123</f>
        <v>0</v>
      </c>
      <c r="C125" s="202"/>
      <c r="D125" s="189">
        <f t="shared" si="8"/>
        <v>0</v>
      </c>
      <c r="E125" s="204"/>
      <c r="F125" s="261"/>
      <c r="G125" s="221"/>
      <c r="H125" s="201"/>
      <c r="I125" s="202"/>
      <c r="J125" s="5"/>
      <c r="K125" s="181"/>
      <c r="L125" s="5"/>
      <c r="M125" s="5"/>
      <c r="N125" s="5"/>
      <c r="O125" s="205">
        <f>IF(O124+1&lt;=MIN('Données projet'!$E$9:$E$18),O124+1,"STOP")</f>
        <v>92</v>
      </c>
      <c r="P125" s="195">
        <f t="shared" si="7"/>
        <v>0</v>
      </c>
      <c r="Q125" s="264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0">
        <f>'Données projet'!A124</f>
        <v>70</v>
      </c>
      <c r="B126" s="191">
        <f>'Données projet'!D124</f>
        <v>42</v>
      </c>
      <c r="C126" s="202">
        <v>40</v>
      </c>
      <c r="D126" s="189">
        <f t="shared" si="8"/>
        <v>1680</v>
      </c>
      <c r="E126" s="204"/>
      <c r="F126" s="261"/>
      <c r="G126" s="221"/>
      <c r="H126" s="201"/>
      <c r="I126" s="202"/>
      <c r="J126" s="5"/>
      <c r="K126" s="181"/>
      <c r="L126" s="5"/>
      <c r="M126" s="5"/>
      <c r="N126" s="5"/>
      <c r="O126" s="205">
        <f>IF(O125+1&lt;=MIN('Données projet'!$E$9:$E$18),O125+1,"STOP")</f>
        <v>93</v>
      </c>
      <c r="P126" s="195">
        <f t="shared" si="7"/>
        <v>0</v>
      </c>
      <c r="Q126" s="264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0">
        <f>'Données projet'!A125</f>
        <v>75</v>
      </c>
      <c r="B127" s="191">
        <f>'Données projet'!D125</f>
        <v>0</v>
      </c>
      <c r="C127" s="202"/>
      <c r="D127" s="189">
        <f t="shared" si="8"/>
        <v>0</v>
      </c>
      <c r="E127" s="204"/>
      <c r="F127" s="261"/>
      <c r="G127" s="221"/>
      <c r="H127" s="201"/>
      <c r="I127" s="202"/>
      <c r="J127" s="5"/>
      <c r="K127" s="181"/>
      <c r="L127" s="5"/>
      <c r="M127" s="5"/>
      <c r="N127" s="5"/>
      <c r="O127" s="205">
        <f>IF(O126+1&lt;=MIN('Données projet'!$E$9:$E$18),O126+1,"STOP")</f>
        <v>94</v>
      </c>
      <c r="P127" s="195">
        <f t="shared" si="7"/>
        <v>0</v>
      </c>
      <c r="Q127" s="264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0">
        <f>'Données projet'!A126</f>
        <v>80</v>
      </c>
      <c r="B128" s="191">
        <f>'Données projet'!D126</f>
        <v>42</v>
      </c>
      <c r="C128" s="202">
        <v>60</v>
      </c>
      <c r="D128" s="189">
        <f t="shared" si="8"/>
        <v>2520</v>
      </c>
      <c r="E128" s="204"/>
      <c r="F128" s="261"/>
      <c r="G128" s="221"/>
      <c r="H128" s="201"/>
      <c r="I128" s="202"/>
      <c r="J128" s="5"/>
      <c r="K128" s="181"/>
      <c r="L128" s="5"/>
      <c r="M128" s="5"/>
      <c r="N128" s="5"/>
      <c r="O128" s="205">
        <f>IF(O127+1&lt;=MIN('Données projet'!$E$9:$E$18),O127+1,"STOP")</f>
        <v>95</v>
      </c>
      <c r="P128" s="195">
        <f t="shared" si="7"/>
        <v>0</v>
      </c>
      <c r="Q128" s="264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0">
        <f>'Données projet'!A127</f>
        <v>90</v>
      </c>
      <c r="B129" s="191">
        <f>'Données projet'!D127</f>
        <v>42</v>
      </c>
      <c r="C129" s="202">
        <v>80</v>
      </c>
      <c r="D129" s="189">
        <f t="shared" si="8"/>
        <v>3360</v>
      </c>
      <c r="E129" s="204"/>
      <c r="F129" s="261"/>
      <c r="G129" s="221"/>
      <c r="H129" s="201"/>
      <c r="I129" s="202"/>
      <c r="J129" s="5"/>
      <c r="K129" s="181"/>
      <c r="L129" s="5"/>
      <c r="M129" s="5"/>
      <c r="N129" s="5"/>
      <c r="O129" s="205">
        <f>IF(O128+1&lt;=MIN('Données projet'!$E$9:$E$18),O128+1,"STOP")</f>
        <v>96</v>
      </c>
      <c r="P129" s="195">
        <f t="shared" ref="P129:P132" si="9">$P$25/(1+$M$4)^O129</f>
        <v>0</v>
      </c>
      <c r="Q129" s="264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0">
        <f>'Données projet'!A128</f>
        <v>100</v>
      </c>
      <c r="B130" s="191">
        <f>'Données projet'!D128</f>
        <v>42</v>
      </c>
      <c r="C130" s="202">
        <v>100</v>
      </c>
      <c r="D130" s="189">
        <f t="shared" si="8"/>
        <v>4200</v>
      </c>
      <c r="E130" s="204"/>
      <c r="F130" s="261"/>
      <c r="G130" s="221"/>
      <c r="H130" s="201"/>
      <c r="I130" s="202"/>
      <c r="J130" s="5"/>
      <c r="K130" s="181"/>
      <c r="L130" s="5"/>
      <c r="M130" s="5"/>
      <c r="N130" s="5"/>
      <c r="O130" s="205">
        <f>IF(O129+1&lt;=MIN('Données projet'!$E$9:$E$18),O129+1,"STOP")</f>
        <v>97</v>
      </c>
      <c r="P130" s="195">
        <f t="shared" si="9"/>
        <v>0</v>
      </c>
      <c r="Q130" s="264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0">
        <f>'Données projet'!A129</f>
        <v>110</v>
      </c>
      <c r="B131" s="191">
        <f>'Données projet'!D129</f>
        <v>39</v>
      </c>
      <c r="C131" s="202">
        <v>110</v>
      </c>
      <c r="D131" s="189">
        <f t="shared" si="8"/>
        <v>4290</v>
      </c>
      <c r="E131" s="204"/>
      <c r="F131" s="261"/>
      <c r="G131" s="221"/>
      <c r="H131" s="201"/>
      <c r="I131" s="202"/>
      <c r="J131" s="5"/>
      <c r="K131" s="181"/>
      <c r="L131" s="5"/>
      <c r="M131" s="5"/>
      <c r="N131" s="5"/>
      <c r="O131" s="205">
        <f>IF(O130+1&lt;=MIN('Données projet'!$E$9:$E$18),O130+1,"STOP")</f>
        <v>98</v>
      </c>
      <c r="P131" s="195">
        <f t="shared" si="9"/>
        <v>0</v>
      </c>
      <c r="Q131" s="264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0">
        <f>'Données projet'!A130</f>
        <v>120</v>
      </c>
      <c r="B132" s="191">
        <f>'Données projet'!D130</f>
        <v>35</v>
      </c>
      <c r="C132" s="202">
        <v>130</v>
      </c>
      <c r="D132" s="189">
        <f t="shared" si="8"/>
        <v>4550</v>
      </c>
      <c r="E132" s="204"/>
      <c r="F132" s="261"/>
      <c r="G132" s="221"/>
      <c r="H132" s="201"/>
      <c r="I132" s="202"/>
      <c r="J132" s="5"/>
      <c r="K132" s="181"/>
      <c r="L132" s="5"/>
      <c r="M132" s="5"/>
      <c r="N132" s="5"/>
      <c r="O132" s="205">
        <f>IF(O131+1&lt;=MIN('Données projet'!$E$9:$E$18),O131+1,"STOP")</f>
        <v>99</v>
      </c>
      <c r="P132" s="195">
        <f t="shared" si="9"/>
        <v>0</v>
      </c>
      <c r="Q132" s="264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0">
        <f>'Données projet'!A131</f>
        <v>130</v>
      </c>
      <c r="B133" s="191">
        <f>'Données projet'!D131</f>
        <v>31</v>
      </c>
      <c r="C133" s="202">
        <v>140</v>
      </c>
      <c r="D133" s="189">
        <f t="shared" si="8"/>
        <v>4340</v>
      </c>
      <c r="E133" s="204"/>
      <c r="F133" s="261"/>
      <c r="G133" s="221"/>
      <c r="H133" s="201"/>
      <c r="I133" s="202"/>
      <c r="J133" s="5"/>
      <c r="K133" s="181"/>
      <c r="Q133" s="264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0">
        <f>'Données projet'!A132</f>
        <v>140</v>
      </c>
      <c r="B134" s="191">
        <f>'Données projet'!D132</f>
        <v>27</v>
      </c>
      <c r="C134" s="202">
        <v>150</v>
      </c>
      <c r="D134" s="189">
        <f t="shared" si="8"/>
        <v>4050</v>
      </c>
      <c r="E134" s="204"/>
      <c r="F134" s="261"/>
      <c r="G134" s="221"/>
      <c r="H134" s="201"/>
      <c r="I134" s="202"/>
      <c r="J134" s="5"/>
      <c r="K134" s="181"/>
      <c r="Q134" s="264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0">
        <f>'Données projet'!A133</f>
        <v>150</v>
      </c>
      <c r="B135" s="191">
        <f>'Données projet'!D133</f>
        <v>293</v>
      </c>
      <c r="C135" s="202">
        <v>200</v>
      </c>
      <c r="D135" s="189">
        <f t="shared" si="8"/>
        <v>58600</v>
      </c>
      <c r="E135" s="204"/>
      <c r="F135" s="261"/>
      <c r="G135" s="221"/>
      <c r="H135" s="201"/>
      <c r="I135" s="202"/>
      <c r="J135" s="5"/>
      <c r="K135" s="181"/>
      <c r="Q135" s="264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59"/>
      <c r="G136" s="221"/>
      <c r="H136" s="201"/>
      <c r="I136" s="202"/>
      <c r="J136" s="5"/>
      <c r="K136" s="181"/>
      <c r="L136" s="5"/>
      <c r="M136" s="5"/>
      <c r="N136" s="5"/>
      <c r="Q136" s="264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59"/>
      <c r="G137" s="221"/>
      <c r="H137" s="201"/>
      <c r="I137" s="202"/>
      <c r="J137" s="5"/>
      <c r="K137" s="181"/>
      <c r="L137" s="5"/>
      <c r="M137" s="5"/>
      <c r="N137" s="5"/>
      <c r="Q137" s="264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4" t="str">
        <f>IF('Données projet'!B13="","",'Données projet'!B13)</f>
        <v>Cormier</v>
      </c>
      <c r="C138" s="5"/>
      <c r="D138" s="5"/>
      <c r="E138" s="5"/>
      <c r="F138" s="259"/>
      <c r="G138" s="221"/>
      <c r="H138" s="201"/>
      <c r="I138" s="202"/>
      <c r="J138" s="5"/>
      <c r="K138" s="181"/>
      <c r="L138" s="5"/>
      <c r="M138" s="5"/>
      <c r="N138" s="5"/>
      <c r="Q138" s="264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59"/>
      <c r="G139" s="221"/>
      <c r="H139" s="201"/>
      <c r="I139" s="202"/>
      <c r="J139" s="5"/>
      <c r="K139" s="181"/>
      <c r="L139" s="5"/>
      <c r="M139" s="5"/>
      <c r="N139" s="5"/>
      <c r="Q139" s="264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5" t="s">
        <v>180</v>
      </c>
      <c r="B140" s="51" t="s">
        <v>256</v>
      </c>
      <c r="C140" s="51" t="s">
        <v>255</v>
      </c>
      <c r="D140" s="255" t="s">
        <v>252</v>
      </c>
      <c r="E140" s="255" t="s">
        <v>320</v>
      </c>
      <c r="F140" s="260"/>
      <c r="G140" s="221"/>
      <c r="H140" s="201"/>
      <c r="I140" s="202"/>
      <c r="J140" s="5"/>
      <c r="K140" s="181"/>
      <c r="L140" s="5"/>
      <c r="M140" s="5"/>
      <c r="N140" s="5"/>
      <c r="Q140" s="264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08">
        <v>0</v>
      </c>
      <c r="B141" s="211" t="s">
        <v>132</v>
      </c>
      <c r="C141" s="210" t="s">
        <v>132</v>
      </c>
      <c r="D141" s="209" t="s">
        <v>132</v>
      </c>
      <c r="E141" s="204"/>
      <c r="F141" s="260"/>
      <c r="G141" s="221"/>
      <c r="H141" s="201"/>
      <c r="I141" s="202"/>
      <c r="J141" s="5"/>
      <c r="K141" s="181"/>
      <c r="L141" s="5"/>
      <c r="M141" s="5"/>
      <c r="N141" s="5"/>
      <c r="Q141" s="264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08">
        <v>1</v>
      </c>
      <c r="B142" s="211" t="s">
        <v>132</v>
      </c>
      <c r="C142" s="210" t="s">
        <v>132</v>
      </c>
      <c r="D142" s="209" t="s">
        <v>132</v>
      </c>
      <c r="E142" s="204"/>
      <c r="F142" s="260"/>
      <c r="G142" s="219"/>
      <c r="H142" s="201"/>
      <c r="I142" s="202"/>
      <c r="J142" s="5"/>
      <c r="K142" s="181"/>
      <c r="L142" s="5"/>
      <c r="M142" s="5"/>
      <c r="N142" s="5"/>
      <c r="Q142" s="264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08">
        <v>2</v>
      </c>
      <c r="B143" s="211" t="s">
        <v>132</v>
      </c>
      <c r="C143" s="210" t="s">
        <v>132</v>
      </c>
      <c r="D143" s="209" t="s">
        <v>132</v>
      </c>
      <c r="E143" s="204"/>
      <c r="F143" s="260"/>
      <c r="G143" s="219"/>
      <c r="H143" s="201"/>
      <c r="I143" s="202"/>
      <c r="J143" s="5"/>
      <c r="K143" s="181"/>
      <c r="L143" s="5"/>
      <c r="M143" s="5"/>
      <c r="N143" s="5"/>
      <c r="Q143" s="264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08">
        <v>3</v>
      </c>
      <c r="B144" s="211" t="s">
        <v>132</v>
      </c>
      <c r="C144" s="210" t="s">
        <v>132</v>
      </c>
      <c r="D144" s="209" t="s">
        <v>132</v>
      </c>
      <c r="E144" s="204"/>
      <c r="F144" s="260"/>
      <c r="G144" s="219"/>
      <c r="H144" s="201"/>
      <c r="I144" s="202"/>
      <c r="J144" s="5"/>
      <c r="K144" s="181"/>
      <c r="L144" s="5"/>
      <c r="M144" s="5"/>
      <c r="N144" s="5"/>
      <c r="Q144" s="264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08">
        <v>4</v>
      </c>
      <c r="B145" s="211" t="s">
        <v>132</v>
      </c>
      <c r="C145" s="210" t="s">
        <v>132</v>
      </c>
      <c r="D145" s="209" t="s">
        <v>132</v>
      </c>
      <c r="E145" s="204"/>
      <c r="F145" s="260"/>
      <c r="G145" s="219"/>
      <c r="H145" s="201"/>
      <c r="I145" s="202"/>
      <c r="J145" s="5"/>
      <c r="K145" s="181"/>
      <c r="L145" s="5"/>
      <c r="M145" s="5"/>
      <c r="N145" s="5"/>
      <c r="Q145" s="264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08">
        <v>5</v>
      </c>
      <c r="B146" s="211" t="s">
        <v>132</v>
      </c>
      <c r="C146" s="210" t="s">
        <v>132</v>
      </c>
      <c r="D146" s="209" t="s">
        <v>132</v>
      </c>
      <c r="E146" s="204"/>
      <c r="F146" s="260"/>
      <c r="G146" s="220"/>
      <c r="H146" s="201"/>
      <c r="I146" s="202"/>
      <c r="J146" s="5"/>
      <c r="K146" s="181"/>
      <c r="L146" s="5"/>
      <c r="M146" s="5"/>
      <c r="N146" s="5"/>
      <c r="Q146" s="264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20</v>
      </c>
      <c r="B147" s="185">
        <f>'Données projet'!D140</f>
        <v>0</v>
      </c>
      <c r="C147" s="202"/>
      <c r="D147" s="192">
        <f>B147*C147</f>
        <v>0</v>
      </c>
      <c r="E147" s="204"/>
      <c r="F147" s="262"/>
      <c r="G147" s="220"/>
      <c r="H147" s="201"/>
      <c r="I147" s="202"/>
      <c r="J147" s="5"/>
      <c r="K147" s="181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25</v>
      </c>
      <c r="B148" s="185">
        <f>'Données projet'!D141</f>
        <v>0</v>
      </c>
      <c r="C148" s="202"/>
      <c r="D148" s="192">
        <f t="shared" ref="D148:D166" si="10">B148*C148</f>
        <v>0</v>
      </c>
      <c r="E148" s="204"/>
      <c r="F148" s="262"/>
      <c r="G148" s="220"/>
      <c r="H148" s="201"/>
      <c r="I148" s="202"/>
      <c r="J148" s="5"/>
      <c r="K148" s="181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30</v>
      </c>
      <c r="B149" s="185">
        <f>'Données projet'!D142</f>
        <v>29</v>
      </c>
      <c r="C149" s="202">
        <v>10</v>
      </c>
      <c r="D149" s="192">
        <f t="shared" si="10"/>
        <v>290</v>
      </c>
      <c r="E149" s="204"/>
      <c r="F149" s="262"/>
      <c r="G149" s="220"/>
      <c r="H149" s="201"/>
      <c r="I149" s="202"/>
      <c r="J149" s="5"/>
      <c r="K149" s="181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35</v>
      </c>
      <c r="B150" s="185">
        <f>'Données projet'!D143</f>
        <v>0</v>
      </c>
      <c r="C150" s="202"/>
      <c r="D150" s="192">
        <f t="shared" si="10"/>
        <v>0</v>
      </c>
      <c r="E150" s="204"/>
      <c r="F150" s="262"/>
      <c r="G150" s="220"/>
      <c r="H150" s="201"/>
      <c r="I150" s="202"/>
      <c r="J150" s="5"/>
      <c r="K150" s="181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40</v>
      </c>
      <c r="B151" s="185">
        <f>'Données projet'!D144</f>
        <v>42</v>
      </c>
      <c r="C151" s="202">
        <v>10</v>
      </c>
      <c r="D151" s="192">
        <f t="shared" si="10"/>
        <v>420</v>
      </c>
      <c r="E151" s="204"/>
      <c r="F151" s="262"/>
      <c r="G151" s="220"/>
      <c r="H151" s="201"/>
      <c r="I151" s="202"/>
      <c r="J151" s="5"/>
      <c r="K151" s="181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45</v>
      </c>
      <c r="B152" s="185">
        <f>'Données projet'!D145</f>
        <v>0</v>
      </c>
      <c r="C152" s="202"/>
      <c r="D152" s="192">
        <f t="shared" si="10"/>
        <v>0</v>
      </c>
      <c r="E152" s="204"/>
      <c r="F152" s="262"/>
      <c r="G152" s="220"/>
      <c r="H152" s="201"/>
      <c r="I152" s="202"/>
      <c r="J152" s="5"/>
      <c r="K152" s="181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50</v>
      </c>
      <c r="B153" s="185">
        <f>'Données projet'!D146</f>
        <v>42</v>
      </c>
      <c r="C153" s="202">
        <v>15</v>
      </c>
      <c r="D153" s="192">
        <f t="shared" si="10"/>
        <v>630</v>
      </c>
      <c r="E153" s="204"/>
      <c r="F153" s="262"/>
      <c r="G153" s="216"/>
      <c r="H153" s="201"/>
      <c r="I153" s="202"/>
      <c r="J153" s="5"/>
      <c r="K153" s="181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55</v>
      </c>
      <c r="B154" s="185">
        <f>'Données projet'!D147</f>
        <v>0</v>
      </c>
      <c r="C154" s="202"/>
      <c r="D154" s="192">
        <f t="shared" si="10"/>
        <v>0</v>
      </c>
      <c r="E154" s="204"/>
      <c r="F154" s="262"/>
      <c r="G154" s="216"/>
      <c r="H154" s="201"/>
      <c r="I154" s="202"/>
      <c r="J154" s="5"/>
      <c r="K154" s="181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60</v>
      </c>
      <c r="B155" s="185">
        <f>'Données projet'!D148</f>
        <v>42</v>
      </c>
      <c r="C155" s="202">
        <v>20</v>
      </c>
      <c r="D155" s="192">
        <f t="shared" si="10"/>
        <v>840</v>
      </c>
      <c r="E155" s="204"/>
      <c r="F155" s="262"/>
      <c r="G155" s="216"/>
      <c r="H155" s="201"/>
      <c r="I155" s="202"/>
      <c r="J155" s="5"/>
      <c r="K155" s="181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65</v>
      </c>
      <c r="B156" s="185">
        <f>'Données projet'!D149</f>
        <v>0</v>
      </c>
      <c r="C156" s="202"/>
      <c r="D156" s="192">
        <f t="shared" si="10"/>
        <v>0</v>
      </c>
      <c r="E156" s="204"/>
      <c r="F156" s="262"/>
      <c r="G156" s="216"/>
      <c r="H156" s="201"/>
      <c r="I156" s="202"/>
      <c r="J156" s="5"/>
      <c r="K156" s="181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70</v>
      </c>
      <c r="B157" s="185">
        <f>'Données projet'!D150</f>
        <v>42</v>
      </c>
      <c r="C157" s="202">
        <v>40</v>
      </c>
      <c r="D157" s="192">
        <f t="shared" si="10"/>
        <v>1680</v>
      </c>
      <c r="E157" s="204"/>
      <c r="F157" s="262"/>
      <c r="G157" s="216"/>
      <c r="H157" s="201"/>
      <c r="I157" s="202"/>
      <c r="J157" s="5"/>
      <c r="K157" s="181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75</v>
      </c>
      <c r="B158" s="185">
        <f>'Données projet'!D151</f>
        <v>0</v>
      </c>
      <c r="C158" s="202"/>
      <c r="D158" s="192">
        <f t="shared" si="10"/>
        <v>0</v>
      </c>
      <c r="E158" s="204"/>
      <c r="F158" s="262"/>
      <c r="G158" s="216"/>
      <c r="H158" s="201"/>
      <c r="I158" s="202"/>
      <c r="J158" s="5"/>
      <c r="K158" s="181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80</v>
      </c>
      <c r="B159" s="185">
        <f>'Données projet'!D152</f>
        <v>42</v>
      </c>
      <c r="C159" s="202">
        <v>60</v>
      </c>
      <c r="D159" s="192">
        <f t="shared" si="10"/>
        <v>2520</v>
      </c>
      <c r="E159" s="204"/>
      <c r="F159" s="262"/>
      <c r="G159" s="216"/>
      <c r="H159" s="201"/>
      <c r="I159" s="202"/>
      <c r="J159" s="5"/>
      <c r="K159" s="181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90</v>
      </c>
      <c r="B160" s="185">
        <f>'Données projet'!D153</f>
        <v>42</v>
      </c>
      <c r="C160" s="202">
        <v>80</v>
      </c>
      <c r="D160" s="192">
        <f t="shared" si="10"/>
        <v>3360</v>
      </c>
      <c r="E160" s="204"/>
      <c r="F160" s="262"/>
      <c r="G160" s="216"/>
      <c r="H160" s="201"/>
      <c r="I160" s="202"/>
      <c r="J160" s="5"/>
      <c r="K160" s="181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100</v>
      </c>
      <c r="B161" s="185">
        <f>'Données projet'!D154</f>
        <v>42</v>
      </c>
      <c r="C161" s="202">
        <v>100</v>
      </c>
      <c r="D161" s="192">
        <f t="shared" si="10"/>
        <v>4200</v>
      </c>
      <c r="E161" s="204"/>
      <c r="F161" s="262"/>
      <c r="G161" s="216"/>
      <c r="H161" s="201"/>
      <c r="I161" s="202"/>
      <c r="J161" s="5"/>
      <c r="K161" s="181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110</v>
      </c>
      <c r="B162" s="185">
        <f>'Données projet'!D155</f>
        <v>39</v>
      </c>
      <c r="C162" s="202">
        <v>110</v>
      </c>
      <c r="D162" s="192">
        <f t="shared" si="10"/>
        <v>4290</v>
      </c>
      <c r="E162" s="204"/>
      <c r="F162" s="262"/>
      <c r="G162" s="216"/>
      <c r="H162" s="201"/>
      <c r="I162" s="202"/>
      <c r="J162" s="5"/>
      <c r="K162" s="181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120</v>
      </c>
      <c r="B163" s="185">
        <f>'Données projet'!D156</f>
        <v>35</v>
      </c>
      <c r="C163" s="202">
        <v>130</v>
      </c>
      <c r="D163" s="192">
        <f t="shared" si="10"/>
        <v>4550</v>
      </c>
      <c r="E163" s="204"/>
      <c r="F163" s="262"/>
      <c r="G163" s="216"/>
      <c r="H163" s="201"/>
      <c r="I163" s="202"/>
      <c r="J163" s="5"/>
      <c r="K163" s="181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130</v>
      </c>
      <c r="B164" s="185">
        <f>'Données projet'!D157</f>
        <v>31</v>
      </c>
      <c r="C164" s="202">
        <v>140</v>
      </c>
      <c r="D164" s="192">
        <f t="shared" si="10"/>
        <v>4340</v>
      </c>
      <c r="E164" s="204"/>
      <c r="F164" s="262"/>
      <c r="G164" s="216"/>
      <c r="H164" s="201"/>
      <c r="I164" s="202"/>
      <c r="J164" s="5"/>
      <c r="K164" s="181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140</v>
      </c>
      <c r="B165" s="185">
        <f>'Données projet'!D158</f>
        <v>27</v>
      </c>
      <c r="C165" s="202">
        <v>150</v>
      </c>
      <c r="D165" s="192">
        <f t="shared" si="10"/>
        <v>4050</v>
      </c>
      <c r="E165" s="204"/>
      <c r="F165" s="262"/>
      <c r="G165" s="216"/>
      <c r="H165" s="201"/>
      <c r="I165" s="202"/>
      <c r="J165" s="5"/>
      <c r="K165" s="181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150</v>
      </c>
      <c r="B166" s="185">
        <f>'Données projet'!D159</f>
        <v>293</v>
      </c>
      <c r="C166" s="202">
        <v>200</v>
      </c>
      <c r="D166" s="192">
        <f t="shared" si="10"/>
        <v>58600</v>
      </c>
      <c r="E166" s="204"/>
      <c r="F166" s="262"/>
      <c r="G166" s="216"/>
      <c r="H166" s="201"/>
      <c r="I166" s="202"/>
      <c r="J166" s="5"/>
      <c r="K166" s="181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59"/>
      <c r="G167" s="216"/>
      <c r="H167" s="201"/>
      <c r="I167" s="202"/>
      <c r="J167" s="5"/>
      <c r="K167" s="181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59"/>
      <c r="G168" s="216"/>
      <c r="H168" s="201"/>
      <c r="I168" s="202"/>
      <c r="J168" s="5"/>
      <c r="K168" s="181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4" t="str">
        <f>IF('Données projet'!B14="","",'Données projet'!B14)</f>
        <v>Tilleul</v>
      </c>
      <c r="C169" s="5"/>
      <c r="D169" s="5"/>
      <c r="E169" s="5"/>
      <c r="F169" s="259"/>
      <c r="G169" s="216"/>
      <c r="H169" s="201"/>
      <c r="I169" s="202"/>
      <c r="J169" s="5"/>
      <c r="K169" s="181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59"/>
      <c r="G170" s="216"/>
      <c r="H170" s="201"/>
      <c r="I170" s="202"/>
      <c r="J170" s="5"/>
      <c r="K170" s="181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5" t="s">
        <v>180</v>
      </c>
      <c r="B171" s="51" t="s">
        <v>256</v>
      </c>
      <c r="C171" s="51" t="s">
        <v>255</v>
      </c>
      <c r="D171" s="255" t="s">
        <v>252</v>
      </c>
      <c r="E171" s="255" t="s">
        <v>320</v>
      </c>
      <c r="F171" s="260"/>
      <c r="G171" s="216"/>
      <c r="H171" s="201"/>
      <c r="I171" s="202"/>
      <c r="J171" s="5"/>
      <c r="K171" s="181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08">
        <v>0</v>
      </c>
      <c r="B172" s="211" t="s">
        <v>132</v>
      </c>
      <c r="C172" s="210" t="s">
        <v>132</v>
      </c>
      <c r="D172" s="209" t="s">
        <v>132</v>
      </c>
      <c r="E172" s="204"/>
      <c r="F172" s="260"/>
      <c r="G172" s="216"/>
      <c r="H172" s="201"/>
      <c r="I172" s="202"/>
      <c r="J172" s="5"/>
      <c r="K172" s="181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08">
        <v>1</v>
      </c>
      <c r="B173" s="211" t="s">
        <v>132</v>
      </c>
      <c r="C173" s="210" t="s">
        <v>132</v>
      </c>
      <c r="D173" s="209" t="s">
        <v>132</v>
      </c>
      <c r="E173" s="204"/>
      <c r="F173" s="260"/>
      <c r="G173" s="219"/>
      <c r="H173" s="201"/>
      <c r="I173" s="202"/>
      <c r="J173" s="5"/>
      <c r="K173" s="181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08">
        <v>2</v>
      </c>
      <c r="B174" s="211" t="s">
        <v>132</v>
      </c>
      <c r="C174" s="210" t="s">
        <v>132</v>
      </c>
      <c r="D174" s="209" t="s">
        <v>132</v>
      </c>
      <c r="E174" s="204"/>
      <c r="F174" s="260"/>
      <c r="G174" s="219"/>
      <c r="H174" s="201"/>
      <c r="I174" s="202"/>
      <c r="J174" s="5"/>
      <c r="K174" s="181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08">
        <v>3</v>
      </c>
      <c r="B175" s="211" t="s">
        <v>132</v>
      </c>
      <c r="C175" s="210" t="s">
        <v>132</v>
      </c>
      <c r="D175" s="209" t="s">
        <v>132</v>
      </c>
      <c r="E175" s="204"/>
      <c r="F175" s="260"/>
      <c r="G175" s="219"/>
      <c r="H175" s="201"/>
      <c r="I175" s="202"/>
      <c r="J175" s="5"/>
      <c r="K175" s="181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08">
        <v>4</v>
      </c>
      <c r="B176" s="211" t="s">
        <v>132</v>
      </c>
      <c r="C176" s="210" t="s">
        <v>132</v>
      </c>
      <c r="D176" s="209" t="s">
        <v>132</v>
      </c>
      <c r="E176" s="204"/>
      <c r="F176" s="260"/>
      <c r="G176" s="219"/>
      <c r="H176" s="201"/>
      <c r="I176" s="202"/>
      <c r="J176" s="5"/>
      <c r="K176" s="18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08">
        <v>5</v>
      </c>
      <c r="B177" s="211" t="s">
        <v>132</v>
      </c>
      <c r="C177" s="210" t="s">
        <v>132</v>
      </c>
      <c r="D177" s="209" t="s">
        <v>132</v>
      </c>
      <c r="E177" s="204"/>
      <c r="F177" s="260"/>
      <c r="G177" s="220"/>
      <c r="H177" s="201"/>
      <c r="I177" s="202"/>
      <c r="J177" s="5"/>
      <c r="K177" s="18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0">
        <f>'Données projet'!A166</f>
        <v>15</v>
      </c>
      <c r="B178" s="191">
        <f>'Données projet'!D166</f>
        <v>0</v>
      </c>
      <c r="C178" s="204"/>
      <c r="D178" s="189">
        <f>B178*C178</f>
        <v>0</v>
      </c>
      <c r="E178" s="204"/>
      <c r="F178" s="261"/>
      <c r="G178" s="220"/>
      <c r="H178" s="201"/>
      <c r="I178" s="202"/>
      <c r="J178" s="5"/>
      <c r="K178" s="181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0">
        <f>'Données projet'!A167</f>
        <v>20</v>
      </c>
      <c r="B179" s="191">
        <f>'Données projet'!D167</f>
        <v>24.358974358974358</v>
      </c>
      <c r="C179" s="204">
        <v>10</v>
      </c>
      <c r="D179" s="189">
        <f t="shared" ref="D179:D197" si="11">B179*C179</f>
        <v>243.58974358974359</v>
      </c>
      <c r="E179" s="204"/>
      <c r="F179" s="261"/>
      <c r="G179" s="220"/>
      <c r="H179" s="201"/>
      <c r="I179" s="202"/>
      <c r="J179" s="5"/>
      <c r="K179" s="181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0">
        <f>'Données projet'!A168</f>
        <v>25</v>
      </c>
      <c r="B180" s="191">
        <f>'Données projet'!D168</f>
        <v>0</v>
      </c>
      <c r="C180" s="204"/>
      <c r="D180" s="189">
        <f t="shared" si="11"/>
        <v>0</v>
      </c>
      <c r="E180" s="204"/>
      <c r="F180" s="261"/>
      <c r="G180" s="220"/>
      <c r="H180" s="201"/>
      <c r="I180" s="202"/>
      <c r="J180" s="5"/>
      <c r="K180" s="181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0">
        <f>'Données projet'!A169</f>
        <v>30</v>
      </c>
      <c r="B181" s="191">
        <f>'Données projet'!D169</f>
        <v>32.692307692307693</v>
      </c>
      <c r="C181" s="204">
        <v>10</v>
      </c>
      <c r="D181" s="189">
        <f t="shared" si="11"/>
        <v>326.92307692307691</v>
      </c>
      <c r="E181" s="204"/>
      <c r="F181" s="261"/>
      <c r="G181" s="220"/>
      <c r="H181" s="201"/>
      <c r="I181" s="202"/>
      <c r="J181" s="5"/>
      <c r="K181" s="181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0">
        <f>'Données projet'!A170</f>
        <v>35</v>
      </c>
      <c r="B182" s="191">
        <f>'Données projet'!D170</f>
        <v>0</v>
      </c>
      <c r="C182" s="204"/>
      <c r="D182" s="189">
        <f t="shared" si="11"/>
        <v>0</v>
      </c>
      <c r="E182" s="204"/>
      <c r="F182" s="261"/>
      <c r="G182" s="220"/>
      <c r="H182" s="201"/>
      <c r="I182" s="202"/>
      <c r="J182" s="5"/>
      <c r="K182" s="181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0">
        <f>'Données projet'!A171</f>
        <v>40</v>
      </c>
      <c r="B183" s="191">
        <f>'Données projet'!D171</f>
        <v>34.615384615384613</v>
      </c>
      <c r="C183" s="204">
        <v>15</v>
      </c>
      <c r="D183" s="189">
        <f t="shared" si="11"/>
        <v>519.23076923076917</v>
      </c>
      <c r="E183" s="204"/>
      <c r="F183" s="261"/>
      <c r="G183" s="220"/>
      <c r="H183" s="201"/>
      <c r="I183" s="202"/>
      <c r="J183" s="5"/>
      <c r="K183" s="181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0">
        <f>'Données projet'!A172</f>
        <v>45</v>
      </c>
      <c r="B184" s="191">
        <f>'Données projet'!D172</f>
        <v>0</v>
      </c>
      <c r="C184" s="204"/>
      <c r="D184" s="189">
        <f t="shared" si="11"/>
        <v>0</v>
      </c>
      <c r="E184" s="204"/>
      <c r="F184" s="261"/>
      <c r="G184" s="221"/>
      <c r="H184" s="201"/>
      <c r="I184" s="202"/>
      <c r="J184" s="5"/>
      <c r="K184" s="181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0">
        <f>'Données projet'!A173</f>
        <v>50</v>
      </c>
      <c r="B185" s="191">
        <f>'Données projet'!D173</f>
        <v>32.692307692307693</v>
      </c>
      <c r="C185" s="204">
        <v>20</v>
      </c>
      <c r="D185" s="189">
        <f t="shared" si="11"/>
        <v>653.84615384615381</v>
      </c>
      <c r="E185" s="204"/>
      <c r="F185" s="261"/>
      <c r="G185" s="221"/>
      <c r="H185" s="201"/>
      <c r="I185" s="202"/>
      <c r="J185" s="5"/>
      <c r="K185" s="181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0">
        <f>'Données projet'!A174</f>
        <v>55</v>
      </c>
      <c r="B186" s="191">
        <f>'Données projet'!D174</f>
        <v>0</v>
      </c>
      <c r="C186" s="204"/>
      <c r="D186" s="189">
        <f t="shared" si="11"/>
        <v>0</v>
      </c>
      <c r="E186" s="204"/>
      <c r="F186" s="261"/>
      <c r="G186" s="221"/>
      <c r="H186" s="201"/>
      <c r="I186" s="202"/>
      <c r="J186" s="5"/>
      <c r="K186" s="181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0">
        <f>'Données projet'!A175</f>
        <v>60</v>
      </c>
      <c r="B187" s="191">
        <f>'Données projet'!D175</f>
        <v>30.128205128205128</v>
      </c>
      <c r="C187" s="204">
        <v>30</v>
      </c>
      <c r="D187" s="189">
        <f t="shared" si="11"/>
        <v>903.84615384615381</v>
      </c>
      <c r="E187" s="204"/>
      <c r="F187" s="261"/>
      <c r="G187" s="221"/>
      <c r="H187" s="201"/>
      <c r="I187" s="202"/>
      <c r="J187" s="5"/>
      <c r="K187" s="181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0">
        <f>'Données projet'!A176</f>
        <v>65</v>
      </c>
      <c r="B188" s="191">
        <f>'Données projet'!D176</f>
        <v>0</v>
      </c>
      <c r="C188" s="204"/>
      <c r="D188" s="189">
        <f t="shared" si="11"/>
        <v>0</v>
      </c>
      <c r="E188" s="204"/>
      <c r="F188" s="261"/>
      <c r="G188" s="221"/>
      <c r="H188" s="201"/>
      <c r="I188" s="202"/>
      <c r="J188" s="5"/>
      <c r="K188" s="18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0">
        <f>'Données projet'!A177</f>
        <v>70</v>
      </c>
      <c r="B189" s="191">
        <f>'Données projet'!D177</f>
        <v>27.564102564102562</v>
      </c>
      <c r="C189" s="204">
        <v>40</v>
      </c>
      <c r="D189" s="189">
        <f t="shared" si="11"/>
        <v>1102.5641025641025</v>
      </c>
      <c r="E189" s="204"/>
      <c r="F189" s="261"/>
      <c r="G189" s="221"/>
      <c r="H189" s="201"/>
      <c r="I189" s="202"/>
      <c r="J189" s="5"/>
      <c r="K189" s="18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0">
        <f>'Données projet'!A178</f>
        <v>75</v>
      </c>
      <c r="B190" s="191">
        <f>'Données projet'!D178</f>
        <v>0</v>
      </c>
      <c r="C190" s="204"/>
      <c r="D190" s="189">
        <f t="shared" si="11"/>
        <v>0</v>
      </c>
      <c r="E190" s="204"/>
      <c r="F190" s="261"/>
      <c r="G190" s="221"/>
      <c r="H190" s="201"/>
      <c r="I190" s="202"/>
      <c r="J190" s="5"/>
      <c r="K190" s="18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0">
        <f>'Données projet'!A179</f>
        <v>80</v>
      </c>
      <c r="B191" s="191">
        <f>'Données projet'!D179</f>
        <v>26.282051282051281</v>
      </c>
      <c r="C191" s="204">
        <v>50</v>
      </c>
      <c r="D191" s="189">
        <f t="shared" si="11"/>
        <v>1314.102564102564</v>
      </c>
      <c r="E191" s="204"/>
      <c r="F191" s="261"/>
      <c r="G191" s="221"/>
      <c r="H191" s="201"/>
      <c r="I191" s="202"/>
      <c r="J191" s="5"/>
      <c r="K191" s="18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0">
        <f>'Données projet'!A180</f>
        <v>85</v>
      </c>
      <c r="B192" s="191">
        <f>'Données projet'!D180</f>
        <v>0</v>
      </c>
      <c r="C192" s="204"/>
      <c r="D192" s="189">
        <f t="shared" si="11"/>
        <v>0</v>
      </c>
      <c r="E192" s="204"/>
      <c r="F192" s="261"/>
      <c r="G192" s="221"/>
      <c r="H192" s="201"/>
      <c r="I192" s="202"/>
      <c r="J192" s="5"/>
      <c r="K192" s="18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0">
        <f>'Données projet'!A181</f>
        <v>90</v>
      </c>
      <c r="B193" s="191">
        <f>'Données projet'!D181</f>
        <v>24.358974358974358</v>
      </c>
      <c r="C193" s="204">
        <v>60</v>
      </c>
      <c r="D193" s="189">
        <f t="shared" si="11"/>
        <v>1461.5384615384614</v>
      </c>
      <c r="E193" s="204"/>
      <c r="F193" s="261"/>
      <c r="G193" s="221"/>
      <c r="H193" s="201"/>
      <c r="I193" s="202"/>
      <c r="J193" s="5"/>
      <c r="K193" s="18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0">
        <f>'Données projet'!A182</f>
        <v>95</v>
      </c>
      <c r="B194" s="191">
        <f>'Données projet'!D182</f>
        <v>0</v>
      </c>
      <c r="C194" s="204"/>
      <c r="D194" s="189">
        <f t="shared" si="11"/>
        <v>0</v>
      </c>
      <c r="E194" s="204"/>
      <c r="F194" s="261"/>
      <c r="G194" s="221"/>
      <c r="H194" s="201"/>
      <c r="I194" s="202"/>
      <c r="J194" s="5"/>
      <c r="K194" s="181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0">
        <f>'Données projet'!A183</f>
        <v>100</v>
      </c>
      <c r="B195" s="191">
        <f>'Données projet'!D183</f>
        <v>22.435897435897434</v>
      </c>
      <c r="C195" s="204">
        <v>65</v>
      </c>
      <c r="D195" s="189">
        <f t="shared" si="11"/>
        <v>1458.3333333333333</v>
      </c>
      <c r="E195" s="204"/>
      <c r="F195" s="261"/>
      <c r="G195" s="221"/>
      <c r="H195" s="201"/>
      <c r="I195" s="202"/>
      <c r="J195" s="5"/>
      <c r="K195" s="18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0">
        <f>'Données projet'!A184</f>
        <v>105</v>
      </c>
      <c r="B196" s="191">
        <f>'Données projet'!D184</f>
        <v>0</v>
      </c>
      <c r="C196" s="204"/>
      <c r="D196" s="189">
        <f t="shared" si="11"/>
        <v>0</v>
      </c>
      <c r="E196" s="204"/>
      <c r="F196" s="261"/>
      <c r="G196" s="221"/>
      <c r="H196" s="201"/>
      <c r="I196" s="202"/>
      <c r="J196" s="5"/>
      <c r="K196" s="18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0">
        <f>'Données projet'!A185</f>
        <v>110</v>
      </c>
      <c r="B197" s="191">
        <f>'Données projet'!D185</f>
        <v>317.94871794871796</v>
      </c>
      <c r="C197" s="204">
        <v>70</v>
      </c>
      <c r="D197" s="189">
        <f t="shared" si="11"/>
        <v>22256.410256410258</v>
      </c>
      <c r="E197" s="204"/>
      <c r="F197" s="261"/>
      <c r="G197" s="221"/>
      <c r="H197" s="201"/>
      <c r="I197" s="202"/>
      <c r="J197" s="5"/>
      <c r="K197" s="18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59"/>
      <c r="G198" s="221"/>
      <c r="H198" s="201"/>
      <c r="I198" s="202"/>
      <c r="J198" s="5"/>
      <c r="K198" s="18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59"/>
      <c r="G199" s="221"/>
      <c r="H199" s="201"/>
      <c r="I199" s="202"/>
      <c r="J199" s="5"/>
      <c r="K199" s="18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4" t="str">
        <f>IF('Données projet'!$B$15="","",'Données projet'!$B$15)</f>
        <v/>
      </c>
      <c r="C200" s="5"/>
      <c r="D200" s="5"/>
      <c r="E200" s="5"/>
      <c r="F200" s="259"/>
      <c r="G200" s="221"/>
      <c r="H200" s="201"/>
      <c r="I200" s="202"/>
      <c r="J200" s="5"/>
      <c r="K200" s="18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59"/>
      <c r="G201" s="221"/>
      <c r="H201" s="201"/>
      <c r="I201" s="202"/>
      <c r="J201" s="5"/>
      <c r="K201" s="18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5" t="s">
        <v>180</v>
      </c>
      <c r="B202" s="51" t="s">
        <v>256</v>
      </c>
      <c r="C202" s="51" t="s">
        <v>255</v>
      </c>
      <c r="D202" s="255" t="s">
        <v>252</v>
      </c>
      <c r="E202" s="255" t="s">
        <v>320</v>
      </c>
      <c r="F202" s="260"/>
      <c r="G202" s="221"/>
      <c r="H202" s="201"/>
      <c r="I202" s="202"/>
      <c r="J202" s="5"/>
      <c r="K202" s="18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08">
        <v>0</v>
      </c>
      <c r="B203" s="211" t="s">
        <v>132</v>
      </c>
      <c r="C203" s="210" t="s">
        <v>132</v>
      </c>
      <c r="D203" s="209" t="s">
        <v>132</v>
      </c>
      <c r="E203" s="204"/>
      <c r="F203" s="260"/>
      <c r="G203" s="221"/>
      <c r="H203" s="201"/>
      <c r="I203" s="202"/>
      <c r="J203" s="5"/>
      <c r="K203" s="18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08">
        <v>1</v>
      </c>
      <c r="B204" s="211" t="s">
        <v>132</v>
      </c>
      <c r="C204" s="210" t="s">
        <v>132</v>
      </c>
      <c r="D204" s="209" t="s">
        <v>132</v>
      </c>
      <c r="E204" s="204"/>
      <c r="F204" s="260"/>
      <c r="G204" s="219"/>
      <c r="H204" s="201"/>
      <c r="I204" s="202"/>
      <c r="J204" s="5"/>
      <c r="K204" s="18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08">
        <v>2</v>
      </c>
      <c r="B205" s="211" t="s">
        <v>132</v>
      </c>
      <c r="C205" s="210" t="s">
        <v>132</v>
      </c>
      <c r="D205" s="209" t="s">
        <v>132</v>
      </c>
      <c r="E205" s="204"/>
      <c r="F205" s="260"/>
      <c r="G205" s="219"/>
      <c r="H205" s="201"/>
      <c r="I205" s="202"/>
      <c r="J205" s="5"/>
      <c r="K205" s="18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08">
        <v>3</v>
      </c>
      <c r="B206" s="211" t="s">
        <v>132</v>
      </c>
      <c r="C206" s="210" t="s">
        <v>132</v>
      </c>
      <c r="D206" s="209" t="s">
        <v>132</v>
      </c>
      <c r="E206" s="204"/>
      <c r="F206" s="260"/>
      <c r="G206" s="219"/>
      <c r="H206" s="201"/>
      <c r="I206" s="202"/>
      <c r="J206" s="5"/>
      <c r="K206" s="181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08">
        <v>4</v>
      </c>
      <c r="B207" s="211" t="s">
        <v>132</v>
      </c>
      <c r="C207" s="210" t="s">
        <v>132</v>
      </c>
      <c r="D207" s="209" t="s">
        <v>132</v>
      </c>
      <c r="E207" s="204"/>
      <c r="F207" s="260"/>
      <c r="G207" s="219"/>
      <c r="H207" s="201"/>
      <c r="I207" s="202"/>
      <c r="J207" s="5"/>
      <c r="K207" s="181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08">
        <v>5</v>
      </c>
      <c r="B208" s="211" t="s">
        <v>132</v>
      </c>
      <c r="C208" s="210" t="s">
        <v>132</v>
      </c>
      <c r="D208" s="209" t="s">
        <v>132</v>
      </c>
      <c r="E208" s="204"/>
      <c r="F208" s="260"/>
      <c r="G208" s="220"/>
      <c r="H208" s="201"/>
      <c r="I208" s="202"/>
      <c r="J208" s="5"/>
      <c r="K208" s="181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0">
        <f>'Données projet'!A192</f>
        <v>0</v>
      </c>
      <c r="B209" s="191">
        <f>'Données projet'!D192</f>
        <v>0</v>
      </c>
      <c r="C209" s="204"/>
      <c r="D209" s="189">
        <f>B209*C209</f>
        <v>0</v>
      </c>
      <c r="E209" s="204"/>
      <c r="F209" s="261"/>
      <c r="G209" s="220"/>
      <c r="H209" s="201"/>
      <c r="I209" s="202"/>
      <c r="J209" s="5"/>
      <c r="K209" s="181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0">
        <f>'Données projet'!A193</f>
        <v>0</v>
      </c>
      <c r="B210" s="191">
        <f>'Données projet'!D193</f>
        <v>0</v>
      </c>
      <c r="C210" s="204"/>
      <c r="D210" s="189">
        <f t="shared" ref="D210:D228" si="12">B210*C210</f>
        <v>0</v>
      </c>
      <c r="E210" s="204"/>
      <c r="F210" s="261"/>
      <c r="G210" s="220"/>
      <c r="H210" s="201"/>
      <c r="I210" s="202"/>
      <c r="J210" s="5"/>
      <c r="K210" s="181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0">
        <f>'Données projet'!A194</f>
        <v>0</v>
      </c>
      <c r="B211" s="191">
        <f>'Données projet'!D194</f>
        <v>0</v>
      </c>
      <c r="C211" s="204"/>
      <c r="D211" s="189">
        <f t="shared" si="12"/>
        <v>0</v>
      </c>
      <c r="E211" s="204"/>
      <c r="F211" s="261"/>
      <c r="G211" s="220"/>
      <c r="H211" s="201"/>
      <c r="I211" s="202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0">
        <f>'Données projet'!A195</f>
        <v>0</v>
      </c>
      <c r="B212" s="191">
        <f>'Données projet'!D195</f>
        <v>0</v>
      </c>
      <c r="C212" s="204"/>
      <c r="D212" s="189">
        <f t="shared" si="12"/>
        <v>0</v>
      </c>
      <c r="E212" s="204"/>
      <c r="F212" s="261"/>
      <c r="G212" s="220"/>
      <c r="H212" s="201"/>
      <c r="I212" s="202"/>
      <c r="J212" s="5"/>
      <c r="K212" s="181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0">
        <f>'Données projet'!A196</f>
        <v>0</v>
      </c>
      <c r="B213" s="191">
        <f>'Données projet'!D196</f>
        <v>0</v>
      </c>
      <c r="C213" s="204"/>
      <c r="D213" s="189">
        <f t="shared" si="12"/>
        <v>0</v>
      </c>
      <c r="E213" s="204"/>
      <c r="F213" s="261"/>
      <c r="G213" s="220"/>
      <c r="H213" s="201"/>
      <c r="I213" s="202"/>
      <c r="J213" s="5"/>
      <c r="K213" s="181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0">
        <f>'Données projet'!A197</f>
        <v>0</v>
      </c>
      <c r="B214" s="191">
        <f>'Données projet'!D197</f>
        <v>0</v>
      </c>
      <c r="C214" s="204"/>
      <c r="D214" s="189">
        <f t="shared" si="12"/>
        <v>0</v>
      </c>
      <c r="E214" s="204"/>
      <c r="F214" s="261"/>
      <c r="G214" s="220"/>
      <c r="H214" s="201"/>
      <c r="I214" s="202"/>
      <c r="J214" s="5"/>
      <c r="K214" s="181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0">
        <f>'Données projet'!A198</f>
        <v>0</v>
      </c>
      <c r="B215" s="191">
        <f>'Données projet'!D198</f>
        <v>0</v>
      </c>
      <c r="C215" s="204"/>
      <c r="D215" s="189">
        <f t="shared" si="12"/>
        <v>0</v>
      </c>
      <c r="E215" s="204"/>
      <c r="F215" s="261"/>
      <c r="G215" s="221"/>
      <c r="H215" s="201"/>
      <c r="I215" s="202"/>
      <c r="J215" s="5"/>
      <c r="K215" s="181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0">
        <f>'Données projet'!A199</f>
        <v>0</v>
      </c>
      <c r="B216" s="191">
        <f>'Données projet'!D199</f>
        <v>0</v>
      </c>
      <c r="C216" s="204"/>
      <c r="D216" s="189">
        <f t="shared" si="12"/>
        <v>0</v>
      </c>
      <c r="E216" s="204"/>
      <c r="F216" s="261"/>
      <c r="G216" s="221"/>
      <c r="H216" s="201"/>
      <c r="I216" s="202"/>
      <c r="J216" s="5"/>
      <c r="K216" s="181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0">
        <f>'Données projet'!A200</f>
        <v>0</v>
      </c>
      <c r="B217" s="191">
        <f>'Données projet'!D200</f>
        <v>0</v>
      </c>
      <c r="C217" s="204"/>
      <c r="D217" s="189">
        <f t="shared" si="12"/>
        <v>0</v>
      </c>
      <c r="E217" s="204"/>
      <c r="F217" s="261"/>
      <c r="G217" s="221"/>
      <c r="H217" s="201"/>
      <c r="I217" s="202"/>
      <c r="J217" s="5"/>
      <c r="K217" s="181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0">
        <f>'Données projet'!A201</f>
        <v>0</v>
      </c>
      <c r="B218" s="191">
        <f>'Données projet'!D201</f>
        <v>0</v>
      </c>
      <c r="C218" s="204"/>
      <c r="D218" s="189">
        <f t="shared" si="12"/>
        <v>0</v>
      </c>
      <c r="E218" s="204"/>
      <c r="F218" s="261"/>
      <c r="G218" s="221"/>
      <c r="H218" s="201"/>
      <c r="I218" s="202"/>
      <c r="J218" s="5"/>
      <c r="K218" s="181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0">
        <f>'Données projet'!A202</f>
        <v>0</v>
      </c>
      <c r="B219" s="191">
        <f>'Données projet'!D202</f>
        <v>0</v>
      </c>
      <c r="C219" s="204"/>
      <c r="D219" s="189">
        <f t="shared" si="12"/>
        <v>0</v>
      </c>
      <c r="E219" s="204"/>
      <c r="F219" s="261"/>
      <c r="G219" s="221"/>
      <c r="H219" s="201"/>
      <c r="I219" s="202"/>
      <c r="J219" s="5"/>
      <c r="K219" s="181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0">
        <f>'Données projet'!A203</f>
        <v>0</v>
      </c>
      <c r="B220" s="191">
        <f>'Données projet'!D203</f>
        <v>0</v>
      </c>
      <c r="C220" s="204"/>
      <c r="D220" s="189">
        <f t="shared" si="12"/>
        <v>0</v>
      </c>
      <c r="E220" s="204"/>
      <c r="F220" s="261"/>
      <c r="G220" s="221"/>
      <c r="H220" s="5"/>
      <c r="I220" s="5"/>
      <c r="J220" s="5"/>
      <c r="K220" s="181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0">
        <f>'Données projet'!A204</f>
        <v>0</v>
      </c>
      <c r="B221" s="191">
        <f>'Données projet'!D204</f>
        <v>0</v>
      </c>
      <c r="C221" s="204"/>
      <c r="D221" s="189">
        <f t="shared" si="12"/>
        <v>0</v>
      </c>
      <c r="E221" s="204"/>
      <c r="F221" s="261"/>
      <c r="G221" s="221"/>
      <c r="H221" s="5"/>
      <c r="I221" s="5"/>
      <c r="J221" s="5"/>
      <c r="K221" s="181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0">
        <f>'Données projet'!A205</f>
        <v>0</v>
      </c>
      <c r="B222" s="191">
        <f>'Données projet'!D205</f>
        <v>0</v>
      </c>
      <c r="C222" s="204"/>
      <c r="D222" s="189">
        <f t="shared" si="12"/>
        <v>0</v>
      </c>
      <c r="E222" s="204"/>
      <c r="F222" s="261"/>
      <c r="G222" s="221"/>
      <c r="H222" s="5"/>
      <c r="I222" s="5"/>
      <c r="J222" s="5"/>
      <c r="K222" s="181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0">
        <f>'Données projet'!A206</f>
        <v>0</v>
      </c>
      <c r="B223" s="191">
        <f>'Données projet'!D206</f>
        <v>0</v>
      </c>
      <c r="C223" s="204"/>
      <c r="D223" s="189">
        <f t="shared" si="12"/>
        <v>0</v>
      </c>
      <c r="E223" s="204"/>
      <c r="F223" s="261"/>
      <c r="G223" s="221"/>
      <c r="H223" s="5"/>
      <c r="I223" s="5"/>
      <c r="J223" s="5"/>
      <c r="K223" s="181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0">
        <f>'Données projet'!A207</f>
        <v>0</v>
      </c>
      <c r="B224" s="191">
        <f>'Données projet'!D207</f>
        <v>0</v>
      </c>
      <c r="C224" s="204"/>
      <c r="D224" s="189">
        <f t="shared" si="12"/>
        <v>0</v>
      </c>
      <c r="E224" s="204"/>
      <c r="F224" s="261"/>
      <c r="G224" s="221"/>
      <c r="H224" s="5"/>
      <c r="I224" s="5"/>
      <c r="J224" s="5"/>
      <c r="K224" s="181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0">
        <f>'Données projet'!A208</f>
        <v>0</v>
      </c>
      <c r="B225" s="191">
        <f>'Données projet'!D208</f>
        <v>0</v>
      </c>
      <c r="C225" s="204"/>
      <c r="D225" s="189">
        <f t="shared" si="12"/>
        <v>0</v>
      </c>
      <c r="E225" s="204"/>
      <c r="F225" s="261"/>
      <c r="G225" s="221"/>
      <c r="H225" s="5"/>
      <c r="I225" s="5"/>
      <c r="J225" s="5"/>
      <c r="K225" s="181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0">
        <f>'Données projet'!A209</f>
        <v>0</v>
      </c>
      <c r="B226" s="191">
        <f>'Données projet'!D209</f>
        <v>0</v>
      </c>
      <c r="C226" s="204"/>
      <c r="D226" s="189">
        <f t="shared" si="12"/>
        <v>0</v>
      </c>
      <c r="E226" s="204"/>
      <c r="F226" s="261"/>
      <c r="G226" s="221"/>
      <c r="H226" s="5"/>
      <c r="I226" s="5"/>
      <c r="J226" s="5"/>
      <c r="K226" s="181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0">
        <f>'Données projet'!A210</f>
        <v>0</v>
      </c>
      <c r="B227" s="191">
        <f>'Données projet'!D210</f>
        <v>0</v>
      </c>
      <c r="C227" s="204"/>
      <c r="D227" s="189">
        <f t="shared" si="12"/>
        <v>0</v>
      </c>
      <c r="E227" s="204"/>
      <c r="F227" s="261"/>
      <c r="G227" s="221"/>
      <c r="H227" s="5"/>
      <c r="I227" s="5"/>
      <c r="J227" s="5"/>
      <c r="K227" s="181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0">
        <f>'Données projet'!A211</f>
        <v>0</v>
      </c>
      <c r="B228" s="191">
        <f>'Données projet'!D211</f>
        <v>0</v>
      </c>
      <c r="C228" s="204"/>
      <c r="D228" s="189">
        <f t="shared" si="12"/>
        <v>0</v>
      </c>
      <c r="E228" s="204"/>
      <c r="F228" s="261"/>
      <c r="G228" s="221"/>
      <c r="H228" s="5"/>
      <c r="I228" s="5"/>
      <c r="J228" s="5"/>
      <c r="K228" s="181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59"/>
      <c r="G229" s="221"/>
      <c r="H229" s="5"/>
      <c r="I229" s="5"/>
      <c r="J229" s="5"/>
      <c r="K229" s="181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59"/>
      <c r="G230" s="221"/>
      <c r="H230" s="5"/>
      <c r="I230" s="5"/>
      <c r="J230" s="5"/>
      <c r="K230" s="181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4" t="str">
        <f>IF('Données projet'!$B$16="","",'Données projet'!$B$16)</f>
        <v/>
      </c>
      <c r="C231" s="5"/>
      <c r="D231" s="5"/>
      <c r="E231" s="5"/>
      <c r="F231" s="259"/>
      <c r="G231" s="221"/>
      <c r="H231" s="5"/>
      <c r="I231" s="5"/>
      <c r="J231" s="5"/>
      <c r="K231" s="181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59"/>
      <c r="G232" s="221"/>
      <c r="H232" s="5"/>
      <c r="I232" s="5"/>
      <c r="J232" s="5"/>
      <c r="K232" s="181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5" t="s">
        <v>180</v>
      </c>
      <c r="B233" s="51" t="s">
        <v>256</v>
      </c>
      <c r="C233" s="51" t="s">
        <v>255</v>
      </c>
      <c r="D233" s="255" t="s">
        <v>252</v>
      </c>
      <c r="E233" s="255" t="s">
        <v>320</v>
      </c>
      <c r="F233" s="260"/>
      <c r="G233" s="221"/>
      <c r="H233" s="5"/>
      <c r="I233" s="5"/>
      <c r="J233" s="5"/>
      <c r="K233" s="181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08">
        <v>0</v>
      </c>
      <c r="B234" s="211" t="s">
        <v>132</v>
      </c>
      <c r="C234" s="210" t="s">
        <v>132</v>
      </c>
      <c r="D234" s="209" t="s">
        <v>132</v>
      </c>
      <c r="E234" s="204"/>
      <c r="F234" s="260"/>
      <c r="G234" s="221"/>
      <c r="H234" s="5"/>
      <c r="I234" s="5"/>
      <c r="J234" s="5"/>
      <c r="K234" s="181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08">
        <v>1</v>
      </c>
      <c r="B235" s="211" t="s">
        <v>132</v>
      </c>
      <c r="C235" s="210" t="s">
        <v>132</v>
      </c>
      <c r="D235" s="209" t="s">
        <v>132</v>
      </c>
      <c r="E235" s="204"/>
      <c r="F235" s="260"/>
      <c r="G235" s="219"/>
      <c r="H235" s="5"/>
      <c r="I235" s="5"/>
      <c r="J235" s="5"/>
      <c r="K235" s="181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08">
        <v>2</v>
      </c>
      <c r="B236" s="211" t="s">
        <v>132</v>
      </c>
      <c r="C236" s="210" t="s">
        <v>132</v>
      </c>
      <c r="D236" s="209" t="s">
        <v>132</v>
      </c>
      <c r="E236" s="204"/>
      <c r="F236" s="260"/>
      <c r="G236" s="219"/>
      <c r="H236" s="5"/>
      <c r="I236" s="5"/>
      <c r="J236" s="5"/>
      <c r="K236" s="181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08">
        <v>3</v>
      </c>
      <c r="B237" s="211" t="s">
        <v>132</v>
      </c>
      <c r="C237" s="210" t="s">
        <v>132</v>
      </c>
      <c r="D237" s="209" t="s">
        <v>132</v>
      </c>
      <c r="E237" s="204"/>
      <c r="F237" s="260"/>
      <c r="G237" s="219"/>
      <c r="H237" s="5"/>
      <c r="I237" s="5"/>
      <c r="J237" s="5"/>
      <c r="K237" s="181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08">
        <v>4</v>
      </c>
      <c r="B238" s="211" t="s">
        <v>132</v>
      </c>
      <c r="C238" s="210" t="s">
        <v>132</v>
      </c>
      <c r="D238" s="209" t="s">
        <v>132</v>
      </c>
      <c r="E238" s="204"/>
      <c r="F238" s="260"/>
      <c r="G238" s="219"/>
      <c r="H238" s="5"/>
      <c r="I238" s="5"/>
      <c r="J238" s="5"/>
      <c r="K238" s="181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08">
        <v>5</v>
      </c>
      <c r="B239" s="211" t="s">
        <v>132</v>
      </c>
      <c r="C239" s="210" t="s">
        <v>132</v>
      </c>
      <c r="D239" s="209" t="s">
        <v>132</v>
      </c>
      <c r="E239" s="204"/>
      <c r="F239" s="260"/>
      <c r="G239" s="220"/>
      <c r="H239" s="5"/>
      <c r="I239" s="5"/>
      <c r="J239" s="5"/>
      <c r="K239" s="181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0">
        <f>'Données projet'!A218</f>
        <v>0</v>
      </c>
      <c r="B240" s="191">
        <f>'Données projet'!D218</f>
        <v>0</v>
      </c>
      <c r="C240" s="204"/>
      <c r="D240" s="189">
        <f>B240*C240</f>
        <v>0</v>
      </c>
      <c r="E240" s="204"/>
      <c r="F240" s="261"/>
      <c r="G240" s="220"/>
      <c r="H240" s="5"/>
      <c r="I240" s="5"/>
      <c r="J240" s="5"/>
      <c r="K240" s="181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0">
        <f>'Données projet'!A219</f>
        <v>0</v>
      </c>
      <c r="B241" s="191">
        <f>'Données projet'!D219</f>
        <v>0</v>
      </c>
      <c r="C241" s="204"/>
      <c r="D241" s="189">
        <f t="shared" ref="D241:D259" si="13">B241*C241</f>
        <v>0</v>
      </c>
      <c r="E241" s="204"/>
      <c r="F241" s="261"/>
      <c r="G241" s="220"/>
      <c r="H241" s="5"/>
      <c r="I241" s="5"/>
      <c r="J241" s="5"/>
      <c r="K241" s="181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0">
        <f>'Données projet'!A220</f>
        <v>0</v>
      </c>
      <c r="B242" s="191">
        <f>'Données projet'!D220</f>
        <v>0</v>
      </c>
      <c r="C242" s="204"/>
      <c r="D242" s="189">
        <f t="shared" si="13"/>
        <v>0</v>
      </c>
      <c r="E242" s="204"/>
      <c r="F242" s="261"/>
      <c r="G242" s="220"/>
      <c r="H242" s="5"/>
      <c r="I242" s="5"/>
      <c r="J242" s="5"/>
      <c r="K242" s="181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0">
        <f>'Données projet'!A221</f>
        <v>0</v>
      </c>
      <c r="B243" s="191">
        <f>'Données projet'!D221</f>
        <v>0</v>
      </c>
      <c r="C243" s="204"/>
      <c r="D243" s="189">
        <f t="shared" si="13"/>
        <v>0</v>
      </c>
      <c r="E243" s="204"/>
      <c r="F243" s="261"/>
      <c r="G243" s="220"/>
      <c r="H243" s="5"/>
      <c r="I243" s="5"/>
      <c r="J243" s="5"/>
      <c r="K243" s="181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0">
        <f>'Données projet'!A222</f>
        <v>0</v>
      </c>
      <c r="B244" s="191">
        <f>'Données projet'!D222</f>
        <v>0</v>
      </c>
      <c r="C244" s="204"/>
      <c r="D244" s="189">
        <f t="shared" si="13"/>
        <v>0</v>
      </c>
      <c r="E244" s="204"/>
      <c r="F244" s="261"/>
      <c r="G244" s="220"/>
      <c r="H244" s="5"/>
      <c r="I244" s="5"/>
      <c r="J244" s="5"/>
      <c r="K244" s="181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0">
        <f>'Données projet'!A223</f>
        <v>0</v>
      </c>
      <c r="B245" s="191">
        <f>'Données projet'!D223</f>
        <v>0</v>
      </c>
      <c r="C245" s="204"/>
      <c r="D245" s="189">
        <f t="shared" si="13"/>
        <v>0</v>
      </c>
      <c r="E245" s="204"/>
      <c r="F245" s="261"/>
      <c r="G245" s="220"/>
      <c r="H245" s="5"/>
      <c r="I245" s="5"/>
      <c r="J245" s="5"/>
      <c r="K245" s="181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0">
        <f>'Données projet'!A224</f>
        <v>0</v>
      </c>
      <c r="B246" s="191">
        <f>'Données projet'!D224</f>
        <v>0</v>
      </c>
      <c r="C246" s="204"/>
      <c r="D246" s="189">
        <f t="shared" si="13"/>
        <v>0</v>
      </c>
      <c r="E246" s="204"/>
      <c r="F246" s="261"/>
      <c r="G246" s="221"/>
      <c r="H246" s="5"/>
      <c r="I246" s="5"/>
      <c r="J246" s="5"/>
      <c r="K246" s="181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0">
        <f>'Données projet'!A225</f>
        <v>0</v>
      </c>
      <c r="B247" s="191">
        <f>'Données projet'!D225</f>
        <v>0</v>
      </c>
      <c r="C247" s="204"/>
      <c r="D247" s="189">
        <f t="shared" si="13"/>
        <v>0</v>
      </c>
      <c r="E247" s="204"/>
      <c r="F247" s="261"/>
      <c r="G247" s="221"/>
      <c r="H247" s="5"/>
      <c r="I247" s="5"/>
      <c r="J247" s="5"/>
      <c r="K247" s="181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0">
        <f>'Données projet'!A226</f>
        <v>0</v>
      </c>
      <c r="B248" s="191">
        <f>'Données projet'!D226</f>
        <v>0</v>
      </c>
      <c r="C248" s="204"/>
      <c r="D248" s="189">
        <f t="shared" si="13"/>
        <v>0</v>
      </c>
      <c r="E248" s="204"/>
      <c r="F248" s="261"/>
      <c r="G248" s="221"/>
      <c r="H248" s="5"/>
      <c r="I248" s="5"/>
      <c r="J248" s="5"/>
      <c r="K248" s="181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0">
        <f>'Données projet'!A227</f>
        <v>0</v>
      </c>
      <c r="B249" s="191">
        <f>'Données projet'!D227</f>
        <v>0</v>
      </c>
      <c r="C249" s="204"/>
      <c r="D249" s="189">
        <f t="shared" si="13"/>
        <v>0</v>
      </c>
      <c r="E249" s="204"/>
      <c r="F249" s="261"/>
      <c r="G249" s="221"/>
      <c r="H249" s="5"/>
      <c r="I249" s="5"/>
      <c r="J249" s="5"/>
      <c r="K249" s="181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0">
        <f>'Données projet'!A228</f>
        <v>0</v>
      </c>
      <c r="B250" s="191">
        <f>'Données projet'!D228</f>
        <v>0</v>
      </c>
      <c r="C250" s="204"/>
      <c r="D250" s="189">
        <f t="shared" si="13"/>
        <v>0</v>
      </c>
      <c r="E250" s="204"/>
      <c r="F250" s="261"/>
      <c r="G250" s="221"/>
      <c r="H250" s="5"/>
      <c r="I250" s="5"/>
      <c r="J250" s="5"/>
      <c r="K250" s="181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0">
        <f>'Données projet'!A229</f>
        <v>0</v>
      </c>
      <c r="B251" s="191">
        <f>'Données projet'!D229</f>
        <v>0</v>
      </c>
      <c r="C251" s="204"/>
      <c r="D251" s="189">
        <f t="shared" si="13"/>
        <v>0</v>
      </c>
      <c r="E251" s="204"/>
      <c r="F251" s="261"/>
      <c r="G251" s="221"/>
      <c r="H251" s="5"/>
      <c r="I251" s="5"/>
      <c r="J251" s="5"/>
      <c r="K251" s="181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0">
        <f>'Données projet'!A230</f>
        <v>0</v>
      </c>
      <c r="B252" s="191">
        <f>'Données projet'!D230</f>
        <v>0</v>
      </c>
      <c r="C252" s="204"/>
      <c r="D252" s="189">
        <f t="shared" si="13"/>
        <v>0</v>
      </c>
      <c r="E252" s="204"/>
      <c r="F252" s="261"/>
      <c r="G252" s="221"/>
      <c r="H252" s="5"/>
      <c r="I252" s="5"/>
      <c r="J252" s="5"/>
      <c r="K252" s="181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0">
        <f>'Données projet'!A231</f>
        <v>0</v>
      </c>
      <c r="B253" s="191">
        <f>'Données projet'!D231</f>
        <v>0</v>
      </c>
      <c r="C253" s="204"/>
      <c r="D253" s="189">
        <f t="shared" si="13"/>
        <v>0</v>
      </c>
      <c r="E253" s="204"/>
      <c r="F253" s="261"/>
      <c r="G253" s="221"/>
      <c r="H253" s="5"/>
      <c r="I253" s="5"/>
      <c r="J253" s="5"/>
      <c r="K253" s="181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0">
        <f>'Données projet'!A232</f>
        <v>0</v>
      </c>
      <c r="B254" s="191">
        <f>'Données projet'!D232</f>
        <v>0</v>
      </c>
      <c r="C254" s="204"/>
      <c r="D254" s="189">
        <f t="shared" si="13"/>
        <v>0</v>
      </c>
      <c r="E254" s="204"/>
      <c r="F254" s="261"/>
      <c r="G254" s="221"/>
      <c r="H254" s="5"/>
      <c r="I254" s="5"/>
      <c r="J254" s="5"/>
      <c r="K254" s="181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0">
        <f>'Données projet'!A233</f>
        <v>0</v>
      </c>
      <c r="B255" s="191">
        <f>'Données projet'!D233</f>
        <v>0</v>
      </c>
      <c r="C255" s="204"/>
      <c r="D255" s="189">
        <f t="shared" si="13"/>
        <v>0</v>
      </c>
      <c r="E255" s="204"/>
      <c r="F255" s="261"/>
      <c r="G255" s="221"/>
      <c r="H255" s="5"/>
      <c r="I255" s="5"/>
      <c r="J255" s="5"/>
      <c r="K255" s="181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0">
        <f>'Données projet'!A234</f>
        <v>0</v>
      </c>
      <c r="B256" s="191">
        <f>'Données projet'!D234</f>
        <v>0</v>
      </c>
      <c r="C256" s="204"/>
      <c r="D256" s="189">
        <f t="shared" si="13"/>
        <v>0</v>
      </c>
      <c r="E256" s="204"/>
      <c r="F256" s="261"/>
      <c r="G256" s="221"/>
      <c r="H256" s="5"/>
      <c r="I256" s="5"/>
      <c r="J256" s="5"/>
      <c r="K256" s="181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0">
        <f>'Données projet'!A235</f>
        <v>0</v>
      </c>
      <c r="B257" s="191">
        <f>'Données projet'!D235</f>
        <v>0</v>
      </c>
      <c r="C257" s="204"/>
      <c r="D257" s="189">
        <f t="shared" si="13"/>
        <v>0</v>
      </c>
      <c r="E257" s="204"/>
      <c r="F257" s="261"/>
      <c r="G257" s="221"/>
      <c r="H257" s="5"/>
      <c r="I257" s="5"/>
      <c r="J257" s="5"/>
      <c r="K257" s="181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0">
        <f>'Données projet'!A236</f>
        <v>0</v>
      </c>
      <c r="B258" s="191">
        <f>'Données projet'!D236</f>
        <v>0</v>
      </c>
      <c r="C258" s="204"/>
      <c r="D258" s="189">
        <f t="shared" si="13"/>
        <v>0</v>
      </c>
      <c r="E258" s="204"/>
      <c r="F258" s="261"/>
      <c r="G258" s="221"/>
      <c r="H258" s="5"/>
      <c r="I258" s="5"/>
      <c r="J258" s="5"/>
      <c r="K258" s="181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0">
        <f>'Données projet'!A237</f>
        <v>0</v>
      </c>
      <c r="B259" s="191">
        <f>'Données projet'!D237</f>
        <v>0</v>
      </c>
      <c r="C259" s="204"/>
      <c r="D259" s="189">
        <f t="shared" si="13"/>
        <v>0</v>
      </c>
      <c r="E259" s="204"/>
      <c r="F259" s="261"/>
      <c r="G259" s="221"/>
      <c r="H259" s="5"/>
      <c r="I259" s="5"/>
      <c r="J259" s="5"/>
      <c r="K259" s="181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59"/>
      <c r="G260" s="221"/>
      <c r="H260" s="5"/>
      <c r="I260" s="5"/>
      <c r="J260" s="5"/>
      <c r="K260" s="18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59"/>
      <c r="G261" s="221"/>
      <c r="H261" s="5"/>
      <c r="I261" s="5"/>
      <c r="J261" s="5"/>
      <c r="K261" s="18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4" t="str">
        <f>IF('Données projet'!$B$17="","",'Données projet'!$B$17)</f>
        <v/>
      </c>
      <c r="C262" s="5"/>
      <c r="D262" s="5"/>
      <c r="E262" s="5"/>
      <c r="F262" s="259"/>
      <c r="G262" s="221"/>
      <c r="H262" s="5"/>
      <c r="I262" s="5"/>
      <c r="J262" s="5"/>
      <c r="K262" s="18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59"/>
      <c r="G263" s="221"/>
      <c r="H263" s="5"/>
      <c r="I263" s="5"/>
      <c r="J263" s="5"/>
      <c r="K263" s="18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5" t="s">
        <v>180</v>
      </c>
      <c r="B264" s="51" t="s">
        <v>256</v>
      </c>
      <c r="C264" s="51" t="s">
        <v>255</v>
      </c>
      <c r="D264" s="255" t="s">
        <v>252</v>
      </c>
      <c r="E264" s="255" t="s">
        <v>320</v>
      </c>
      <c r="F264" s="260"/>
      <c r="G264" s="221"/>
      <c r="H264" s="5"/>
      <c r="I264" s="5"/>
      <c r="J264" s="5"/>
      <c r="K264" s="18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08">
        <v>0</v>
      </c>
      <c r="B265" s="211" t="s">
        <v>132</v>
      </c>
      <c r="C265" s="210" t="s">
        <v>132</v>
      </c>
      <c r="D265" s="209" t="s">
        <v>132</v>
      </c>
      <c r="E265" s="204"/>
      <c r="F265" s="260"/>
      <c r="G265" s="221"/>
      <c r="H265" s="5"/>
      <c r="I265" s="5"/>
      <c r="J265" s="5"/>
      <c r="K265" s="18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08">
        <v>1</v>
      </c>
      <c r="B266" s="211" t="s">
        <v>132</v>
      </c>
      <c r="C266" s="210" t="s">
        <v>132</v>
      </c>
      <c r="D266" s="209" t="s">
        <v>132</v>
      </c>
      <c r="E266" s="204"/>
      <c r="F266" s="260"/>
      <c r="G266" s="219"/>
      <c r="H266" s="5"/>
      <c r="I266" s="5"/>
      <c r="J266" s="5"/>
      <c r="K266" s="181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08">
        <v>2</v>
      </c>
      <c r="B267" s="211" t="s">
        <v>132</v>
      </c>
      <c r="C267" s="210" t="s">
        <v>132</v>
      </c>
      <c r="D267" s="209" t="s">
        <v>132</v>
      </c>
      <c r="E267" s="204"/>
      <c r="F267" s="260"/>
      <c r="G267" s="219"/>
      <c r="H267" s="5"/>
      <c r="I267" s="5"/>
      <c r="J267" s="5"/>
      <c r="K267" s="18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08">
        <v>3</v>
      </c>
      <c r="B268" s="211" t="s">
        <v>132</v>
      </c>
      <c r="C268" s="210" t="s">
        <v>132</v>
      </c>
      <c r="D268" s="209" t="s">
        <v>132</v>
      </c>
      <c r="E268" s="204"/>
      <c r="F268" s="260"/>
      <c r="G268" s="219"/>
      <c r="H268" s="5"/>
      <c r="I268" s="5"/>
      <c r="J268" s="5"/>
      <c r="K268" s="18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08">
        <v>4</v>
      </c>
      <c r="B269" s="211" t="s">
        <v>132</v>
      </c>
      <c r="C269" s="210" t="s">
        <v>132</v>
      </c>
      <c r="D269" s="209" t="s">
        <v>132</v>
      </c>
      <c r="E269" s="204"/>
      <c r="F269" s="260"/>
      <c r="G269" s="219"/>
      <c r="H269" s="5"/>
      <c r="I269" s="5"/>
      <c r="J269" s="5"/>
      <c r="K269" s="18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08">
        <v>5</v>
      </c>
      <c r="B270" s="211" t="s">
        <v>132</v>
      </c>
      <c r="C270" s="210" t="s">
        <v>132</v>
      </c>
      <c r="D270" s="209" t="s">
        <v>132</v>
      </c>
      <c r="E270" s="204"/>
      <c r="F270" s="260"/>
      <c r="G270" s="220"/>
      <c r="H270" s="5"/>
      <c r="I270" s="5"/>
      <c r="J270" s="5"/>
      <c r="K270" s="18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0">
        <f>'Données projet'!A244</f>
        <v>0</v>
      </c>
      <c r="B271" s="191">
        <f>'Données projet'!D244</f>
        <v>0</v>
      </c>
      <c r="C271" s="204"/>
      <c r="D271" s="189">
        <f>B271*C271</f>
        <v>0</v>
      </c>
      <c r="E271" s="204"/>
      <c r="F271" s="261"/>
      <c r="G271" s="220"/>
      <c r="H271" s="5"/>
      <c r="I271" s="5"/>
      <c r="J271" s="5"/>
      <c r="K271" s="18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0">
        <f>'Données projet'!A245</f>
        <v>0</v>
      </c>
      <c r="B272" s="191">
        <f>'Données projet'!D245</f>
        <v>0</v>
      </c>
      <c r="C272" s="204"/>
      <c r="D272" s="189">
        <f t="shared" ref="D272:D290" si="14">B272*C272</f>
        <v>0</v>
      </c>
      <c r="E272" s="204"/>
      <c r="F272" s="261"/>
      <c r="G272" s="220"/>
      <c r="H272" s="5"/>
      <c r="I272" s="5"/>
      <c r="J272" s="5"/>
      <c r="K272" s="18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0">
        <f>'Données projet'!A246</f>
        <v>0</v>
      </c>
      <c r="B273" s="191">
        <f>'Données projet'!D246</f>
        <v>0</v>
      </c>
      <c r="C273" s="204"/>
      <c r="D273" s="189">
        <f t="shared" si="14"/>
        <v>0</v>
      </c>
      <c r="E273" s="204"/>
      <c r="F273" s="261"/>
      <c r="G273" s="220"/>
      <c r="H273" s="5"/>
      <c r="I273" s="5"/>
      <c r="J273" s="5"/>
      <c r="K273" s="18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0">
        <f>'Données projet'!A247</f>
        <v>0</v>
      </c>
      <c r="B274" s="191">
        <f>'Données projet'!D247</f>
        <v>0</v>
      </c>
      <c r="C274" s="204"/>
      <c r="D274" s="189">
        <f t="shared" si="14"/>
        <v>0</v>
      </c>
      <c r="E274" s="204"/>
      <c r="F274" s="261"/>
      <c r="G274" s="220"/>
      <c r="H274" s="5"/>
      <c r="I274" s="5"/>
      <c r="J274" s="5"/>
      <c r="K274" s="18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0">
        <f>'Données projet'!A248</f>
        <v>0</v>
      </c>
      <c r="B275" s="191">
        <f>'Données projet'!D248</f>
        <v>0</v>
      </c>
      <c r="C275" s="204"/>
      <c r="D275" s="189">
        <f t="shared" si="14"/>
        <v>0</v>
      </c>
      <c r="E275" s="204"/>
      <c r="F275" s="261"/>
      <c r="G275" s="220"/>
      <c r="H275" s="5"/>
      <c r="I275" s="5"/>
      <c r="J275" s="5"/>
      <c r="K275" s="18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0">
        <f>'Données projet'!A249</f>
        <v>0</v>
      </c>
      <c r="B276" s="191">
        <f>'Données projet'!D249</f>
        <v>0</v>
      </c>
      <c r="C276" s="204"/>
      <c r="D276" s="189">
        <f t="shared" si="14"/>
        <v>0</v>
      </c>
      <c r="E276" s="204"/>
      <c r="F276" s="261"/>
      <c r="G276" s="220"/>
      <c r="H276" s="5"/>
      <c r="I276" s="5"/>
      <c r="J276" s="5"/>
      <c r="K276" s="18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0">
        <f>'Données projet'!A250</f>
        <v>0</v>
      </c>
      <c r="B277" s="191">
        <f>'Données projet'!D250</f>
        <v>0</v>
      </c>
      <c r="C277" s="204"/>
      <c r="D277" s="189">
        <f t="shared" si="14"/>
        <v>0</v>
      </c>
      <c r="E277" s="204"/>
      <c r="F277" s="261"/>
      <c r="G277" s="221"/>
      <c r="H277" s="5"/>
      <c r="I277" s="5"/>
      <c r="J277" s="5"/>
      <c r="K277" s="18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0">
        <f>'Données projet'!A251</f>
        <v>0</v>
      </c>
      <c r="B278" s="191">
        <f>'Données projet'!D251</f>
        <v>0</v>
      </c>
      <c r="C278" s="204"/>
      <c r="D278" s="189">
        <f t="shared" si="14"/>
        <v>0</v>
      </c>
      <c r="E278" s="204"/>
      <c r="F278" s="261"/>
      <c r="G278" s="221"/>
      <c r="H278" s="5"/>
      <c r="I278" s="5"/>
      <c r="J278" s="5"/>
      <c r="K278" s="181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0">
        <f>'Données projet'!A252</f>
        <v>0</v>
      </c>
      <c r="B279" s="191">
        <f>'Données projet'!D252</f>
        <v>0</v>
      </c>
      <c r="C279" s="204"/>
      <c r="D279" s="189">
        <f t="shared" si="14"/>
        <v>0</v>
      </c>
      <c r="E279" s="204"/>
      <c r="F279" s="261"/>
      <c r="G279" s="221"/>
      <c r="H279" s="5"/>
      <c r="I279" s="5"/>
      <c r="J279" s="5"/>
      <c r="K279" s="181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0">
        <f>'Données projet'!A253</f>
        <v>0</v>
      </c>
      <c r="B280" s="191">
        <f>'Données projet'!D253</f>
        <v>0</v>
      </c>
      <c r="C280" s="204"/>
      <c r="D280" s="189">
        <f t="shared" si="14"/>
        <v>0</v>
      </c>
      <c r="E280" s="204"/>
      <c r="F280" s="261"/>
      <c r="G280" s="221"/>
      <c r="H280" s="5"/>
      <c r="I280" s="5"/>
      <c r="J280" s="5"/>
      <c r="K280" s="181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0">
        <f>'Données projet'!A254</f>
        <v>0</v>
      </c>
      <c r="B281" s="191">
        <f>'Données projet'!D254</f>
        <v>0</v>
      </c>
      <c r="C281" s="204"/>
      <c r="D281" s="189">
        <f t="shared" si="14"/>
        <v>0</v>
      </c>
      <c r="E281" s="204"/>
      <c r="F281" s="261"/>
      <c r="G281" s="221"/>
      <c r="H281" s="5"/>
      <c r="I281" s="5"/>
      <c r="J281" s="5"/>
      <c r="K281" s="181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0">
        <f>'Données projet'!A255</f>
        <v>0</v>
      </c>
      <c r="B282" s="191">
        <f>'Données projet'!D255</f>
        <v>0</v>
      </c>
      <c r="C282" s="204"/>
      <c r="D282" s="189">
        <f t="shared" si="14"/>
        <v>0</v>
      </c>
      <c r="E282" s="204"/>
      <c r="F282" s="261"/>
      <c r="G282" s="221"/>
      <c r="H282" s="5"/>
      <c r="I282" s="5"/>
      <c r="J282" s="5"/>
      <c r="K282" s="181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0">
        <f>'Données projet'!A256</f>
        <v>0</v>
      </c>
      <c r="B283" s="191">
        <f>'Données projet'!D256</f>
        <v>0</v>
      </c>
      <c r="C283" s="204"/>
      <c r="D283" s="189">
        <f t="shared" si="14"/>
        <v>0</v>
      </c>
      <c r="E283" s="204"/>
      <c r="F283" s="261"/>
      <c r="G283" s="221"/>
      <c r="H283" s="5"/>
      <c r="I283" s="5"/>
      <c r="J283" s="5"/>
      <c r="K283" s="181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0">
        <f>'Données projet'!A257</f>
        <v>0</v>
      </c>
      <c r="B284" s="191">
        <f>'Données projet'!D257</f>
        <v>0</v>
      </c>
      <c r="C284" s="204"/>
      <c r="D284" s="189">
        <f t="shared" si="14"/>
        <v>0</v>
      </c>
      <c r="E284" s="204"/>
      <c r="F284" s="261"/>
      <c r="G284" s="221"/>
      <c r="H284" s="5"/>
      <c r="I284" s="5"/>
      <c r="J284" s="5"/>
      <c r="K284" s="181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0">
        <f>'Données projet'!A258</f>
        <v>0</v>
      </c>
      <c r="B285" s="191">
        <f>'Données projet'!D258</f>
        <v>0</v>
      </c>
      <c r="C285" s="204"/>
      <c r="D285" s="189">
        <f t="shared" si="14"/>
        <v>0</v>
      </c>
      <c r="E285" s="204"/>
      <c r="F285" s="261"/>
      <c r="G285" s="221"/>
      <c r="H285" s="5"/>
      <c r="I285" s="5"/>
      <c r="J285" s="5"/>
      <c r="K285" s="181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0">
        <f>'Données projet'!A259</f>
        <v>0</v>
      </c>
      <c r="B286" s="191">
        <f>'Données projet'!D259</f>
        <v>0</v>
      </c>
      <c r="C286" s="204"/>
      <c r="D286" s="189">
        <f t="shared" si="14"/>
        <v>0</v>
      </c>
      <c r="E286" s="204"/>
      <c r="F286" s="261"/>
      <c r="G286" s="221"/>
      <c r="H286" s="5"/>
      <c r="I286" s="5"/>
      <c r="J286" s="5"/>
      <c r="K286" s="181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0">
        <f>'Données projet'!A260</f>
        <v>0</v>
      </c>
      <c r="B287" s="191">
        <f>'Données projet'!D260</f>
        <v>0</v>
      </c>
      <c r="C287" s="204"/>
      <c r="D287" s="189">
        <f t="shared" si="14"/>
        <v>0</v>
      </c>
      <c r="E287" s="204"/>
      <c r="F287" s="261"/>
      <c r="G287" s="221"/>
      <c r="H287" s="5"/>
      <c r="I287" s="5"/>
      <c r="J287" s="5"/>
      <c r="K287" s="181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0">
        <f>'Données projet'!A261</f>
        <v>0</v>
      </c>
      <c r="B288" s="191">
        <f>'Données projet'!D261</f>
        <v>0</v>
      </c>
      <c r="C288" s="204"/>
      <c r="D288" s="189">
        <f t="shared" si="14"/>
        <v>0</v>
      </c>
      <c r="E288" s="204"/>
      <c r="F288" s="261"/>
      <c r="G288" s="221"/>
      <c r="H288" s="5"/>
      <c r="I288" s="5"/>
      <c r="J288" s="5"/>
      <c r="K288" s="181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0">
        <f>'Données projet'!A262</f>
        <v>0</v>
      </c>
      <c r="B289" s="191">
        <f>'Données projet'!D262</f>
        <v>0</v>
      </c>
      <c r="C289" s="204"/>
      <c r="D289" s="189">
        <f t="shared" si="14"/>
        <v>0</v>
      </c>
      <c r="E289" s="204"/>
      <c r="F289" s="261"/>
      <c r="G289" s="221"/>
      <c r="H289" s="5"/>
      <c r="I289" s="5"/>
      <c r="J289" s="5"/>
      <c r="K289" s="181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0">
        <f>'Données projet'!A263</f>
        <v>0</v>
      </c>
      <c r="B290" s="191">
        <f>'Données projet'!D263</f>
        <v>0</v>
      </c>
      <c r="C290" s="204"/>
      <c r="D290" s="189">
        <f t="shared" si="14"/>
        <v>0</v>
      </c>
      <c r="E290" s="204"/>
      <c r="F290" s="261"/>
      <c r="G290" s="221"/>
      <c r="H290" s="5"/>
      <c r="I290" s="5"/>
      <c r="J290" s="5"/>
      <c r="K290" s="181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59"/>
      <c r="G291" s="221"/>
      <c r="H291" s="5"/>
      <c r="I291" s="5"/>
      <c r="J291" s="5"/>
      <c r="K291" s="181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59"/>
      <c r="G292" s="221"/>
      <c r="H292" s="5"/>
      <c r="I292" s="5"/>
      <c r="J292" s="5"/>
      <c r="K292" s="181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4" t="str">
        <f>IF('Données projet'!$B$18="","",'Données projet'!$B$18)</f>
        <v/>
      </c>
      <c r="C293" s="5"/>
      <c r="D293" s="5"/>
      <c r="E293" s="5"/>
      <c r="F293" s="259"/>
      <c r="G293" s="221"/>
      <c r="H293" s="5"/>
      <c r="I293" s="5"/>
      <c r="J293" s="5"/>
      <c r="K293" s="181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59"/>
      <c r="G294" s="221"/>
      <c r="H294" s="5"/>
      <c r="I294" s="5"/>
      <c r="J294" s="5"/>
      <c r="K294" s="181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5" t="s">
        <v>180</v>
      </c>
      <c r="B295" s="51" t="s">
        <v>256</v>
      </c>
      <c r="C295" s="51" t="s">
        <v>255</v>
      </c>
      <c r="D295" s="255" t="s">
        <v>252</v>
      </c>
      <c r="E295" s="255" t="s">
        <v>320</v>
      </c>
      <c r="F295" s="260"/>
      <c r="G295" s="221"/>
      <c r="H295" s="5"/>
      <c r="I295" s="5"/>
      <c r="J295" s="5"/>
      <c r="K295" s="181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08">
        <v>0</v>
      </c>
      <c r="B296" s="211" t="s">
        <v>132</v>
      </c>
      <c r="C296" s="210" t="s">
        <v>132</v>
      </c>
      <c r="D296" s="209" t="s">
        <v>132</v>
      </c>
      <c r="E296" s="204"/>
      <c r="F296" s="260"/>
      <c r="G296" s="221"/>
      <c r="H296" s="5"/>
      <c r="I296" s="5"/>
      <c r="J296" s="5"/>
      <c r="K296" s="181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08">
        <v>1</v>
      </c>
      <c r="B297" s="211" t="s">
        <v>132</v>
      </c>
      <c r="C297" s="210" t="s">
        <v>132</v>
      </c>
      <c r="D297" s="209" t="s">
        <v>132</v>
      </c>
      <c r="E297" s="204"/>
      <c r="F297" s="260"/>
      <c r="G297" s="219"/>
      <c r="H297" s="5"/>
      <c r="I297" s="5"/>
      <c r="J297" s="5"/>
      <c r="K297" s="181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08">
        <v>2</v>
      </c>
      <c r="B298" s="211" t="s">
        <v>132</v>
      </c>
      <c r="C298" s="210" t="s">
        <v>132</v>
      </c>
      <c r="D298" s="209" t="s">
        <v>132</v>
      </c>
      <c r="E298" s="204"/>
      <c r="F298" s="260"/>
      <c r="G298" s="219"/>
      <c r="H298" s="5"/>
      <c r="I298" s="5"/>
      <c r="J298" s="5"/>
      <c r="K298" s="181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08">
        <v>3</v>
      </c>
      <c r="B299" s="211" t="s">
        <v>132</v>
      </c>
      <c r="C299" s="210" t="s">
        <v>132</v>
      </c>
      <c r="D299" s="209" t="s">
        <v>132</v>
      </c>
      <c r="E299" s="204"/>
      <c r="F299" s="260"/>
      <c r="G299" s="219"/>
      <c r="H299" s="5"/>
      <c r="I299" s="5"/>
      <c r="J299" s="5"/>
      <c r="K299" s="181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08">
        <v>4</v>
      </c>
      <c r="B300" s="211" t="s">
        <v>132</v>
      </c>
      <c r="C300" s="210" t="s">
        <v>132</v>
      </c>
      <c r="D300" s="209" t="s">
        <v>132</v>
      </c>
      <c r="E300" s="204"/>
      <c r="F300" s="260"/>
      <c r="G300" s="219"/>
      <c r="H300" s="5"/>
      <c r="I300" s="5"/>
      <c r="J300" s="5"/>
      <c r="K300" s="181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08">
        <v>5</v>
      </c>
      <c r="B301" s="211" t="s">
        <v>132</v>
      </c>
      <c r="C301" s="210" t="s">
        <v>132</v>
      </c>
      <c r="D301" s="209" t="s">
        <v>132</v>
      </c>
      <c r="E301" s="204"/>
      <c r="F301" s="260"/>
      <c r="G301" s="220"/>
      <c r="H301" s="5"/>
      <c r="I301" s="5"/>
      <c r="J301" s="5"/>
      <c r="K301" s="181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0">
        <f>'Données projet'!A270</f>
        <v>0</v>
      </c>
      <c r="B302" s="191">
        <f>'Données projet'!D270</f>
        <v>0</v>
      </c>
      <c r="C302" s="202"/>
      <c r="D302" s="192">
        <f>B302*C302</f>
        <v>0</v>
      </c>
      <c r="E302" s="204"/>
      <c r="F302" s="262"/>
      <c r="G302" s="220"/>
      <c r="H302" s="5"/>
      <c r="I302" s="5"/>
      <c r="J302" s="5"/>
      <c r="K302" s="181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0">
        <f>'Données projet'!A271</f>
        <v>0</v>
      </c>
      <c r="B303" s="191">
        <f>'Données projet'!D271</f>
        <v>0</v>
      </c>
      <c r="C303" s="202"/>
      <c r="D303" s="192">
        <f t="shared" ref="D303:D321" si="15">B303*C303</f>
        <v>0</v>
      </c>
      <c r="E303" s="204"/>
      <c r="F303" s="262"/>
      <c r="G303" s="220"/>
      <c r="H303" s="5"/>
      <c r="I303" s="5"/>
      <c r="J303" s="5"/>
      <c r="K303" s="181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0">
        <f>'Données projet'!A272</f>
        <v>0</v>
      </c>
      <c r="B304" s="191">
        <f>'Données projet'!D272</f>
        <v>0</v>
      </c>
      <c r="C304" s="202"/>
      <c r="D304" s="192">
        <f t="shared" si="15"/>
        <v>0</v>
      </c>
      <c r="E304" s="204"/>
      <c r="F304" s="262"/>
      <c r="G304" s="220"/>
      <c r="H304" s="5"/>
      <c r="I304" s="5"/>
      <c r="J304" s="5"/>
      <c r="K304" s="181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0">
        <f>'Données projet'!A273</f>
        <v>0</v>
      </c>
      <c r="B305" s="191">
        <f>'Données projet'!D273</f>
        <v>0</v>
      </c>
      <c r="C305" s="202"/>
      <c r="D305" s="192">
        <f t="shared" si="15"/>
        <v>0</v>
      </c>
      <c r="E305" s="204"/>
      <c r="F305" s="262"/>
      <c r="G305" s="220"/>
      <c r="H305" s="5"/>
      <c r="I305" s="5"/>
      <c r="J305" s="5"/>
      <c r="K305" s="181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0">
        <f>'Données projet'!A274</f>
        <v>0</v>
      </c>
      <c r="B306" s="191">
        <f>'Données projet'!D274</f>
        <v>0</v>
      </c>
      <c r="C306" s="202"/>
      <c r="D306" s="192">
        <f t="shared" si="15"/>
        <v>0</v>
      </c>
      <c r="E306" s="204"/>
      <c r="F306" s="262"/>
      <c r="G306" s="220"/>
      <c r="H306" s="5"/>
      <c r="I306" s="5"/>
      <c r="J306" s="5"/>
      <c r="K306" s="181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0">
        <f>'Données projet'!A275</f>
        <v>0</v>
      </c>
      <c r="B307" s="191">
        <f>'Données projet'!D275</f>
        <v>0</v>
      </c>
      <c r="C307" s="202"/>
      <c r="D307" s="192">
        <f t="shared" si="15"/>
        <v>0</v>
      </c>
      <c r="E307" s="204"/>
      <c r="F307" s="262"/>
      <c r="G307" s="220"/>
      <c r="H307" s="5"/>
      <c r="I307" s="5"/>
      <c r="J307" s="5"/>
      <c r="K307" s="181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0">
        <f>'Données projet'!A276</f>
        <v>0</v>
      </c>
      <c r="B308" s="191">
        <f>'Données projet'!D276</f>
        <v>0</v>
      </c>
      <c r="C308" s="202"/>
      <c r="D308" s="192">
        <f t="shared" si="15"/>
        <v>0</v>
      </c>
      <c r="E308" s="204"/>
      <c r="F308" s="262"/>
      <c r="G308" s="216"/>
      <c r="H308" s="5"/>
      <c r="I308" s="5"/>
      <c r="J308" s="5"/>
      <c r="K308" s="181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0">
        <f>'Données projet'!A277</f>
        <v>0</v>
      </c>
      <c r="B309" s="191">
        <f>'Données projet'!D277</f>
        <v>0</v>
      </c>
      <c r="C309" s="202"/>
      <c r="D309" s="192">
        <f t="shared" si="15"/>
        <v>0</v>
      </c>
      <c r="E309" s="204"/>
      <c r="F309" s="262"/>
      <c r="G309" s="216"/>
      <c r="H309" s="5"/>
      <c r="I309" s="5"/>
      <c r="J309" s="5"/>
      <c r="K309" s="181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0">
        <f>'Données projet'!A278</f>
        <v>0</v>
      </c>
      <c r="B310" s="191">
        <f>'Données projet'!D278</f>
        <v>0</v>
      </c>
      <c r="C310" s="202"/>
      <c r="D310" s="192">
        <f t="shared" si="15"/>
        <v>0</v>
      </c>
      <c r="E310" s="204"/>
      <c r="F310" s="262"/>
      <c r="G310" s="216"/>
      <c r="H310" s="5"/>
      <c r="I310" s="5"/>
      <c r="J310" s="5"/>
      <c r="K310" s="181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0">
        <f>'Données projet'!A279</f>
        <v>0</v>
      </c>
      <c r="B311" s="191">
        <f>'Données projet'!D279</f>
        <v>0</v>
      </c>
      <c r="C311" s="202"/>
      <c r="D311" s="192">
        <f t="shared" si="15"/>
        <v>0</v>
      </c>
      <c r="E311" s="204"/>
      <c r="F311" s="262"/>
      <c r="G311" s="216"/>
      <c r="H311" s="5"/>
      <c r="I311" s="5"/>
      <c r="J311" s="5"/>
      <c r="K311" s="181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0">
        <f>'Données projet'!A280</f>
        <v>0</v>
      </c>
      <c r="B312" s="191">
        <f>'Données projet'!D280</f>
        <v>0</v>
      </c>
      <c r="C312" s="202"/>
      <c r="D312" s="192">
        <f t="shared" si="15"/>
        <v>0</v>
      </c>
      <c r="E312" s="204"/>
      <c r="F312" s="262"/>
      <c r="G312" s="216"/>
      <c r="H312" s="5"/>
      <c r="I312" s="5"/>
      <c r="J312" s="5"/>
      <c r="K312" s="181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0">
        <f>'Données projet'!A281</f>
        <v>0</v>
      </c>
      <c r="B313" s="191">
        <f>'Données projet'!D281</f>
        <v>0</v>
      </c>
      <c r="C313" s="202"/>
      <c r="D313" s="192">
        <f t="shared" si="15"/>
        <v>0</v>
      </c>
      <c r="E313" s="204"/>
      <c r="F313" s="262"/>
      <c r="G313" s="216"/>
      <c r="H313" s="5"/>
      <c r="I313" s="5"/>
      <c r="J313" s="5"/>
      <c r="K313" s="181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0">
        <f>'Données projet'!A282</f>
        <v>0</v>
      </c>
      <c r="B314" s="191">
        <f>'Données projet'!D282</f>
        <v>0</v>
      </c>
      <c r="C314" s="202"/>
      <c r="D314" s="192">
        <f t="shared" si="15"/>
        <v>0</v>
      </c>
      <c r="E314" s="204"/>
      <c r="F314" s="262"/>
      <c r="G314" s="216"/>
      <c r="H314" s="5"/>
      <c r="I314" s="5"/>
      <c r="J314" s="5"/>
      <c r="K314" s="181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0">
        <f>'Données projet'!A283</f>
        <v>0</v>
      </c>
      <c r="B315" s="191">
        <f>'Données projet'!D283</f>
        <v>0</v>
      </c>
      <c r="C315" s="202"/>
      <c r="D315" s="192">
        <f t="shared" si="15"/>
        <v>0</v>
      </c>
      <c r="E315" s="204"/>
      <c r="F315" s="262"/>
      <c r="G315" s="216"/>
      <c r="H315" s="5"/>
      <c r="I315" s="5"/>
      <c r="J315" s="5"/>
      <c r="K315" s="181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0">
        <f>'Données projet'!A284</f>
        <v>0</v>
      </c>
      <c r="B316" s="191">
        <f>'Données projet'!D284</f>
        <v>0</v>
      </c>
      <c r="C316" s="202"/>
      <c r="D316" s="192">
        <f t="shared" si="15"/>
        <v>0</v>
      </c>
      <c r="E316" s="204"/>
      <c r="F316" s="262"/>
      <c r="G316" s="216"/>
      <c r="H316" s="5"/>
      <c r="I316" s="5"/>
      <c r="J316" s="5"/>
      <c r="K316" s="181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0">
        <f>'Données projet'!A285</f>
        <v>0</v>
      </c>
      <c r="B317" s="191">
        <f>'Données projet'!D285</f>
        <v>0</v>
      </c>
      <c r="C317" s="202"/>
      <c r="D317" s="192">
        <f t="shared" si="15"/>
        <v>0</v>
      </c>
      <c r="E317" s="204"/>
      <c r="F317" s="262"/>
      <c r="G317" s="216"/>
      <c r="H317" s="5"/>
      <c r="I317" s="5"/>
      <c r="J317" s="5"/>
      <c r="K317" s="181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0">
        <f>'Données projet'!A286</f>
        <v>0</v>
      </c>
      <c r="B318" s="191">
        <f>'Données projet'!D286</f>
        <v>0</v>
      </c>
      <c r="C318" s="202"/>
      <c r="D318" s="192">
        <f t="shared" si="15"/>
        <v>0</v>
      </c>
      <c r="E318" s="204"/>
      <c r="F318" s="262"/>
      <c r="G318" s="216"/>
      <c r="H318" s="5"/>
      <c r="I318" s="5"/>
      <c r="J318" s="5"/>
      <c r="K318" s="181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0">
        <f>'Données projet'!A287</f>
        <v>0</v>
      </c>
      <c r="B319" s="191">
        <f>'Données projet'!D287</f>
        <v>0</v>
      </c>
      <c r="C319" s="202"/>
      <c r="D319" s="192">
        <f t="shared" si="15"/>
        <v>0</v>
      </c>
      <c r="E319" s="204"/>
      <c r="F319" s="262"/>
      <c r="G319" s="216"/>
      <c r="H319" s="5"/>
      <c r="I319" s="5"/>
      <c r="J319" s="5"/>
      <c r="K319" s="181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0">
        <f>'Données projet'!A288</f>
        <v>0</v>
      </c>
      <c r="B320" s="191">
        <f>'Données projet'!D288</f>
        <v>0</v>
      </c>
      <c r="C320" s="202"/>
      <c r="D320" s="192">
        <f t="shared" si="15"/>
        <v>0</v>
      </c>
      <c r="E320" s="204"/>
      <c r="F320" s="262"/>
      <c r="G320" s="216"/>
      <c r="H320" s="5"/>
      <c r="I320" s="5"/>
      <c r="J320" s="5"/>
      <c r="K320" s="181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0">
        <f>'Données projet'!A289</f>
        <v>0</v>
      </c>
      <c r="B321" s="191">
        <f>'Données projet'!D289</f>
        <v>0</v>
      </c>
      <c r="C321" s="207"/>
      <c r="D321" s="192">
        <f t="shared" si="15"/>
        <v>0</v>
      </c>
      <c r="E321" s="204"/>
      <c r="F321" s="262"/>
      <c r="G321" s="216"/>
      <c r="H321" s="5"/>
      <c r="I321" s="5"/>
      <c r="J321" s="5"/>
      <c r="K321" s="181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6"/>
      <c r="H322" s="5"/>
      <c r="I322" s="5"/>
      <c r="J322" s="5"/>
      <c r="K322" s="181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6"/>
      <c r="H323" s="5"/>
      <c r="I323" s="5"/>
      <c r="J323" s="5"/>
      <c r="K323" s="181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6"/>
      <c r="H324" s="5"/>
      <c r="I324" s="5"/>
      <c r="J324" s="5"/>
      <c r="K324" s="181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6"/>
      <c r="H325" s="5"/>
      <c r="I325" s="5"/>
      <c r="J325" s="5"/>
      <c r="K325" s="181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6"/>
      <c r="H326" s="5"/>
      <c r="I326" s="5"/>
      <c r="J326" s="5"/>
      <c r="K326" s="181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6"/>
      <c r="H327" s="5"/>
      <c r="I327" s="5"/>
      <c r="J327" s="5"/>
      <c r="K327" s="181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29"/>
      <c r="G328" s="229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29"/>
      <c r="G329" s="229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29"/>
      <c r="G330" s="229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29"/>
      <c r="G331" s="229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29"/>
      <c r="G332" s="229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29"/>
      <c r="G333" s="229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29"/>
      <c r="G334" s="229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29"/>
      <c r="G335" s="229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29"/>
      <c r="G336" s="229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29"/>
      <c r="G337" s="229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29"/>
      <c r="G338" s="229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29"/>
      <c r="G339" s="229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29"/>
      <c r="G340" s="229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29"/>
      <c r="G341" s="229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29"/>
      <c r="G342" s="229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29"/>
      <c r="G343" s="229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29"/>
      <c r="G344" s="229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29"/>
      <c r="G345" s="229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29"/>
      <c r="G346" s="229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29"/>
      <c r="G347" s="229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29"/>
      <c r="G348" s="229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29"/>
      <c r="G349" s="229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29"/>
      <c r="G350" s="229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29"/>
      <c r="G351" s="229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29"/>
      <c r="G352" s="229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29"/>
      <c r="G353" s="229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29"/>
      <c r="G354" s="229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29"/>
      <c r="G355" s="229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29"/>
      <c r="G356" s="229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29"/>
      <c r="G357" s="229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29"/>
      <c r="G358" s="229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29"/>
      <c r="G359" s="229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29"/>
      <c r="G360" s="229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29"/>
      <c r="G361" s="229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29"/>
      <c r="G362" s="229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29"/>
      <c r="G363" s="229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29"/>
      <c r="G364" s="229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29"/>
      <c r="G365" s="229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29"/>
      <c r="G366" s="229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29"/>
      <c r="G367" s="229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29"/>
      <c r="G368" s="229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29"/>
      <c r="G369" s="229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29"/>
      <c r="G370" s="69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29"/>
      <c r="G371" s="69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29"/>
      <c r="G372" s="69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29"/>
      <c r="G373" s="69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29"/>
      <c r="G374" s="69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29"/>
      <c r="G375" s="69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29"/>
      <c r="G376" s="69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29"/>
      <c r="G377" s="69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29"/>
      <c r="G378" s="69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29"/>
      <c r="G379" s="69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29"/>
      <c r="G380" s="69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29"/>
      <c r="G381" s="69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29"/>
      <c r="G382" s="69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29"/>
      <c r="G383" s="69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29"/>
      <c r="G384" s="69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29"/>
      <c r="G385" s="69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29"/>
      <c r="G386" s="69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29"/>
      <c r="G387" s="69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29"/>
      <c r="G388" s="69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29"/>
      <c r="G389" s="69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29"/>
      <c r="G390" s="69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29"/>
      <c r="G391" s="69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29"/>
      <c r="G392" s="69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29"/>
      <c r="G393" s="69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29"/>
      <c r="G394" s="69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29"/>
      <c r="G395" s="69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69"/>
      <c r="G396" s="69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69"/>
      <c r="G397" s="69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69"/>
      <c r="G398" s="69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69"/>
      <c r="G399" s="69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69"/>
      <c r="G400" s="69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69"/>
      <c r="G401" s="69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69"/>
      <c r="G402" s="69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69"/>
      <c r="G403" s="69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69"/>
      <c r="G404" s="69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69"/>
      <c r="G405" s="69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69"/>
      <c r="G406" s="69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69"/>
      <c r="G407" s="69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69"/>
      <c r="G408" s="69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69"/>
      <c r="G409" s="69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69"/>
      <c r="G410" s="69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69"/>
      <c r="G411" s="69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69"/>
      <c r="G412" s="69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69"/>
      <c r="G413" s="69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69"/>
      <c r="G414" s="69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69"/>
      <c r="G415" s="69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69"/>
      <c r="G416" s="69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69"/>
      <c r="G417" s="69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69"/>
      <c r="G418" s="69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69"/>
      <c r="G419" s="69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69"/>
      <c r="G420" s="69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69"/>
      <c r="G421" s="69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69"/>
      <c r="G422" s="69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69"/>
      <c r="G423" s="69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69"/>
      <c r="G424" s="69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69"/>
      <c r="G425" s="69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69"/>
      <c r="G426" s="69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69"/>
      <c r="G427" s="69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69"/>
      <c r="G428" s="69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69"/>
      <c r="G429" s="69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69"/>
      <c r="G430" s="69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69"/>
      <c r="G431" s="69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69"/>
      <c r="G432" s="69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69"/>
      <c r="G433" s="69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69"/>
      <c r="G434" s="69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69"/>
      <c r="G435" s="69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69"/>
      <c r="G436" s="69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69"/>
      <c r="G437" s="69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69"/>
      <c r="G438" s="69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69"/>
      <c r="G439" s="69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69"/>
      <c r="G440" s="69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69"/>
      <c r="G441" s="69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Calculateur</vt:lpstr>
      <vt:lpstr>Paramètres</vt:lpstr>
      <vt:lpstr>Scénario référence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Geoffrey.Rombaut</cp:lastModifiedBy>
  <dcterms:created xsi:type="dcterms:W3CDTF">2021-02-01T08:22:39Z</dcterms:created>
  <dcterms:modified xsi:type="dcterms:W3CDTF">2023-02-23T17:46:28Z</dcterms:modified>
</cp:coreProperties>
</file>