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Auxerre\4 - La Nocle Maulaix\DDP_Novembre2022\"/>
    </mc:Choice>
  </mc:AlternateContent>
  <xr:revisionPtr revIDLastSave="0" documentId="13_ncr:1_{EF85AA74-22FA-4712-85CB-538555504B4C}" xr6:coauthVersionLast="47" xr6:coauthVersionMax="47" xr10:uidLastSave="{00000000-0000-0000-0000-000000000000}"/>
  <bookViews>
    <workbookView xWindow="25080" yWindow="-510" windowWidth="23280" windowHeight="1320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4" i="6" l="1"/>
  <c r="E203" i="6"/>
  <c r="E172" i="6"/>
  <c r="E141" i="6"/>
  <c r="E110" i="6"/>
  <c r="E79" i="6"/>
  <c r="E48" i="6"/>
  <c r="E17" i="6"/>
  <c r="I23" i="6"/>
  <c r="I21" i="6"/>
  <c r="I20" i="6"/>
  <c r="D224" i="1" l="1"/>
  <c r="B224" i="1"/>
  <c r="D176" i="1"/>
  <c r="B176" i="1"/>
  <c r="D175" i="1"/>
  <c r="D174" i="1"/>
  <c r="D173" i="1"/>
  <c r="D172" i="1"/>
  <c r="D171" i="1"/>
  <c r="D170" i="1"/>
  <c r="D169" i="1"/>
  <c r="D168" i="1"/>
  <c r="D167" i="1"/>
  <c r="B201" i="1"/>
  <c r="B200" i="1"/>
  <c r="B199" i="1"/>
  <c r="B198" i="1"/>
  <c r="B197" i="1"/>
  <c r="B196" i="1"/>
  <c r="B195" i="1"/>
  <c r="B194" i="1"/>
  <c r="B193" i="1"/>
  <c r="D146" i="1"/>
  <c r="B146" i="1"/>
  <c r="B145" i="1"/>
  <c r="B144" i="1"/>
  <c r="B143" i="1"/>
  <c r="D120" i="1"/>
  <c r="B97" i="1"/>
  <c r="D97" i="1" s="1"/>
  <c r="B46" i="1"/>
  <c r="D46" i="1" s="1"/>
  <c r="D45" i="1"/>
  <c r="D44" i="1"/>
  <c r="D43" i="1"/>
  <c r="D42" i="1"/>
  <c r="D41" i="1"/>
  <c r="D40" i="1"/>
  <c r="D39" i="1"/>
  <c r="D38" i="1"/>
  <c r="D37" i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EA4" i="2"/>
  <c r="FR4" i="2"/>
  <c r="FQ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X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A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W22" i="2"/>
  <c r="HG22" i="2"/>
  <c r="EB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C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HG33" i="2" s="1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HH33" i="2"/>
  <c r="EA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H38" i="2" l="1"/>
  <c r="EX38" i="2"/>
  <c r="HG38" i="2"/>
  <c r="FS38" i="2"/>
  <c r="EW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C44" i="2"/>
  <c r="HG44" i="2"/>
  <c r="EW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HI46" i="2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EB57" i="2" s="1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G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EW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EV64" i="2" s="1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FS75" i="2"/>
  <c r="HG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FS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HI113" i="2"/>
  <c r="EC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W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EC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C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HG130" i="2"/>
  <c r="EW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X140" i="2"/>
  <c r="EC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B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HH144" i="2" s="1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HG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EA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G150" i="2" l="1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I154" i="2" s="1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AC154" i="2"/>
  <c r="EW155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EB156" i="2" l="1"/>
  <c r="DH156" i="2"/>
  <c r="EX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EX157" i="2"/>
  <c r="HH157" i="2"/>
  <c r="HG157" i="2"/>
  <c r="EC157" i="2"/>
  <c r="EB157" i="2"/>
  <c r="ED157" i="2" s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HH159" i="2"/>
  <c r="EC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FS160" i="2"/>
  <c r="EY159" i="2"/>
  <c r="EC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X161" i="2"/>
  <c r="AB161" i="2"/>
  <c r="HH161" i="2"/>
  <c r="EB161" i="2"/>
  <c r="HG161" i="2"/>
  <c r="EA161" i="2"/>
  <c r="ED161" i="2" s="1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 l="1"/>
  <c r="EC162" i="2"/>
  <c r="DI161" i="2"/>
  <c r="HG162" i="2"/>
  <c r="EB162" i="2"/>
  <c r="EW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A163" i="2" l="1"/>
  <c r="EB163" i="2"/>
  <c r="EY162" i="2"/>
  <c r="EV163" i="2"/>
  <c r="HI163" i="2"/>
  <c r="FS163" i="2"/>
  <c r="EC163" i="2"/>
  <c r="ED163" i="2" s="1"/>
  <c r="EX163" i="2"/>
  <c r="DH163" i="2"/>
  <c r="EW163" i="2"/>
  <c r="EY163" i="2" s="1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DI163" i="2" l="1"/>
  <c r="FS164" i="2"/>
  <c r="DH164" i="2"/>
  <c r="EA164" i="2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CN165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FR167" i="2"/>
  <c r="EA167" i="2"/>
  <c r="HH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X169" i="2"/>
  <c r="EA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V172" i="2"/>
  <c r="EY171" i="2"/>
  <c r="EW172" i="2"/>
  <c r="HG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W175" i="2"/>
  <c r="FS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W178" i="2"/>
  <c r="EB178" i="2"/>
  <c r="FS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V179" i="2" l="1"/>
  <c r="EB179" i="2"/>
  <c r="DF179" i="2"/>
  <c r="EA179" i="2"/>
  <c r="HG179" i="2"/>
  <c r="HI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ED180" i="2" s="1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S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X182" i="2"/>
  <c r="EC182" i="2"/>
  <c r="FS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B185" i="2" l="1"/>
  <c r="EA185" i="2"/>
  <c r="EV185" i="2"/>
  <c r="EW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HH186" i="2"/>
  <c r="FR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V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B190" i="2"/>
  <c r="EV190" i="2"/>
  <c r="EW190" i="2"/>
  <c r="HG190" i="2"/>
  <c r="HI190" i="2"/>
  <c r="EX190" i="2"/>
  <c r="EC190" i="2"/>
  <c r="ED190" i="2" s="1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HH191" i="2"/>
  <c r="HG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W192" i="2" l="1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AX190" i="2"/>
  <c r="EY192" i="2" l="1"/>
  <c r="DI192" i="2"/>
  <c r="EA193" i="2"/>
  <c r="FQ193" i="2"/>
  <c r="EX193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B194" i="2" l="1"/>
  <c r="FQ194" i="2"/>
  <c r="HG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X195" i="2" l="1"/>
  <c r="DH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FS197" i="2" l="1"/>
  <c r="EC197" i="2"/>
  <c r="EW197" i="2"/>
  <c r="HG197" i="2"/>
  <c r="EA197" i="2"/>
  <c r="EX197" i="2"/>
  <c r="EB197" i="2"/>
  <c r="ED197" i="2" s="1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W198" i="2" l="1"/>
  <c r="EV198" i="2"/>
  <c r="FS198" i="2"/>
  <c r="EX198" i="2"/>
  <c r="EY198" i="2" s="1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FS199" i="2" l="1"/>
  <c r="HH199" i="2"/>
  <c r="EV199" i="2"/>
  <c r="EW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I200" i="2" s="1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FS201" i="2" l="1"/>
  <c r="EA201" i="2"/>
  <c r="HH201" i="2"/>
  <c r="HG201" i="2"/>
  <c r="HI201" i="2"/>
  <c r="EX201" i="2"/>
  <c r="AI5" i="2"/>
  <c r="EW201" i="2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W202" i="2" l="1"/>
  <c r="EY201" i="2"/>
  <c r="EX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CN203" i="2" s="1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<sst xmlns="http://schemas.openxmlformats.org/spreadsheetml/2006/main" count="1182" uniqueCount="329">
  <si>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</si>
  <si>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</si>
  <si>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</si>
  <si>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</si>
  <si>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</si>
  <si>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</si>
  <si>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</si>
  <si>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</si>
  <si>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</si>
  <si>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</si>
  <si>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</si>
  <si>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</si>
  <si>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</si>
  <si>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</si>
  <si>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</si>
  <si>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</si>
  <si>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</si>
  <si>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</si>
  <si>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</si>
  <si>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</si>
  <si>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</si>
  <si>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</si>
  <si>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</si>
  <si>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</si>
  <si>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</si>
  <si>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</si>
  <si>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</si>
  <si>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</si>
  <si>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</si>
  <si>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</si>
  <si>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</si>
  <si>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</si>
  <si>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</si>
  <si>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</si>
  <si>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</si>
  <si>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</si>
  <si>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</si>
  <si>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</si>
  <si>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</si>
  <si>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</si>
  <si>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</si>
  <si>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</si>
  <si>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</si>
  <si>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</si>
  <si>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</si>
  <si>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</si>
  <si>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</si>
  <si>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</si>
  <si>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</si>
  <si>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</si>
  <si>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</si>
  <si>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</si>
  <si>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</si>
  <si>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</si>
  <si>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</si>
  <si>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</si>
  <si>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</si>
  <si>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</si>
  <si>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</si>
  <si>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</si>
  <si>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</si>
  <si>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</si>
  <si>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</si>
  <si>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</si>
  <si>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</si>
  <si>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</si>
  <si>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</si>
  <si>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</si>
  <si>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</si>
  <si>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</si>
  <si>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</si>
  <si>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</si>
  <si>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</si>
  <si>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</si>
  <si>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</si>
  <si>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</si>
  <si>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</si>
  <si>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</si>
  <si>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</si>
  <si>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</si>
  <si>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</si>
  <si>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</si>
  <si>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</si>
  <si>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</si>
  <si>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</si>
  <si>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</si>
  <si>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</si>
  <si>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</si>
  <si>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</si>
  <si>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</si>
  <si>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</si>
  <si>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</si>
  <si>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</si>
  <si>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</si>
  <si>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</si>
  <si>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</si>
  <si>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</si>
  <si>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</si>
  <si>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</si>
  <si>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</si>
  <si>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</si>
  <si>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</si>
  <si>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</si>
  <si>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</si>
  <si>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</si>
  <si>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</si>
  <si>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</si>
  <si>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</si>
  <si>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</si>
  <si>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</si>
  <si>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</si>
  <si>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</si>
  <si>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</si>
  <si>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</si>
  <si>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</si>
  <si>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</si>
  <si>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</si>
  <si>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</si>
  <si>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</si>
  <si>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</si>
  <si>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</si>
  <si>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</si>
  <si>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</si>
  <si>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</si>
  <si>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</si>
  <si>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</si>
  <si>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</si>
  <si>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</si>
  <si>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</si>
  <si>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</si>
  <si>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</si>
  <si>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</si>
  <si>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</si>
  <si>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</si>
  <si>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</si>
  <si>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</si>
  <si>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</si>
  <si>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</si>
  <si>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</si>
  <si>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</si>
  <si>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</si>
  <si>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</si>
  <si>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</si>
  <si>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</si>
  <si>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</si>
  <si>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</si>
  <si>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</si>
  <si>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</si>
  <si>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</si>
  <si>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</si>
  <si>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</si>
  <si>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</si>
  <si>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</si>
  <si>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</si>
  <si>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</si>
  <si>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</si>
  <si>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</si>
  <si>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</si>
  <si>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</si>
  <si>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</si>
  <si>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</si>
  <si>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</si>
  <si>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</si>
  <si>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</si>
  <si>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</si>
  <si>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</si>
  <si>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</si>
  <si>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</si>
  <si>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</si>
  <si>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</si>
  <si>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</si>
  <si>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</si>
  <si>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</si>
  <si>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</si>
  <si>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</si>
  <si>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</si>
  <si>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</si>
  <si>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</si>
  <si>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</si>
  <si>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</si>
  <si>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</si>
  <si>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</si>
  <si>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</si>
  <si>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</si>
  <si>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</si>
  <si>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</si>
  <si>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</si>
  <si>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</si>
  <si>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</si>
  <si>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</si>
  <si>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</si>
  <si>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</si>
  <si>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</si>
  <si>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</si>
  <si>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</si>
  <si>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</si>
  <si>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</si>
  <si>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</si>
  <si>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</si>
  <si>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</si>
  <si>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</si>
  <si>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</si>
  <si>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</si>
  <si>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</si>
  <si>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</si>
  <si>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</si>
  <si>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</si>
  <si>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</si>
  <si>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</si>
  <si>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</si>
  <si>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</si>
  <si>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</si>
  <si>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</si>
  <si>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</si>
  <si>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</si>
  <si>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</si>
  <si>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</si>
  <si>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</si>
  <si>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</si>
  <si>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</si>
  <si>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</si>
  <si>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</si>
  <si>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</si>
  <si>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</si>
  <si>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</si>
  <si>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</si>
  <si>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</si>
  <si>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</si>
  <si>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</si>
  <si>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</si>
  <si>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</si>
  <si>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</si>
  <si>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</si>
  <si>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</si>
  <si>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</si>
  <si>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</si>
  <si>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</si>
  <si>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</si>
  <si>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</si>
  <si>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</si>
  <si>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</si>
  <si>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</si>
  <si>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</si>
  <si>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</si>
  <si>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</si>
  <si>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</si>
  <si>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</si>
  <si>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</si>
  <si>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</si>
  <si>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</si>
  <si>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</si>
  <si>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</si>
  <si>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</si>
  <si>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</si>
  <si>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</si>
  <si>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</si>
  <si>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</si>
  <si>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</si>
  <si>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</si>
  <si>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</si>
  <si>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</si>
  <si>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</si>
  <si>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</si>
  <si>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</si>
  <si>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</si>
  <si>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</si>
  <si>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</si>
  <si>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</si>
  <si>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</si>
  <si>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</si>
  <si>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</si>
  <si>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</si>
  <si>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</si>
  <si>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</si>
  <si>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</si>
  <si>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</si>
  <si>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</si>
  <si>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</si>
  <si>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</si>
  <si>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</si>
  <si>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</si>
  <si>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</si>
  <si>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</si>
  <si>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</si>
  <si>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</si>
  <si>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</si>
  <si>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</si>
  <si>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</si>
  <si>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</si>
  <si>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</si>
  <si>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</si>
  <si>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</si>
  <si>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</si>
  <si>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</si>
  <si>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</si>
  <si>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</si>
  <si>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</si>
  <si>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</si>
  <si>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</si>
  <si>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</si>
  <si>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</si>
  <si>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</si>
  <si>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</si>
  <si>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</si>
  <si>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</si>
  <si>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</si>
  <si>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</si>
  <si>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</si>
  <si>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</si>
  <si>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</si>
  <si>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</si>
  <si>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</si>
  <si>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</si>
  <si>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</si>
  <si>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</si>
  <si>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</si>
  <si>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</si>
  <si>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</si>
  <si>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</si>
  <si>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</si>
  <si>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</si>
  <si>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</si>
  <si>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</si>
  <si>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</si>
  <si>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0 = préparation de sol</t>
  </si>
  <si>
    <t>1 = entretiens + frais fixes (assurances, gestion…)</t>
  </si>
  <si>
    <t>3 = entretien complet+ frais fixes</t>
  </si>
  <si>
    <t>4 = frais fixes</t>
  </si>
  <si>
    <t>2 = entretien  + frais fixes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</si>
</sst>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98.711655844836244</c:v>
                </c:pt>
                <c:pt idx="22">
                  <c:v>111.22512582797835</c:v>
                </c:pt>
                <c:pt idx="23">
                  <c:v>123.70402111473783</c:v>
                </c:pt>
                <c:pt idx="24">
                  <c:v>136.15232577620694</c:v>
                </c:pt>
                <c:pt idx="25">
                  <c:v>148.57323391466869</c:v>
                </c:pt>
                <c:pt idx="26">
                  <c:v>160.96936079546251</c:v>
                </c:pt>
                <c:pt idx="27">
                  <c:v>173.342885263987</c:v>
                </c:pt>
                <c:pt idx="28">
                  <c:v>185.69564922944687</c:v>
                </c:pt>
                <c:pt idx="29">
                  <c:v>198.02922921541202</c:v>
                </c:pt>
                <c:pt idx="30">
                  <c:v>210.34498910896289</c:v>
                </c:pt>
                <c:pt idx="31">
                  <c:v>169.61345228889294</c:v>
                </c:pt>
                <c:pt idx="32">
                  <c:v>185.69564922944687</c:v>
                </c:pt>
                <c:pt idx="33">
                  <c:v>201.74532528316695</c:v>
                </c:pt>
                <c:pt idx="34">
                  <c:v>217.76543262779288</c:v>
                </c:pt>
                <c:pt idx="35">
                  <c:v>233.75845318467347</c:v>
                </c:pt>
                <c:pt idx="36">
                  <c:v>249.72650127853672</c:v>
                </c:pt>
                <c:pt idx="37">
                  <c:v>265.67139861401193</c:v>
                </c:pt>
                <c:pt idx="38">
                  <c:v>281.5947302821483</c:v>
                </c:pt>
                <c:pt idx="39">
                  <c:v>297.49788742006405</c:v>
                </c:pt>
                <c:pt idx="40">
                  <c:v>313.38210026249618</c:v>
                </c:pt>
                <c:pt idx="41">
                  <c:v>247.97507238738748</c:v>
                </c:pt>
                <c:pt idx="42">
                  <c:v>264.11677214797504</c:v>
                </c:pt>
                <c:pt idx="43">
                  <c:v>280.23622755830667</c:v>
                </c:pt>
                <c:pt idx="44">
                  <c:v>296.33489822464168</c:v>
                </c:pt>
                <c:pt idx="45">
                  <c:v>312.41407218540223</c:v>
                </c:pt>
                <c:pt idx="46">
                  <c:v>328.47489405645246</c:v>
                </c:pt>
                <c:pt idx="47">
                  <c:v>344.51838738035781</c:v>
                </c:pt>
                <c:pt idx="48">
                  <c:v>360.54547259299108</c:v>
                </c:pt>
                <c:pt idx="49">
                  <c:v>376.55698162745358</c:v>
                </c:pt>
                <c:pt idx="50">
                  <c:v>392.55366990377729</c:v>
                </c:pt>
                <c:pt idx="51">
                  <c:v>326.54079262774445</c:v>
                </c:pt>
                <c:pt idx="52">
                  <c:v>341.62020115511154</c:v>
                </c:pt>
                <c:pt idx="53">
                  <c:v>356.68497890922026</c:v>
                </c:pt>
                <c:pt idx="54">
                  <c:v>371.73583079258918</c:v>
                </c:pt>
                <c:pt idx="55">
                  <c:v>386.77339997206718</c:v>
                </c:pt>
                <c:pt idx="56">
                  <c:v>401.79827552592519</c:v>
                </c:pt>
                <c:pt idx="57">
                  <c:v>416.81099888731995</c:v>
                </c:pt>
                <c:pt idx="58">
                  <c:v>431.81206931097466</c:v>
                </c:pt>
                <c:pt idx="59">
                  <c:v>446.80194854062023</c:v>
                </c:pt>
                <c:pt idx="60">
                  <c:v>461.78106481747767</c:v>
                </c:pt>
                <c:pt idx="61">
                  <c:v>394.48001486506865</c:v>
                </c:pt>
                <c:pt idx="62">
                  <c:v>407.95878231757462</c:v>
                </c:pt>
                <c:pt idx="63">
                  <c:v>421.42793186976132</c:v>
                </c:pt>
                <c:pt idx="64">
                  <c:v>434.88781420496679</c:v>
                </c:pt>
                <c:pt idx="65">
                  <c:v>448.33875652973529</c:v>
                </c:pt>
                <c:pt idx="66">
                  <c:v>461.78106481747767</c:v>
                </c:pt>
                <c:pt idx="67">
                  <c:v>475.2150257772908</c:v>
                </c:pt>
                <c:pt idx="68">
                  <c:v>488.64090858857736</c:v>
                </c:pt>
                <c:pt idx="69">
                  <c:v>502.0589664351258</c:v>
                </c:pt>
                <c:pt idx="70">
                  <c:v>515.46943786668055</c:v>
                </c:pt>
                <c:pt idx="71">
                  <c:v>446.6098395921727</c:v>
                </c:pt>
                <c:pt idx="72">
                  <c:v>458.32527966923953</c:v>
                </c:pt>
                <c:pt idx="73">
                  <c:v>470.03432649602973</c:v>
                </c:pt>
                <c:pt idx="74">
                  <c:v>481.7371617829092</c:v>
                </c:pt>
                <c:pt idx="75">
                  <c:v>493.43395769164982</c:v>
                </c:pt>
                <c:pt idx="76">
                  <c:v>505.12487755644264</c:v>
                </c:pt>
                <c:pt idx="77">
                  <c:v>516.81007653469237</c:v>
                </c:pt>
                <c:pt idx="78">
                  <c:v>528.48970219589739</c:v>
                </c:pt>
                <c:pt idx="79">
                  <c:v>540.16389505577172</c:v>
                </c:pt>
                <c:pt idx="80">
                  <c:v>551.83278906179783</c:v>
                </c:pt>
                <c:pt idx="81">
                  <c:v>482.12075813367898</c:v>
                </c:pt>
                <c:pt idx="82">
                  <c:v>492.85884412246696</c:v>
                </c:pt>
                <c:pt idx="83">
                  <c:v>503.59197136026728</c:v>
                </c:pt>
                <c:pt idx="84">
                  <c:v>514.32026043494284</c:v>
                </c:pt>
                <c:pt idx="85">
                  <c:v>525.04382649327442</c:v>
                </c:pt>
                <c:pt idx="86">
                  <c:v>535.76277959494962</c:v>
                </c:pt>
                <c:pt idx="87">
                  <c:v>546.47722503675448</c:v>
                </c:pt>
                <c:pt idx="88">
                  <c:v>557.18726365001623</c:v>
                </c:pt>
                <c:pt idx="89">
                  <c:v>567.89299207399495</c:v>
                </c:pt>
                <c:pt idx="90">
                  <c:v>578.59450300758874</c:v>
                </c:pt>
                <c:pt idx="91">
                  <c:v>507.61564043595746</c:v>
                </c:pt>
                <c:pt idx="92">
                  <c:v>517.00159034875685</c:v>
                </c:pt>
                <c:pt idx="93">
                  <c:v>526.38394569812317</c:v>
                </c:pt>
                <c:pt idx="94">
                  <c:v>535.76277959494962</c:v>
                </c:pt>
                <c:pt idx="95">
                  <c:v>545.13816238142374</c:v>
                </c:pt>
                <c:pt idx="96">
                  <c:v>554.51016178271334</c:v>
                </c:pt>
                <c:pt idx="97">
                  <c:v>563.87884304786633</c:v>
                </c:pt>
                <c:pt idx="98">
                  <c:v>573.24426908085661</c:v>
                </c:pt>
                <c:pt idx="99">
                  <c:v>582.60650056262477</c:v>
                </c:pt>
                <c:pt idx="100">
                  <c:v>591.96559606486528</c:v>
                </c:pt>
                <c:pt idx="101">
                  <c:v>520.06560820994321</c:v>
                </c:pt>
                <c:pt idx="102">
                  <c:v>528.48970219589739</c:v>
                </c:pt>
                <c:pt idx="103">
                  <c:v>536.91096968482714</c:v>
                </c:pt>
                <c:pt idx="104">
                  <c:v>545.32946126917022</c:v>
                </c:pt>
                <c:pt idx="105">
                  <c:v>553.74522585166358</c:v>
                </c:pt>
                <c:pt idx="106">
                  <c:v>562.15831072715355</c:v>
                </c:pt>
                <c:pt idx="107">
                  <c:v>570.56876165925394</c:v>
                </c:pt>
                <c:pt idx="108">
                  <c:v>578.97662295224825</c:v>
                </c:pt>
                <c:pt idx="109">
                  <c:v>587.38193751859933</c:v>
                </c:pt>
                <c:pt idx="110">
                  <c:v>595.7847469423931</c:v>
                </c:pt>
                <c:pt idx="111">
                  <c:v>528.29827709857148</c:v>
                </c:pt>
                <c:pt idx="112">
                  <c:v>535.38003807305324</c:v>
                </c:pt>
                <c:pt idx="113">
                  <c:v>542.45982974284027</c:v>
                </c:pt>
                <c:pt idx="114">
                  <c:v>549.53768144295748</c:v>
                </c:pt>
                <c:pt idx="115">
                  <c:v>556.61362169091831</c:v>
                </c:pt>
                <c:pt idx="116">
                  <c:v>563.68767821983886</c:v>
                </c:pt>
                <c:pt idx="117">
                  <c:v>570.75987800979954</c:v>
                </c:pt>
                <c:pt idx="118">
                  <c:v>577.83024731757359</c:v>
                </c:pt>
                <c:pt idx="119">
                  <c:v>584.89881170482352</c:v>
                </c:pt>
                <c:pt idx="120">
                  <c:v>591.96559606486471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2.7950560419935062</c:v>
                </c:pt>
                <c:pt idx="2">
                  <c:v>3.4978567405008154</c:v>
                </c:pt>
                <c:pt idx="3">
                  <c:v>4.378056176370535</c:v>
                </c:pt>
                <c:pt idx="4">
                  <c:v>5.4805953715609093</c:v>
                </c:pt>
                <c:pt idx="5">
                  <c:v>6.8618389341299704</c:v>
                </c:pt>
                <c:pt idx="6">
                  <c:v>8.5924879218678232</c:v>
                </c:pt>
                <c:pt idx="7">
                  <c:v>10.761237587714888</c:v>
                </c:pt>
                <c:pt idx="8">
                  <c:v>13.479370991188105</c:v>
                </c:pt>
                <c:pt idx="9">
                  <c:v>16.886528544899786</c:v>
                </c:pt>
                <c:pt idx="10">
                  <c:v>21.157955292804118</c:v>
                </c:pt>
                <c:pt idx="11">
                  <c:v>26.513605349767932</c:v>
                </c:pt>
                <c:pt idx="12">
                  <c:v>33.229580576656623</c:v>
                </c:pt>
                <c:pt idx="13">
                  <c:v>41.65250338948028</c:v>
                </c:pt>
                <c:pt idx="14">
                  <c:v>52.217578110334223</c:v>
                </c:pt>
                <c:pt idx="15">
                  <c:v>65.471289650288256</c:v>
                </c:pt>
                <c:pt idx="16">
                  <c:v>82.099932877988508</c:v>
                </c:pt>
                <c:pt idx="17">
                  <c:v>102.96547374948041</c:v>
                </c:pt>
                <c:pt idx="18">
                  <c:v>129.1506304926302</c:v>
                </c:pt>
                <c:pt idx="19">
                  <c:v>162.01555042423362</c:v>
                </c:pt>
                <c:pt idx="20">
                  <c:v>203.26907123098991</c:v>
                </c:pt>
                <c:pt idx="21">
                  <c:v>162.01318445359652</c:v>
                </c:pt>
                <c:pt idx="22">
                  <c:v>181.34368368345909</c:v>
                </c:pt>
                <c:pt idx="23">
                  <c:v>200.62594388226071</c:v>
                </c:pt>
                <c:pt idx="24">
                  <c:v>219.86525499788613</c:v>
                </c:pt>
                <c:pt idx="25">
                  <c:v>239.06590436046736</c:v>
                </c:pt>
                <c:pt idx="26">
                  <c:v>258.2314337725993</c:v>
                </c:pt>
                <c:pt idx="27">
                  <c:v>277.36481607055674</c:v>
                </c:pt>
                <c:pt idx="28">
                  <c:v>296.46858031425882</c:v>
                </c:pt>
                <c:pt idx="29">
                  <c:v>315.54490296905198</c:v>
                </c:pt>
                <c:pt idx="30">
                  <c:v>334.59567585759874</c:v>
                </c:pt>
                <c:pt idx="31">
                  <c:v>234.7395292137937</c:v>
                </c:pt>
                <c:pt idx="32">
                  <c:v>251.0952400785371</c:v>
                </c:pt>
                <c:pt idx="33">
                  <c:v>267.42680782176666</c:v>
                </c:pt>
                <c:pt idx="34">
                  <c:v>283.73591438004945</c:v>
                </c:pt>
                <c:pt idx="35">
                  <c:v>300.02403249547734</c:v>
                </c:pt>
                <c:pt idx="36">
                  <c:v>316.29246191955457</c:v>
                </c:pt>
                <c:pt idx="37">
                  <c:v>332.54235777302125</c:v>
                </c:pt>
                <c:pt idx="38">
                  <c:v>348.77475306916608</c:v>
                </c:pt>
                <c:pt idx="39">
                  <c:v>364.99057682300844</c:v>
                </c:pt>
                <c:pt idx="40">
                  <c:v>381.19066877305664</c:v>
                </c:pt>
                <c:pt idx="41">
                  <c:v>286.35837196420709</c:v>
                </c:pt>
                <c:pt idx="42">
                  <c:v>299.8369269420906</c:v>
                </c:pt>
                <c:pt idx="43">
                  <c:v>313.30199011471763</c:v>
                </c:pt>
                <c:pt idx="44">
                  <c:v>326.754223109576</c:v>
                </c:pt>
                <c:pt idx="45">
                  <c:v>340.19422861744857</c:v>
                </c:pt>
                <c:pt idx="46">
                  <c:v>353.62255781268237</c:v>
                </c:pt>
                <c:pt idx="47">
                  <c:v>367.03971658708946</c:v>
                </c:pt>
                <c:pt idx="48">
                  <c:v>380.44617082446945</c:v>
                </c:pt>
                <c:pt idx="49">
                  <c:v>393.8423508926914</c:v>
                </c:pt>
                <c:pt idx="50">
                  <c:v>407.2286554926086</c:v>
                </c:pt>
                <c:pt idx="51">
                  <c:v>324.51304901034973</c:v>
                </c:pt>
                <c:pt idx="52">
                  <c:v>334.96897652893705</c:v>
                </c:pt>
                <c:pt idx="53">
                  <c:v>345.41771532693969</c:v>
                </c:pt>
                <c:pt idx="54">
                  <c:v>355.85951361436645</c:v>
                </c:pt>
                <c:pt idx="55">
                  <c:v>366.29460383970803</c:v>
                </c:pt>
                <c:pt idx="56">
                  <c:v>376.72320412097525</c:v>
                </c:pt>
                <c:pt idx="57">
                  <c:v>387.14551950995337</c:v>
                </c:pt>
                <c:pt idx="58">
                  <c:v>397.56174311317267</c:v>
                </c:pt>
                <c:pt idx="59">
                  <c:v>407.97205708923843</c:v>
                </c:pt>
                <c:pt idx="60">
                  <c:v>418.37663353903184</c:v>
                </c:pt>
                <c:pt idx="61">
                  <c:v>351.9446375159219</c:v>
                </c:pt>
                <c:pt idx="62">
                  <c:v>359.95980096859495</c:v>
                </c:pt>
                <c:pt idx="63">
                  <c:v>367.97106108239876</c:v>
                </c:pt>
                <c:pt idx="64">
                  <c:v>375.97851488635962</c:v>
                </c:pt>
                <c:pt idx="65">
                  <c:v>383.98225493635528</c:v>
                </c:pt>
                <c:pt idx="66">
                  <c:v>391.98236961231675</c:v>
                </c:pt>
                <c:pt idx="67">
                  <c:v>399.97894338989158</c:v>
                </c:pt>
                <c:pt idx="68">
                  <c:v>407.97205708923872</c:v>
                </c:pt>
                <c:pt idx="69">
                  <c:v>415.96178810329894</c:v>
                </c:pt>
                <c:pt idx="70">
                  <c:v>423.94821060760842</c:v>
                </c:pt>
                <c:pt idx="71">
                  <c:v>370.57855237838561</c:v>
                </c:pt>
                <c:pt idx="72">
                  <c:v>376.72320412097542</c:v>
                </c:pt>
                <c:pt idx="73">
                  <c:v>382.86567361197154</c:v>
                </c:pt>
                <c:pt idx="74">
                  <c:v>389.00600083506538</c:v>
                </c:pt>
                <c:pt idx="75">
                  <c:v>395.14422440751946</c:v>
                </c:pt>
                <c:pt idx="76">
                  <c:v>401.28038164783965</c:v>
                </c:pt>
                <c:pt idx="77">
                  <c:v>407.41450863908841</c:v>
                </c:pt>
                <c:pt idx="78">
                  <c:v>413.54664028818576</c:v>
                </c:pt>
                <c:pt idx="79">
                  <c:v>419.67681038150459</c:v>
                </c:pt>
                <c:pt idx="80">
                  <c:v>425.80505163704908</c:v>
                </c:pt>
                <c:pt idx="81">
                  <c:v>385.84306708196317</c:v>
                </c:pt>
                <c:pt idx="82">
                  <c:v>390.49424676672476</c:v>
                </c:pt>
                <c:pt idx="83">
                  <c:v>395.14422440751952</c:v>
                </c:pt>
                <c:pt idx="84">
                  <c:v>399.79301616201752</c:v>
                </c:pt>
                <c:pt idx="85">
                  <c:v>404.44063778104493</c:v>
                </c:pt>
                <c:pt idx="86">
                  <c:v>409.08710462349313</c:v>
                </c:pt>
                <c:pt idx="87">
                  <c:v>413.73243167051163</c:v>
                </c:pt>
                <c:pt idx="88">
                  <c:v>418.37663353903218</c:v>
                </c:pt>
                <c:pt idx="89">
                  <c:v>423.01972449465916</c:v>
                </c:pt>
                <c:pt idx="90">
                  <c:v>427.66171846396463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1.9372195932743184</c:v>
                </c:pt>
                <c:pt idx="2">
                  <c:v>2.4198485086289616</c:v>
                </c:pt>
                <c:pt idx="3">
                  <c:v>3.0231903145261385</c:v>
                </c:pt>
                <c:pt idx="4">
                  <c:v>3.7775489714866755</c:v>
                </c:pt>
                <c:pt idx="5">
                  <c:v>4.720862313478416</c:v>
                </c:pt>
                <c:pt idx="6">
                  <c:v>5.900631269188306</c:v>
                </c:pt>
                <c:pt idx="7">
                  <c:v>7.3763380754840293</c:v>
                </c:pt>
                <c:pt idx="8">
                  <c:v>9.2224777619646083</c:v>
                </c:pt>
                <c:pt idx="9">
                  <c:v>11.532358849399607</c:v>
                </c:pt>
                <c:pt idx="10">
                  <c:v>14.422868954190093</c:v>
                </c:pt>
                <c:pt idx="11">
                  <c:v>18.040450894556724</c:v>
                </c:pt>
                <c:pt idx="12">
                  <c:v>22.568597551081712</c:v>
                </c:pt>
                <c:pt idx="13">
                  <c:v>30.736395877407301</c:v>
                </c:pt>
                <c:pt idx="14">
                  <c:v>38.843441867053087</c:v>
                </c:pt>
                <c:pt idx="15">
                  <c:v>46.904345313953264</c:v>
                </c:pt>
                <c:pt idx="16">
                  <c:v>54.928208921069135</c:v>
                </c:pt>
                <c:pt idx="17">
                  <c:v>57.928936520700894</c:v>
                </c:pt>
                <c:pt idx="18">
                  <c:v>66.243665135009351</c:v>
                </c:pt>
                <c:pt idx="19">
                  <c:v>74.531438411818826</c:v>
                </c:pt>
                <c:pt idx="20">
                  <c:v>82.795684713351179</c:v>
                </c:pt>
                <c:pt idx="21">
                  <c:v>87.08470923291496</c:v>
                </c:pt>
                <c:pt idx="22">
                  <c:v>97.94903248410327</c:v>
                </c:pt>
                <c:pt idx="23">
                  <c:v>108.78339465120125</c:v>
                </c:pt>
                <c:pt idx="24">
                  <c:v>119.59120534711991</c:v>
                </c:pt>
                <c:pt idx="25">
                  <c:v>114.02667849427588</c:v>
                </c:pt>
                <c:pt idx="26">
                  <c:v>124.16900365793684</c:v>
                </c:pt>
                <c:pt idx="27">
                  <c:v>134.29120903422282</c:v>
                </c:pt>
                <c:pt idx="28">
                  <c:v>144.39502686294233</c:v>
                </c:pt>
                <c:pt idx="29">
                  <c:v>137.8784585019167</c:v>
                </c:pt>
                <c:pt idx="30">
                  <c:v>148.30156685454077</c:v>
                </c:pt>
                <c:pt idx="31">
                  <c:v>158.70719102606964</c:v>
                </c:pt>
                <c:pt idx="32">
                  <c:v>169.09664015835338</c:v>
                </c:pt>
                <c:pt idx="33">
                  <c:v>179.47104913917386</c:v>
                </c:pt>
                <c:pt idx="34">
                  <c:v>189.83141075244791</c:v>
                </c:pt>
                <c:pt idx="35">
                  <c:v>166.71709174013915</c:v>
                </c:pt>
                <c:pt idx="36">
                  <c:v>176.0145200312711</c:v>
                </c:pt>
                <c:pt idx="37">
                  <c:v>185.30042247535172</c:v>
                </c:pt>
                <c:pt idx="38">
                  <c:v>194.57545874663569</c:v>
                </c:pt>
                <c:pt idx="39">
                  <c:v>203.84022040899663</c:v>
                </c:pt>
                <c:pt idx="40">
                  <c:v>213.0952407926645</c:v>
                </c:pt>
                <c:pt idx="41">
                  <c:v>190.90984349651194</c:v>
                </c:pt>
                <c:pt idx="42">
                  <c:v>198.45494944345185</c:v>
                </c:pt>
                <c:pt idx="43">
                  <c:v>205.99340154257493</c:v>
                </c:pt>
                <c:pt idx="44">
                  <c:v>213.52547798202738</c:v>
                </c:pt>
                <c:pt idx="45">
                  <c:v>221.05143569284758</c:v>
                </c:pt>
                <c:pt idx="46">
                  <c:v>228.57151265786101</c:v>
                </c:pt>
                <c:pt idx="47">
                  <c:v>208.89937184368952</c:v>
                </c:pt>
                <c:pt idx="48">
                  <c:v>213.74058908343292</c:v>
                </c:pt>
                <c:pt idx="49">
                  <c:v>218.57928096026777</c:v>
                </c:pt>
                <c:pt idx="50">
                  <c:v>223.41551137926174</c:v>
                </c:pt>
                <c:pt idx="51">
                  <c:v>228.24934124753477</c:v>
                </c:pt>
                <c:pt idx="52">
                  <c:v>233.08082867687767</c:v>
                </c:pt>
                <c:pt idx="53">
                  <c:v>237.91002916866509</c:v>
                </c:pt>
                <c:pt idx="54">
                  <c:v>242.73699578294506</c:v>
                </c:pt>
                <c:pt idx="55">
                  <c:v>224.22131479260892</c:v>
                </c:pt>
                <c:pt idx="56">
                  <c:v>226.31609358677363</c:v>
                </c:pt>
                <c:pt idx="57">
                  <c:v>228.41042825288187</c:v>
                </c:pt>
                <c:pt idx="58">
                  <c:v>230.50432344920179</c:v>
                </c:pt>
                <c:pt idx="59">
                  <c:v>232.59778374223927</c:v>
                </c:pt>
                <c:pt idx="60">
                  <c:v>234.6908136093756</c:v>
                </c:pt>
                <c:pt idx="61">
                  <c:v>236.78341744140491</c:v>
                </c:pt>
                <c:pt idx="62">
                  <c:v>238.87559954497763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1.8917258979789879</c:v>
                </c:pt>
                <c:pt idx="2">
                  <c:v>2.3074540372543173</c:v>
                </c:pt>
                <c:pt idx="3">
                  <c:v>2.8148953385457798</c:v>
                </c:pt>
                <c:pt idx="4">
                  <c:v>3.4343559758792388</c:v>
                </c:pt>
                <c:pt idx="5">
                  <c:v>4.1906533722832648</c:v>
                </c:pt>
                <c:pt idx="6">
                  <c:v>5.1141215864537903</c:v>
                </c:pt>
                <c:pt idx="7">
                  <c:v>6.2418414143326073</c:v>
                </c:pt>
                <c:pt idx="8">
                  <c:v>7.6191455660130769</c:v>
                </c:pt>
                <c:pt idx="9">
                  <c:v>9.3014605920777775</c:v>
                </c:pt>
                <c:pt idx="10">
                  <c:v>11.356561094464588</c:v>
                </c:pt>
                <c:pt idx="11">
                  <c:v>13.86732873992832</c:v>
                </c:pt>
                <c:pt idx="12">
                  <c:v>16.935129403676104</c:v>
                </c:pt>
                <c:pt idx="13">
                  <c:v>20.68394727065299</c:v>
                </c:pt>
                <c:pt idx="14">
                  <c:v>25.26544597144051</c:v>
                </c:pt>
                <c:pt idx="15">
                  <c:v>30.865165127605138</c:v>
                </c:pt>
                <c:pt idx="16">
                  <c:v>37.71010762027948</c:v>
                </c:pt>
                <c:pt idx="17">
                  <c:v>46.078030428938128</c:v>
                </c:pt>
                <c:pt idx="18">
                  <c:v>56.30882241009423</c:v>
                </c:pt>
                <c:pt idx="19">
                  <c:v>68.818438835784079</c:v>
                </c:pt>
                <c:pt idx="20">
                  <c:v>84.115968492471652</c:v>
                </c:pt>
                <c:pt idx="21">
                  <c:v>97.554514250101889</c:v>
                </c:pt>
                <c:pt idx="22">
                  <c:v>110.94698489986827</c:v>
                </c:pt>
                <c:pt idx="23">
                  <c:v>124.29973684178829</c:v>
                </c:pt>
                <c:pt idx="24">
                  <c:v>137.61764410276893</c:v>
                </c:pt>
                <c:pt idx="25">
                  <c:v>150.90455756698671</c:v>
                </c:pt>
                <c:pt idx="26">
                  <c:v>164.16359306202688</c:v>
                </c:pt>
                <c:pt idx="27">
                  <c:v>177.39732107296882</c:v>
                </c:pt>
                <c:pt idx="28">
                  <c:v>190.60789667260721</c:v>
                </c:pt>
                <c:pt idx="29">
                  <c:v>203.79715143595331</c:v>
                </c:pt>
                <c:pt idx="30">
                  <c:v>216.96666025537795</c:v>
                </c:pt>
                <c:pt idx="31">
                  <c:v>178.17503537456423</c:v>
                </c:pt>
                <c:pt idx="32">
                  <c:v>192.4194111275834</c:v>
                </c:pt>
                <c:pt idx="33">
                  <c:v>206.63925413557968</c:v>
                </c:pt>
                <c:pt idx="34">
                  <c:v>220.83649103083067</c:v>
                </c:pt>
                <c:pt idx="35">
                  <c:v>235.01278028177913</c:v>
                </c:pt>
                <c:pt idx="36">
                  <c:v>249.16956379358496</c:v>
                </c:pt>
                <c:pt idx="37">
                  <c:v>263.3081061496967</c:v>
                </c:pt>
                <c:pt idx="38">
                  <c:v>277.42952497301968</c:v>
                </c:pt>
                <c:pt idx="39">
                  <c:v>291.53481477536712</c:v>
                </c:pt>
                <c:pt idx="40">
                  <c:v>305.62486594574432</c:v>
                </c:pt>
                <c:pt idx="41">
                  <c:v>247.49746299241795</c:v>
                </c:pt>
                <c:pt idx="42">
                  <c:v>261.25268017016526</c:v>
                </c:pt>
                <c:pt idx="43">
                  <c:v>274.99154952399925</c:v>
                </c:pt>
                <c:pt idx="44">
                  <c:v>288.71500303129199</c:v>
                </c:pt>
                <c:pt idx="45">
                  <c:v>302.42387680444131</c:v>
                </c:pt>
                <c:pt idx="46">
                  <c:v>316.11892494264958</c:v>
                </c:pt>
                <c:pt idx="47">
                  <c:v>329.80083085635027</c:v>
                </c:pt>
                <c:pt idx="48">
                  <c:v>343.47021661326585</c:v>
                </c:pt>
                <c:pt idx="49">
                  <c:v>357.12765071829648</c:v>
                </c:pt>
                <c:pt idx="50">
                  <c:v>370.7736546407628</c:v>
                </c:pt>
                <c:pt idx="51">
                  <c:v>311.51274483481546</c:v>
                </c:pt>
                <c:pt idx="52">
                  <c:v>323.79259907322466</c:v>
                </c:pt>
                <c:pt idx="53">
                  <c:v>336.06216151622726</c:v>
                </c:pt>
                <c:pt idx="54">
                  <c:v>348.32186095767742</c:v>
                </c:pt>
                <c:pt idx="55">
                  <c:v>360.57209353569027</c:v>
                </c:pt>
                <c:pt idx="56">
                  <c:v>372.81322626817473</c:v>
                </c:pt>
                <c:pt idx="57">
                  <c:v>385.04560009964825</c:v>
                </c:pt>
                <c:pt idx="58">
                  <c:v>397.26953254058282</c:v>
                </c:pt>
                <c:pt idx="59">
                  <c:v>409.48531996489601</c:v>
                </c:pt>
                <c:pt idx="60">
                  <c:v>421.69323961894679</c:v>
                </c:pt>
                <c:pt idx="61">
                  <c:v>369.49879816887756</c:v>
                </c:pt>
                <c:pt idx="62">
                  <c:v>379.69499344441147</c:v>
                </c:pt>
                <c:pt idx="63">
                  <c:v>389.88523246274644</c:v>
                </c:pt>
                <c:pt idx="64">
                  <c:v>400.0696929048429</c:v>
                </c:pt>
                <c:pt idx="65">
                  <c:v>410.2485426639725</c:v>
                </c:pt>
                <c:pt idx="66">
                  <c:v>420.42194061957366</c:v>
                </c:pt>
                <c:pt idx="67">
                  <c:v>430.5900373322807</c:v>
                </c:pt>
                <c:pt idx="68">
                  <c:v>440.75297566986904</c:v>
                </c:pt>
                <c:pt idx="69">
                  <c:v>450.91089137244717</c:v>
                </c:pt>
                <c:pt idx="70">
                  <c:v>461.06391356406112</c:v>
                </c:pt>
                <c:pt idx="71">
                  <c:v>420.42194061957366</c:v>
                </c:pt>
                <c:pt idx="72">
                  <c:v>428.04850220658636</c:v>
                </c:pt>
                <c:pt idx="73">
                  <c:v>435.67214265339436</c:v>
                </c:pt>
                <c:pt idx="74">
                  <c:v>443.29292031429787</c:v>
                </c:pt>
                <c:pt idx="75">
                  <c:v>450.91089137244717</c:v>
                </c:pt>
                <c:pt idx="76">
                  <c:v>458.52610995674212</c:v>
                </c:pt>
                <c:pt idx="77">
                  <c:v>466.13862825055884</c:v>
                </c:pt>
                <c:pt idx="78">
                  <c:v>473.74849659300213</c:v>
                </c:pt>
                <c:pt idx="79">
                  <c:v>481.35576357331178</c:v>
                </c:pt>
                <c:pt idx="80">
                  <c:v>488.96047611898717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2.3808965943350775</c:v>
                </c:pt>
                <c:pt idx="2">
                  <c:v>2.8304638911002047</c:v>
                </c:pt>
                <c:pt idx="3">
                  <c:v>3.3652355657623452</c:v>
                </c:pt>
                <c:pt idx="4">
                  <c:v>4.0014165674856983</c:v>
                </c:pt>
                <c:pt idx="5">
                  <c:v>4.7583039425111266</c:v>
                </c:pt>
                <c:pt idx="6">
                  <c:v>5.6588786371580904</c:v>
                </c:pt>
                <c:pt idx="7">
                  <c:v>6.730510885177341</c:v>
                </c:pt>
                <c:pt idx="8">
                  <c:v>8.0058010357886271</c:v>
                </c:pt>
                <c:pt idx="9">
                  <c:v>9.5235818943119295</c:v>
                </c:pt>
                <c:pt idx="10">
                  <c:v>11.330113677699131</c:v>
                </c:pt>
                <c:pt idx="11">
                  <c:v>13.480508690297002</c:v>
                </c:pt>
                <c:pt idx="12">
                  <c:v>16.040429989236795</c:v>
                </c:pt>
                <c:pt idx="13">
                  <c:v>19.088116858927716</c:v>
                </c:pt>
                <c:pt idx="14">
                  <c:v>22.716800118875877</c:v>
                </c:pt>
                <c:pt idx="15">
                  <c:v>27.037582469258226</c:v>
                </c:pt>
                <c:pt idx="16">
                  <c:v>32.182873617451598</c:v>
                </c:pt>
                <c:pt idx="17">
                  <c:v>38.310487283562729</c:v>
                </c:pt>
                <c:pt idx="18">
                  <c:v>45.608527900325306</c:v>
                </c:pt>
                <c:pt idx="19">
                  <c:v>54.301219555108467</c:v>
                </c:pt>
                <c:pt idx="20">
                  <c:v>64.655859248643353</c:v>
                </c:pt>
                <c:pt idx="21">
                  <c:v>76.991111797384278</c:v>
                </c:pt>
                <c:pt idx="22">
                  <c:v>91.686905796172638</c:v>
                </c:pt>
                <c:pt idx="23">
                  <c:v>109.19624031334928</c:v>
                </c:pt>
                <c:pt idx="24">
                  <c:v>130.05927199835185</c:v>
                </c:pt>
                <c:pt idx="25">
                  <c:v>154.92012393757065</c:v>
                </c:pt>
                <c:pt idx="26">
                  <c:v>131.46799611812648</c:v>
                </c:pt>
                <c:pt idx="27">
                  <c:v>155.59856479059454</c:v>
                </c:pt>
                <c:pt idx="28">
                  <c:v>179.64007820340893</c:v>
                </c:pt>
                <c:pt idx="29">
                  <c:v>203.60614736350442</c:v>
                </c:pt>
                <c:pt idx="30">
                  <c:v>227.50690659831915</c:v>
                </c:pt>
                <c:pt idx="31">
                  <c:v>208.99762497430493</c:v>
                </c:pt>
                <c:pt idx="32">
                  <c:v>230.86843461387113</c:v>
                </c:pt>
                <c:pt idx="33">
                  <c:v>252.69188827494614</c:v>
                </c:pt>
                <c:pt idx="34">
                  <c:v>274.47265011228387</c:v>
                </c:pt>
                <c:pt idx="35">
                  <c:v>296.21458319381429</c:v>
                </c:pt>
                <c:pt idx="36">
                  <c:v>270.95694198990566</c:v>
                </c:pt>
                <c:pt idx="37">
                  <c:v>290.86614008068244</c:v>
                </c:pt>
                <c:pt idx="38">
                  <c:v>310.74490180919639</c:v>
                </c:pt>
                <c:pt idx="39">
                  <c:v>330.59544737419031</c:v>
                </c:pt>
                <c:pt idx="40">
                  <c:v>350.41970861300138</c:v>
                </c:pt>
                <c:pt idx="41">
                  <c:v>370.21938098909931</c:v>
                </c:pt>
                <c:pt idx="42">
                  <c:v>389.99596387103003</c:v>
                </c:pt>
                <c:pt idx="43">
                  <c:v>409.75079221165856</c:v>
                </c:pt>
                <c:pt idx="44">
                  <c:v>429.48506179810988</c:v>
                </c:pt>
                <c:pt idx="45">
                  <c:v>449.19984961855289</c:v>
                </c:pt>
                <c:pt idx="46">
                  <c:v>358.07619273123083</c:v>
                </c:pt>
                <c:pt idx="47">
                  <c:v>371.54960739396319</c:v>
                </c:pt>
                <c:pt idx="48">
                  <c:v>385.01237153030632</c:v>
                </c:pt>
                <c:pt idx="49">
                  <c:v>398.46491002936642</c:v>
                </c:pt>
                <c:pt idx="50">
                  <c:v>411.90761674960135</c:v>
                </c:pt>
                <c:pt idx="51">
                  <c:v>425.34085774511055</c:v>
                </c:pt>
                <c:pt idx="52">
                  <c:v>438.76497406308476</c:v>
                </c:pt>
                <c:pt idx="53">
                  <c:v>452.18028418105399</c:v>
                </c:pt>
                <c:pt idx="54">
                  <c:v>465.58708613984254</c:v>
                </c:pt>
                <c:pt idx="55">
                  <c:v>478.98565941806783</c:v>
                </c:pt>
                <c:pt idx="56">
                  <c:v>392.81938482304878</c:v>
                </c:pt>
                <c:pt idx="57">
                  <c:v>406.10022200250336</c:v>
                </c:pt>
                <c:pt idx="58">
                  <c:v>419.3716746420655</c:v>
                </c:pt>
                <c:pt idx="59">
                  <c:v>432.63408155595903</c:v>
                </c:pt>
                <c:pt idx="60">
                  <c:v>445.88775909204782</c:v>
                </c:pt>
                <c:pt idx="61">
                  <c:v>459.13300325911359</c:v>
                </c:pt>
                <c:pt idx="62">
                  <c:v>472.37009159588268</c:v>
                </c:pt>
                <c:pt idx="63">
                  <c:v>485.59928481966011</c:v>
                </c:pt>
                <c:pt idx="64">
                  <c:v>498.82082828597504</c:v>
                </c:pt>
                <c:pt idx="65">
                  <c:v>512.03495328543988</c:v>
                </c:pt>
                <c:pt idx="66">
                  <c:v>433.62840637542786</c:v>
                </c:pt>
                <c:pt idx="67">
                  <c:v>442.90642716499991</c:v>
                </c:pt>
                <c:pt idx="68">
                  <c:v>452.18028418105422</c:v>
                </c:pt>
                <c:pt idx="69">
                  <c:v>461.450074887337</c:v>
                </c:pt>
                <c:pt idx="70">
                  <c:v>470.71589251122288</c:v>
                </c:pt>
                <c:pt idx="71">
                  <c:v>479.97782630941884</c:v>
                </c:pt>
                <c:pt idx="72">
                  <c:v>489.23596181209012</c:v>
                </c:pt>
                <c:pt idx="73">
                  <c:v>498.49038104754089</c:v>
                </c:pt>
                <c:pt idx="74">
                  <c:v>507.74116274934266</c:v>
                </c:pt>
                <c:pt idx="75">
                  <c:v>516.98838254757902</c:v>
                </c:pt>
                <c:pt idx="76">
                  <c:v>6.6746200022902298E-12</c:v>
                </c:pt>
                <c:pt idx="77">
                  <c:v>6.6746200022902298E-12</c:v>
                </c:pt>
                <c:pt idx="78">
                  <c:v>6.6746200022902298E-12</c:v>
                </c:pt>
                <c:pt idx="79">
                  <c:v>6.6746200022902298E-12</c:v>
                </c:pt>
                <c:pt idx="80">
                  <c:v>6.6746200022902298E-12</c:v>
                </c:pt>
                <c:pt idx="81">
                  <c:v>6.6746200022902298E-12</c:v>
                </c:pt>
                <c:pt idx="82">
                  <c:v>6.6746200022902298E-12</c:v>
                </c:pt>
                <c:pt idx="83">
                  <c:v>6.6746200022902298E-12</c:v>
                </c:pt>
                <c:pt idx="84">
                  <c:v>6.6746200022902298E-12</c:v>
                </c:pt>
                <c:pt idx="85">
                  <c:v>6.6746200022902298E-12</c:v>
                </c:pt>
                <c:pt idx="86">
                  <c:v>6.6746200022902298E-12</c:v>
                </c:pt>
                <c:pt idx="87">
                  <c:v>6.6746200022902298E-12</c:v>
                </c:pt>
                <c:pt idx="88">
                  <c:v>6.6746200022902298E-12</c:v>
                </c:pt>
                <c:pt idx="89">
                  <c:v>6.6746200022902298E-12</c:v>
                </c:pt>
                <c:pt idx="90">
                  <c:v>6.6746200022902298E-12</c:v>
                </c:pt>
                <c:pt idx="91">
                  <c:v>6.6746200022902298E-12</c:v>
                </c:pt>
                <c:pt idx="92">
                  <c:v>6.6746200022902298E-12</c:v>
                </c:pt>
                <c:pt idx="93">
                  <c:v>6.6746200022902298E-12</c:v>
                </c:pt>
                <c:pt idx="94">
                  <c:v>6.6746200022902298E-12</c:v>
                </c:pt>
                <c:pt idx="95">
                  <c:v>6.6746200022902298E-12</c:v>
                </c:pt>
                <c:pt idx="96">
                  <c:v>6.6746200022902298E-12</c:v>
                </c:pt>
                <c:pt idx="97">
                  <c:v>6.6746200022902298E-12</c:v>
                </c:pt>
                <c:pt idx="98">
                  <c:v>6.6746200022902298E-12</c:v>
                </c:pt>
                <c:pt idx="99">
                  <c:v>6.6746200022902298E-12</c:v>
                </c:pt>
                <c:pt idx="100">
                  <c:v>6.6746200022902298E-12</c:v>
                </c:pt>
                <c:pt idx="101">
                  <c:v>6.6746200022902298E-12</c:v>
                </c:pt>
                <c:pt idx="102">
                  <c:v>6.6746200022902298E-12</c:v>
                </c:pt>
                <c:pt idx="103">
                  <c:v>6.6746200022902298E-12</c:v>
                </c:pt>
                <c:pt idx="104">
                  <c:v>6.6746200022902298E-12</c:v>
                </c:pt>
                <c:pt idx="105">
                  <c:v>6.6746200022902298E-12</c:v>
                </c:pt>
                <c:pt idx="106">
                  <c:v>6.6746200022902298E-12</c:v>
                </c:pt>
                <c:pt idx="107">
                  <c:v>6.6746200022902298E-12</c:v>
                </c:pt>
                <c:pt idx="108">
                  <c:v>6.6746200022902298E-12</c:v>
                </c:pt>
                <c:pt idx="109">
                  <c:v>6.6746200022902298E-12</c:v>
                </c:pt>
                <c:pt idx="110">
                  <c:v>6.6746200022902298E-12</c:v>
                </c:pt>
                <c:pt idx="111">
                  <c:v>6.6746200022902298E-12</c:v>
                </c:pt>
                <c:pt idx="112">
                  <c:v>6.6746200022902298E-12</c:v>
                </c:pt>
                <c:pt idx="113">
                  <c:v>6.6746200022902298E-12</c:v>
                </c:pt>
                <c:pt idx="114">
                  <c:v>6.6746200022902298E-12</c:v>
                </c:pt>
                <c:pt idx="115">
                  <c:v>6.6746200022902298E-12</c:v>
                </c:pt>
                <c:pt idx="116">
                  <c:v>6.6746200022902298E-12</c:v>
                </c:pt>
                <c:pt idx="117">
                  <c:v>6.6746200022902298E-12</c:v>
                </c:pt>
                <c:pt idx="118">
                  <c:v>6.6746200022902298E-12</c:v>
                </c:pt>
                <c:pt idx="119">
                  <c:v>6.6746200022902298E-12</c:v>
                </c:pt>
                <c:pt idx="120">
                  <c:v>6.6746200022902298E-12</c:v>
                </c:pt>
                <c:pt idx="121">
                  <c:v>6.6746200022902298E-12</c:v>
                </c:pt>
                <c:pt idx="122">
                  <c:v>6.6746200022902298E-12</c:v>
                </c:pt>
                <c:pt idx="123">
                  <c:v>6.6746200022902298E-12</c:v>
                </c:pt>
                <c:pt idx="124">
                  <c:v>6.6746200022902298E-12</c:v>
                </c:pt>
                <c:pt idx="125">
                  <c:v>6.6746200022902298E-12</c:v>
                </c:pt>
                <c:pt idx="126">
                  <c:v>6.6746200022902298E-12</c:v>
                </c:pt>
                <c:pt idx="127">
                  <c:v>6.6746200022902298E-12</c:v>
                </c:pt>
                <c:pt idx="128">
                  <c:v>6.6746200022902298E-12</c:v>
                </c:pt>
                <c:pt idx="129">
                  <c:v>6.6746200022902298E-12</c:v>
                </c:pt>
                <c:pt idx="130">
                  <c:v>6.6746200022902298E-12</c:v>
                </c:pt>
                <c:pt idx="131">
                  <c:v>6.6746200022902298E-12</c:v>
                </c:pt>
                <c:pt idx="132">
                  <c:v>6.6746200022902298E-12</c:v>
                </c:pt>
                <c:pt idx="133">
                  <c:v>6.6746200022902298E-12</c:v>
                </c:pt>
                <c:pt idx="134">
                  <c:v>6.6746200022902298E-12</c:v>
                </c:pt>
                <c:pt idx="135">
                  <c:v>6.6746200022902298E-12</c:v>
                </c:pt>
                <c:pt idx="136">
                  <c:v>6.6746200022902298E-12</c:v>
                </c:pt>
                <c:pt idx="137">
                  <c:v>6.6746200022902298E-12</c:v>
                </c:pt>
                <c:pt idx="138">
                  <c:v>6.6746200022902298E-12</c:v>
                </c:pt>
                <c:pt idx="139">
                  <c:v>6.6746200022902298E-12</c:v>
                </c:pt>
                <c:pt idx="140">
                  <c:v>6.6746200022902298E-12</c:v>
                </c:pt>
                <c:pt idx="141">
                  <c:v>6.6746200022902298E-12</c:v>
                </c:pt>
                <c:pt idx="142">
                  <c:v>6.6746200022902298E-12</c:v>
                </c:pt>
                <c:pt idx="143">
                  <c:v>6.6746200022902298E-12</c:v>
                </c:pt>
                <c:pt idx="144">
                  <c:v>6.6746200022902298E-12</c:v>
                </c:pt>
                <c:pt idx="145">
                  <c:v>6.6746200022902298E-12</c:v>
                </c:pt>
                <c:pt idx="146">
                  <c:v>6.6746200022902298E-12</c:v>
                </c:pt>
                <c:pt idx="147">
                  <c:v>6.6746200022902298E-12</c:v>
                </c:pt>
                <c:pt idx="148">
                  <c:v>6.6746200022902298E-12</c:v>
                </c:pt>
                <c:pt idx="149">
                  <c:v>6.6746200022902298E-12</c:v>
                </c:pt>
                <c:pt idx="150">
                  <c:v>6.6746200022902298E-12</c:v>
                </c:pt>
                <c:pt idx="151">
                  <c:v>6.6746200022902298E-12</c:v>
                </c:pt>
                <c:pt idx="152">
                  <c:v>6.6746200022902298E-12</c:v>
                </c:pt>
                <c:pt idx="153">
                  <c:v>6.6746200022902298E-12</c:v>
                </c:pt>
                <c:pt idx="154">
                  <c:v>6.6746200022902298E-12</c:v>
                </c:pt>
                <c:pt idx="155">
                  <c:v>6.6746200022902298E-12</c:v>
                </c:pt>
                <c:pt idx="156">
                  <c:v>6.6746200022902298E-12</c:v>
                </c:pt>
                <c:pt idx="157">
                  <c:v>6.6746200022902298E-12</c:v>
                </c:pt>
                <c:pt idx="158">
                  <c:v>6.6746200022902298E-12</c:v>
                </c:pt>
                <c:pt idx="159">
                  <c:v>6.6746200022902298E-12</c:v>
                </c:pt>
                <c:pt idx="160">
                  <c:v>6.6746200022902298E-12</c:v>
                </c:pt>
                <c:pt idx="161">
                  <c:v>6.6746200022902298E-12</c:v>
                </c:pt>
                <c:pt idx="162">
                  <c:v>6.6746200022902298E-12</c:v>
                </c:pt>
                <c:pt idx="163">
                  <c:v>6.6746200022902298E-12</c:v>
                </c:pt>
                <c:pt idx="164">
                  <c:v>6.6746200022902298E-12</c:v>
                </c:pt>
                <c:pt idx="165">
                  <c:v>6.6746200022902298E-12</c:v>
                </c:pt>
                <c:pt idx="166">
                  <c:v>6.6746200022902298E-12</c:v>
                </c:pt>
                <c:pt idx="167">
                  <c:v>6.6746200022902298E-12</c:v>
                </c:pt>
                <c:pt idx="168">
                  <c:v>6.6746200022902298E-12</c:v>
                </c:pt>
                <c:pt idx="169">
                  <c:v>6.6746200022902298E-12</c:v>
                </c:pt>
                <c:pt idx="170">
                  <c:v>6.6746200022902298E-12</c:v>
                </c:pt>
                <c:pt idx="171">
                  <c:v>6.6746200022902298E-12</c:v>
                </c:pt>
                <c:pt idx="172">
                  <c:v>6.6746200022902298E-12</c:v>
                </c:pt>
                <c:pt idx="173">
                  <c:v>6.6746200022902298E-12</c:v>
                </c:pt>
                <c:pt idx="174">
                  <c:v>6.6746200022902298E-12</c:v>
                </c:pt>
                <c:pt idx="175">
                  <c:v>6.6746200022902298E-12</c:v>
                </c:pt>
                <c:pt idx="176">
                  <c:v>6.6746200022902298E-12</c:v>
                </c:pt>
                <c:pt idx="177">
                  <c:v>6.6746200022902298E-12</c:v>
                </c:pt>
                <c:pt idx="178">
                  <c:v>6.6746200022902298E-12</c:v>
                </c:pt>
                <c:pt idx="179">
                  <c:v>6.6746200022902298E-12</c:v>
                </c:pt>
                <c:pt idx="180">
                  <c:v>6.6746200022902298E-12</c:v>
                </c:pt>
                <c:pt idx="181">
                  <c:v>6.6746200022902298E-12</c:v>
                </c:pt>
                <c:pt idx="182">
                  <c:v>6.6746200022902298E-12</c:v>
                </c:pt>
                <c:pt idx="183">
                  <c:v>6.6746200022902298E-12</c:v>
                </c:pt>
                <c:pt idx="184">
                  <c:v>6.6746200022902298E-12</c:v>
                </c:pt>
                <c:pt idx="185">
                  <c:v>6.6746200022902298E-12</c:v>
                </c:pt>
                <c:pt idx="186">
                  <c:v>6.6746200022902298E-12</c:v>
                </c:pt>
                <c:pt idx="187">
                  <c:v>6.6746200022902298E-12</c:v>
                </c:pt>
                <c:pt idx="188">
                  <c:v>6.6746200022902298E-12</c:v>
                </c:pt>
                <c:pt idx="189">
                  <c:v>6.6746200022902298E-12</c:v>
                </c:pt>
                <c:pt idx="190">
                  <c:v>6.6746200022902298E-12</c:v>
                </c:pt>
                <c:pt idx="191">
                  <c:v>6.6746200022902298E-12</c:v>
                </c:pt>
                <c:pt idx="192">
                  <c:v>6.6746200022902298E-12</c:v>
                </c:pt>
                <c:pt idx="193">
                  <c:v>6.6746200022902298E-12</c:v>
                </c:pt>
                <c:pt idx="194">
                  <c:v>6.6746200022902298E-12</c:v>
                </c:pt>
                <c:pt idx="195">
                  <c:v>6.6746200022902298E-12</c:v>
                </c:pt>
                <c:pt idx="196">
                  <c:v>6.6746200022902298E-12</c:v>
                </c:pt>
                <c:pt idx="197">
                  <c:v>6.6746200022902298E-12</c:v>
                </c:pt>
                <c:pt idx="198">
                  <c:v>6.6746200022902298E-12</c:v>
                </c:pt>
                <c:pt idx="199">
                  <c:v>6.6746200022902298E-12</c:v>
                </c:pt>
                <c:pt idx="200">
                  <c:v>6.6746200022902298E-12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2.9499424774398109</c:v>
                </c:pt>
                <c:pt idx="2">
                  <c:v>3.5322712998141292</c:v>
                </c:pt>
                <c:pt idx="3">
                  <c:v>4.2299796423063247</c:v>
                </c:pt>
                <c:pt idx="4">
                  <c:v>5.0660077681280073</c:v>
                </c:pt>
                <c:pt idx="5">
                  <c:v>6.0678718432979295</c:v>
                </c:pt>
                <c:pt idx="6">
                  <c:v>7.2685794435074236</c:v>
                </c:pt>
                <c:pt idx="7">
                  <c:v>8.707728736258824</c:v>
                </c:pt>
                <c:pt idx="8">
                  <c:v>10.432828282263435</c:v>
                </c:pt>
                <c:pt idx="9">
                  <c:v>12.500881848154869</c:v>
                </c:pt>
                <c:pt idx="10">
                  <c:v>14.98029157537014</c:v>
                </c:pt>
                <c:pt idx="11">
                  <c:v>17.953143612152349</c:v>
                </c:pt>
                <c:pt idx="12">
                  <c:v>21.517953253369303</c:v>
                </c:pt>
                <c:pt idx="13">
                  <c:v>25.792962186854144</c:v>
                </c:pt>
                <c:pt idx="14">
                  <c:v>30.920099145277529</c:v>
                </c:pt>
                <c:pt idx="15">
                  <c:v>37.069737746726702</c:v>
                </c:pt>
                <c:pt idx="16">
                  <c:v>44.446412342171662</c:v>
                </c:pt>
                <c:pt idx="17">
                  <c:v>53.29568519652458</c:v>
                </c:pt>
                <c:pt idx="18">
                  <c:v>63.912397422094891</c:v>
                </c:pt>
                <c:pt idx="19">
                  <c:v>76.650583094416518</c:v>
                </c:pt>
                <c:pt idx="20">
                  <c:v>91.935382517505545</c:v>
                </c:pt>
                <c:pt idx="21">
                  <c:v>105.33256160896025</c:v>
                </c:pt>
                <c:pt idx="22">
                  <c:v>118.68765703693884</c:v>
                </c:pt>
                <c:pt idx="23">
                  <c:v>132.00607910533233</c:v>
                </c:pt>
                <c:pt idx="24">
                  <c:v>145.29205371594364</c:v>
                </c:pt>
                <c:pt idx="25">
                  <c:v>158.54896885113661</c:v>
                </c:pt>
                <c:pt idx="26">
                  <c:v>171.77959852127819</c:v>
                </c:pt>
                <c:pt idx="27">
                  <c:v>184.98625382636752</c:v>
                </c:pt>
                <c:pt idx="28">
                  <c:v>198.17088847838662</c:v>
                </c:pt>
                <c:pt idx="29">
                  <c:v>211.33517469493427</c:v>
                </c:pt>
                <c:pt idx="30">
                  <c:v>224.48055915021371</c:v>
                </c:pt>
                <c:pt idx="31">
                  <c:v>181.0056966472836</c:v>
                </c:pt>
                <c:pt idx="32">
                  <c:v>198.17088847838662</c:v>
                </c:pt>
                <c:pt idx="33">
                  <c:v>215.30158542445329</c:v>
                </c:pt>
                <c:pt idx="34">
                  <c:v>232.40091885863032</c:v>
                </c:pt>
                <c:pt idx="35">
                  <c:v>249.47152135339442</c:v>
                </c:pt>
                <c:pt idx="36">
                  <c:v>266.51563557170846</c:v>
                </c:pt>
                <c:pt idx="37">
                  <c:v>283.53519379457327</c:v>
                </c:pt>
                <c:pt idx="38">
                  <c:v>300.53187732710791</c:v>
                </c:pt>
                <c:pt idx="39">
                  <c:v>317.50716174761413</c:v>
                </c:pt>
                <c:pt idx="40">
                  <c:v>334.46235196533485</c:v>
                </c:pt>
                <c:pt idx="41">
                  <c:v>264.64617237974602</c:v>
                </c:pt>
                <c:pt idx="42">
                  <c:v>281.875781441058</c:v>
                </c:pt>
                <c:pt idx="43">
                  <c:v>299.08179593347916</c:v>
                </c:pt>
                <c:pt idx="44">
                  <c:v>316.26576406048815</c:v>
                </c:pt>
                <c:pt idx="45">
                  <c:v>333.42905204366178</c:v>
                </c:pt>
                <c:pt idx="46">
                  <c:v>350.57287397635611</c:v>
                </c:pt>
                <c:pt idx="47">
                  <c:v>367.69831552955276</c:v>
                </c:pt>
                <c:pt idx="48">
                  <c:v>384.80635300902651</c:v>
                </c:pt>
                <c:pt idx="49">
                  <c:v>401.89786884571572</c:v>
                </c:pt>
                <c:pt idx="50">
                  <c:v>418.97366431319239</c:v>
                </c:pt>
                <c:pt idx="51">
                  <c:v>348.5083475091464</c:v>
                </c:pt>
                <c:pt idx="52">
                  <c:v>364.60467177597531</c:v>
                </c:pt>
                <c:pt idx="53">
                  <c:v>380.6854771904396</c:v>
                </c:pt>
                <c:pt idx="54">
                  <c:v>396.75151144221542</c:v>
                </c:pt>
                <c:pt idx="55">
                  <c:v>412.80345673799087</c:v>
                </c:pt>
                <c:pt idx="56">
                  <c:v>428.8419379127327</c:v>
                </c:pt>
                <c:pt idx="57">
                  <c:v>444.8675292642634</c:v>
                </c:pt>
                <c:pt idx="58">
                  <c:v>460.88076035176641</c:v>
                </c:pt>
                <c:pt idx="59">
                  <c:v>476.88212094653846</c:v>
                </c:pt>
                <c:pt idx="60">
                  <c:v>492.87206528378442</c:v>
                </c:pt>
                <c:pt idx="61">
                  <c:v>421.02996350009477</c:v>
                </c:pt>
                <c:pt idx="62">
                  <c:v>435.41806774560138</c:v>
                </c:pt>
                <c:pt idx="63">
                  <c:v>449.7959702900439</c:v>
                </c:pt>
                <c:pt idx="64">
                  <c:v>464.16404310302801</c:v>
                </c:pt>
                <c:pt idx="65">
                  <c:v>478.5226332523373</c:v>
                </c:pt>
                <c:pt idx="66">
                  <c:v>492.87206528378442</c:v>
                </c:pt>
                <c:pt idx="67">
                  <c:v>507.21264330953494</c:v>
                </c:pt>
                <c:pt idx="68">
                  <c:v>521.54465284801927</c:v>
                </c:pt>
                <c:pt idx="69">
                  <c:v>535.86836245112841</c:v>
                </c:pt>
                <c:pt idx="70">
                  <c:v>550.18402514843262</c:v>
                </c:pt>
                <c:pt idx="71">
                  <c:v>476.67704847595706</c:v>
                </c:pt>
                <c:pt idx="72">
                  <c:v>489.18306881439611</c:v>
                </c:pt>
                <c:pt idx="73">
                  <c:v>501.6823078361254</c:v>
                </c:pt>
                <c:pt idx="74">
                  <c:v>514.17495828122071</c:v>
                </c:pt>
                <c:pt idx="75">
                  <c:v>526.66120276156892</c:v>
                </c:pt>
                <c:pt idx="76">
                  <c:v>539.14121452564848</c:v>
                </c:pt>
                <c:pt idx="77">
                  <c:v>551.61515814882478</c:v>
                </c:pt>
                <c:pt idx="78">
                  <c:v>564.0831901579752</c:v>
                </c:pt>
                <c:pt idx="79">
                  <c:v>576.54545959803352</c:v>
                </c:pt>
                <c:pt idx="80">
                  <c:v>589.00210854701334</c:v>
                </c:pt>
                <c:pt idx="81">
                  <c:v>514.58444394878381</c:v>
                </c:pt>
                <c:pt idx="82">
                  <c:v>526.04727227111459</c:v>
                </c:pt>
                <c:pt idx="83">
                  <c:v>537.50484084926575</c:v>
                </c:pt>
                <c:pt idx="84">
                  <c:v>548.95727759071076</c:v>
                </c:pt>
                <c:pt idx="85">
                  <c:v>560.4047046315701</c:v>
                </c:pt>
                <c:pt idx="86">
                  <c:v>571.84723871208837</c:v>
                </c:pt>
                <c:pt idx="87">
                  <c:v>583.28499152050256</c:v>
                </c:pt>
                <c:pt idx="88">
                  <c:v>594.71807000854108</c:v>
                </c:pt>
                <c:pt idx="89">
                  <c:v>606.14657668140865</c:v>
                </c:pt>
                <c:pt idx="90">
                  <c:v>617.57060986477029</c:v>
                </c:pt>
                <c:pt idx="91">
                  <c:v>541.80009933248812</c:v>
                </c:pt>
                <c:pt idx="92">
                  <c:v>551.81959936072542</c:v>
                </c:pt>
                <c:pt idx="93">
                  <c:v>561.83528663769869</c:v>
                </c:pt>
                <c:pt idx="94">
                  <c:v>571.84723871208837</c:v>
                </c:pt>
                <c:pt idx="95">
                  <c:v>581.85553019581005</c:v>
                </c:pt>
                <c:pt idx="96">
                  <c:v>591.86023292490881</c:v>
                </c:pt>
                <c:pt idx="97">
                  <c:v>601.86141610901029</c:v>
                </c:pt>
                <c:pt idx="98">
                  <c:v>611.85914647032121</c:v>
                </c:pt>
                <c:pt idx="99">
                  <c:v>621.85348837307913</c:v>
                </c:pt>
                <c:pt idx="100">
                  <c:v>631.84450394424505</c:v>
                </c:pt>
                <c:pt idx="101">
                  <c:v>555.09044325536786</c:v>
                </c:pt>
                <c:pt idx="102">
                  <c:v>564.0831901579752</c:v>
                </c:pt>
                <c:pt idx="103">
                  <c:v>573.072938996895</c:v>
                </c:pt>
                <c:pt idx="104">
                  <c:v>582.05974343549497</c:v>
                </c:pt>
                <c:pt idx="105">
                  <c:v>591.04365534487897</c:v>
                </c:pt>
                <c:pt idx="106">
                  <c:v>600.02472489066179</c:v>
                </c:pt>
                <c:pt idx="107">
                  <c:v>609.00300061428106</c:v>
                </c:pt>
                <c:pt idx="108">
                  <c:v>617.97852950926347</c:v>
                </c:pt>
                <c:pt idx="109">
                  <c:v>626.95135709283238</c:v>
                </c:pt>
                <c:pt idx="110">
                  <c:v>635.9215274732029</c:v>
                </c:pt>
                <c:pt idx="111">
                  <c:v>563.87884304786564</c:v>
                </c:pt>
                <c:pt idx="112">
                  <c:v>571.43865976099494</c:v>
                </c:pt>
                <c:pt idx="113">
                  <c:v>578.99638763382347</c:v>
                </c:pt>
                <c:pt idx="114">
                  <c:v>586.55205778199377</c:v>
                </c:pt>
                <c:pt idx="115">
                  <c:v>594.10570045401585</c:v>
                </c:pt>
                <c:pt idx="116">
                  <c:v>601.65734506638853</c:v>
                </c:pt>
                <c:pt idx="117">
                  <c:v>609.20702023686715</c:v>
                </c:pt>
                <c:pt idx="118">
                  <c:v>616.75475381599517</c:v>
                </c:pt>
                <c:pt idx="119">
                  <c:v>624.3005729170128</c:v>
                </c:pt>
                <c:pt idx="120">
                  <c:v>631.84450394424448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1.5393896938194491</c:v>
                </c:pt>
                <c:pt idx="2">
                  <c:v>1.9340929760579824</c:v>
                </c:pt>
                <c:pt idx="3">
                  <c:v>2.4304041826975693</c:v>
                </c:pt>
                <c:pt idx="4">
                  <c:v>3.0545787484439804</c:v>
                </c:pt>
                <c:pt idx="5">
                  <c:v>3.839680427957596</c:v>
                </c:pt>
                <c:pt idx="6">
                  <c:v>4.8273525502098815</c:v>
                </c:pt>
                <c:pt idx="7">
                  <c:v>6.0700514754683512</c:v>
                </c:pt>
                <c:pt idx="8">
                  <c:v>7.6338631993393991</c:v>
                </c:pt>
                <c:pt idx="9">
                  <c:v>9.6020557757857823</c:v>
                </c:pt>
                <c:pt idx="10">
                  <c:v>12.079560300720253</c:v>
                </c:pt>
                <c:pt idx="11">
                  <c:v>15.198623807640407</c:v>
                </c:pt>
                <c:pt idx="12">
                  <c:v>19.125941354992019</c:v>
                </c:pt>
                <c:pt idx="13">
                  <c:v>24.071655343316234</c:v>
                </c:pt>
                <c:pt idx="14">
                  <c:v>30.300712128179242</c:v>
                </c:pt>
                <c:pt idx="15">
                  <c:v>38.147194904899251</c:v>
                </c:pt>
                <c:pt idx="16">
                  <c:v>48.03241472919786</c:v>
                </c:pt>
                <c:pt idx="17">
                  <c:v>60.487747376389791</c:v>
                </c:pt>
                <c:pt idx="18">
                  <c:v>76.183463875958196</c:v>
                </c:pt>
                <c:pt idx="19">
                  <c:v>95.96513133539338</c:v>
                </c:pt>
                <c:pt idx="20">
                  <c:v>120.89957623101225</c:v>
                </c:pt>
                <c:pt idx="21">
                  <c:v>120.49003654699459</c:v>
                </c:pt>
                <c:pt idx="22">
                  <c:v>127.1409435652896</c:v>
                </c:pt>
                <c:pt idx="23">
                  <c:v>133.78342099832221</c:v>
                </c:pt>
                <c:pt idx="24">
                  <c:v>140.41794724133206</c:v>
                </c:pt>
                <c:pt idx="25">
                  <c:v>147.04495169244021</c:v>
                </c:pt>
                <c:pt idx="26">
                  <c:v>153.66482180332244</c:v>
                </c:pt>
                <c:pt idx="27">
                  <c:v>160.27790884848659</c:v>
                </c:pt>
                <c:pt idx="28">
                  <c:v>166.88453269044854</c:v>
                </c:pt>
                <c:pt idx="29">
                  <c:v>173.48498574926046</c:v>
                </c:pt>
                <c:pt idx="30">
                  <c:v>180.07953633511514</c:v>
                </c:pt>
                <c:pt idx="31">
                  <c:v>161.3963988836461</c:v>
                </c:pt>
                <c:pt idx="32">
                  <c:v>168.50982140403696</c:v>
                </c:pt>
                <c:pt idx="33">
                  <c:v>175.61616597279638</c:v>
                </c:pt>
                <c:pt idx="34">
                  <c:v>182.71575986748618</c:v>
                </c:pt>
                <c:pt idx="35">
                  <c:v>189.8089028116103</c:v>
                </c:pt>
                <c:pt idx="36">
                  <c:v>196.89587026062091</c:v>
                </c:pt>
                <c:pt idx="37">
                  <c:v>203.97691618927138</c:v>
                </c:pt>
                <c:pt idx="38">
                  <c:v>211.05227547104286</c:v>
                </c:pt>
                <c:pt idx="39">
                  <c:v>218.12216592131372</c:v>
                </c:pt>
                <c:pt idx="40">
                  <c:v>225.18679006138439</c:v>
                </c:pt>
                <c:pt idx="41">
                  <c:v>185.45243509395621</c:v>
                </c:pt>
                <c:pt idx="42">
                  <c:v>192.54316466070131</c:v>
                </c:pt>
                <c:pt idx="43">
                  <c:v>199.62781910044532</c:v>
                </c:pt>
                <c:pt idx="44">
                  <c:v>206.70664475823108</c:v>
                </c:pt>
                <c:pt idx="45">
                  <c:v>213.77986970233792</c:v>
                </c:pt>
                <c:pt idx="46">
                  <c:v>220.8477056536926</c:v>
                </c:pt>
                <c:pt idx="47">
                  <c:v>227.91034965501251</c:v>
                </c:pt>
                <c:pt idx="48">
                  <c:v>234.96798552194124</c:v>
                </c:pt>
                <c:pt idx="49">
                  <c:v>242.02078511048447</c:v>
                </c:pt>
                <c:pt idx="50">
                  <c:v>249.06890942879204</c:v>
                </c:pt>
                <c:pt idx="51">
                  <c:v>210.44603337328724</c:v>
                </c:pt>
                <c:pt idx="52">
                  <c:v>218.52599874468254</c:v>
                </c:pt>
                <c:pt idx="53">
                  <c:v>226.59909976948109</c:v>
                </c:pt>
                <c:pt idx="54">
                  <c:v>234.6656157923758</c:v>
                </c:pt>
                <c:pt idx="55">
                  <c:v>242.72580536134669</c:v>
                </c:pt>
                <c:pt idx="56">
                  <c:v>250.77990843042718</c:v>
                </c:pt>
                <c:pt idx="57">
                  <c:v>258.82814826436976</c:v>
                </c:pt>
                <c:pt idx="58">
                  <c:v>266.87073309376296</c:v>
                </c:pt>
                <c:pt idx="59">
                  <c:v>274.90785755999178</c:v>
                </c:pt>
                <c:pt idx="60">
                  <c:v>282.93970398221973</c:v>
                </c:pt>
                <c:pt idx="61">
                  <c:v>243.93430319999138</c:v>
                </c:pt>
                <c:pt idx="62">
                  <c:v>251.48436037421268</c:v>
                </c:pt>
                <c:pt idx="63">
                  <c:v>259.02928096815748</c:v>
                </c:pt>
                <c:pt idx="64">
                  <c:v>266.56923588073721</c:v>
                </c:pt>
                <c:pt idx="65">
                  <c:v>274.10438554233065</c:v>
                </c:pt>
                <c:pt idx="66">
                  <c:v>281.63488083258886</c:v>
                </c:pt>
                <c:pt idx="67">
                  <c:v>289.160863894849</c:v>
                </c:pt>
                <c:pt idx="68">
                  <c:v>296.68246886125024</c:v>
                </c:pt>
                <c:pt idx="69">
                  <c:v>304.19982250040647</c:v>
                </c:pt>
                <c:pt idx="70">
                  <c:v>311.71304479765791</c:v>
                </c:pt>
                <c:pt idx="71">
                  <c:v>272.99952502719981</c:v>
                </c:pt>
                <c:pt idx="72">
                  <c:v>280.73146236841148</c:v>
                </c:pt>
                <c:pt idx="73">
                  <c:v>288.45862606345253</c:v>
                </c:pt>
                <c:pt idx="74">
                  <c:v>296.18116215846925</c:v>
                </c:pt>
                <c:pt idx="75">
                  <c:v>303.89920845414628</c:v>
                </c:pt>
                <c:pt idx="76">
                  <c:v>311.6128951734467</c:v>
                </c:pt>
                <c:pt idx="77">
                  <c:v>319.3223455597273</c:v>
                </c:pt>
                <c:pt idx="78">
                  <c:v>327.02767641403034</c:v>
                </c:pt>
                <c:pt idx="79">
                  <c:v>334.72899857905378</c:v>
                </c:pt>
                <c:pt idx="80">
                  <c:v>342.42641737622415</c:v>
                </c:pt>
                <c:pt idx="81">
                  <c:v>304.40022819227744</c:v>
                </c:pt>
                <c:pt idx="82">
                  <c:v>312.71450180432913</c:v>
                </c:pt>
                <c:pt idx="83">
                  <c:v>321.02387288556099</c:v>
                </c:pt>
                <c:pt idx="84">
                  <c:v>329.32848633594546</c:v>
                </c:pt>
                <c:pt idx="85">
                  <c:v>337.62847914518375</c:v>
                </c:pt>
                <c:pt idx="86">
                  <c:v>345.92398101265036</c:v>
                </c:pt>
                <c:pt idx="87">
                  <c:v>354.21511490472858</c:v>
                </c:pt>
                <c:pt idx="88">
                  <c:v>362.50199755720956</c:v>
                </c:pt>
                <c:pt idx="89">
                  <c:v>370.78473992932794</c:v>
                </c:pt>
                <c:pt idx="90">
                  <c:v>379.06344761508905</c:v>
                </c:pt>
                <c:pt idx="91">
                  <c:v>341.12712268545346</c:v>
                </c:pt>
                <c:pt idx="92">
                  <c:v>349.42076801278273</c:v>
                </c:pt>
                <c:pt idx="93">
                  <c:v>357.71009532310563</c:v>
                </c:pt>
                <c:pt idx="94">
                  <c:v>365.99521886354137</c:v>
                </c:pt>
                <c:pt idx="95">
                  <c:v>374.27624728301316</c:v>
                </c:pt>
                <c:pt idx="96">
                  <c:v>382.55328402706982</c:v>
                </c:pt>
                <c:pt idx="97">
                  <c:v>390.82642769673799</c:v>
                </c:pt>
                <c:pt idx="98">
                  <c:v>399.09577237538946</c:v>
                </c:pt>
                <c:pt idx="99">
                  <c:v>407.36140792709375</c:v>
                </c:pt>
                <c:pt idx="100">
                  <c:v>415.62342026948232</c:v>
                </c:pt>
                <c:pt idx="101">
                  <c:v>378.1659483420201</c:v>
                </c:pt>
                <c:pt idx="102">
                  <c:v>386.83985045971798</c:v>
                </c:pt>
                <c:pt idx="103">
                  <c:v>395.50952933718435</c:v>
                </c:pt>
                <c:pt idx="104">
                  <c:v>404.17509065511155</c:v>
                </c:pt>
                <c:pt idx="105">
                  <c:v>412.83663519043193</c:v>
                </c:pt>
                <c:pt idx="106">
                  <c:v>421.49425914421028</c:v>
                </c:pt>
                <c:pt idx="107">
                  <c:v>430.14805444118133</c:v>
                </c:pt>
                <c:pt idx="108">
                  <c:v>438.7981090039205</c:v>
                </c:pt>
                <c:pt idx="109">
                  <c:v>447.44450700426086</c:v>
                </c:pt>
                <c:pt idx="110">
                  <c:v>456.08732909426044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2.2925413549237668</c:v>
                </c:pt>
                <c:pt idx="2">
                  <c:v>2.7853854125111419</c:v>
                </c:pt>
                <c:pt idx="3">
                  <c:v>3.3845827049449433</c:v>
                </c:pt>
                <c:pt idx="4">
                  <c:v>4.1131658555691564</c:v>
                </c:pt>
                <c:pt idx="5">
                  <c:v>4.9991722755973571</c:v>
                </c:pt>
                <c:pt idx="6">
                  <c:v>6.0767350347406106</c:v>
                </c:pt>
                <c:pt idx="7">
                  <c:v>7.3874121842109552</c:v>
                </c:pt>
                <c:pt idx="8">
                  <c:v>8.9818067919321507</c:v>
                </c:pt>
                <c:pt idx="9">
                  <c:v>10.92154143059823</c:v>
                </c:pt>
                <c:pt idx="10">
                  <c:v>13.28166486769487</c:v>
                </c:pt>
                <c:pt idx="11">
                  <c:v>16.15358580033239</c:v>
                </c:pt>
                <c:pt idx="12">
                  <c:v>19.648649337549152</c:v>
                </c:pt>
                <c:pt idx="13">
                  <c:v>23.902497389939708</c:v>
                </c:pt>
                <c:pt idx="14">
                  <c:v>29.080385196167239</c:v>
                </c:pt>
                <c:pt idx="15">
                  <c:v>35.383664137776321</c:v>
                </c:pt>
                <c:pt idx="16">
                  <c:v>43.057687281622897</c:v>
                </c:pt>
                <c:pt idx="17">
                  <c:v>52.401450592088082</c:v>
                </c:pt>
                <c:pt idx="18">
                  <c:v>63.779351731204777</c:v>
                </c:pt>
                <c:pt idx="19">
                  <c:v>77.63553257203192</c:v>
                </c:pt>
                <c:pt idx="20">
                  <c:v>94.511374358021442</c:v>
                </c:pt>
                <c:pt idx="21">
                  <c:v>76.553135365337411</c:v>
                </c:pt>
                <c:pt idx="22">
                  <c:v>92.57439481805693</c:v>
                </c:pt>
                <c:pt idx="23">
                  <c:v>108.52620233663954</c:v>
                </c:pt>
                <c:pt idx="24">
                  <c:v>124.42023577374732</c:v>
                </c:pt>
                <c:pt idx="25">
                  <c:v>140.26492914271279</c:v>
                </c:pt>
                <c:pt idx="26">
                  <c:v>156.06664796267964</c:v>
                </c:pt>
                <c:pt idx="27">
                  <c:v>171.83035982716311</c:v>
                </c:pt>
                <c:pt idx="28">
                  <c:v>187.56004452662785</c:v>
                </c:pt>
                <c:pt idx="29">
                  <c:v>203.2589587471665</c:v>
                </c:pt>
                <c:pt idx="30">
                  <c:v>218.92981441202707</c:v>
                </c:pt>
                <c:pt idx="31">
                  <c:v>165.14709205738814</c:v>
                </c:pt>
                <c:pt idx="32">
                  <c:v>178.03076976297575</c:v>
                </c:pt>
                <c:pt idx="33">
                  <c:v>190.89258969220046</c:v>
                </c:pt>
                <c:pt idx="34">
                  <c:v>203.73423290528615</c:v>
                </c:pt>
                <c:pt idx="35">
                  <c:v>216.5571510121564</c:v>
                </c:pt>
                <c:pt idx="36">
                  <c:v>229.36260951922031</c:v>
                </c:pt>
                <c:pt idx="37">
                  <c:v>242.15172097259355</c:v>
                </c:pt>
                <c:pt idx="38">
                  <c:v>254.92547072290634</c:v>
                </c:pt>
                <c:pt idx="39">
                  <c:v>267.68473724938116</c:v>
                </c:pt>
                <c:pt idx="40">
                  <c:v>280.43030840202363</c:v>
                </c:pt>
                <c:pt idx="41">
                  <c:v>223.6733757126764</c:v>
                </c:pt>
                <c:pt idx="42">
                  <c:v>233.15363346521647</c:v>
                </c:pt>
                <c:pt idx="43">
                  <c:v>242.62509103866606</c:v>
                </c:pt>
                <c:pt idx="44">
                  <c:v>252.08814071355721</c:v>
                </c:pt>
                <c:pt idx="45">
                  <c:v>261.54314288612386</c:v>
                </c:pt>
                <c:pt idx="46">
                  <c:v>270.99042974399339</c:v>
                </c:pt>
                <c:pt idx="47">
                  <c:v>280.43030840202363</c:v>
                </c:pt>
                <c:pt idx="48">
                  <c:v>289.86306359345832</c:v>
                </c:pt>
                <c:pt idx="49">
                  <c:v>299.28895999218292</c:v>
                </c:pt>
                <c:pt idx="50">
                  <c:v>308.70824422691641</c:v>
                </c:pt>
                <c:pt idx="51">
                  <c:v>266.89753247434771</c:v>
                </c:pt>
                <c:pt idx="52">
                  <c:v>273.82315783622602</c:v>
                </c:pt>
                <c:pt idx="53">
                  <c:v>280.74484682091673</c:v>
                </c:pt>
                <c:pt idx="54">
                  <c:v>287.66271028876605</c:v>
                </c:pt>
                <c:pt idx="55">
                  <c:v>294.57685332640881</c:v>
                </c:pt>
                <c:pt idx="56">
                  <c:v>301.48737567895461</c:v>
                </c:pt>
                <c:pt idx="57">
                  <c:v>308.39437214044113</c:v>
                </c:pt>
                <c:pt idx="58">
                  <c:v>315.29793290744811</c:v>
                </c:pt>
                <c:pt idx="59">
                  <c:v>322.19814390009697</c:v>
                </c:pt>
                <c:pt idx="60">
                  <c:v>329.09508705409206</c:v>
                </c:pt>
                <c:pt idx="61">
                  <c:v>302.74345277160893</c:v>
                </c:pt>
                <c:pt idx="62">
                  <c:v>307.76660666579431</c:v>
                </c:pt>
                <c:pt idx="63">
                  <c:v>312.78793918133044</c:v>
                </c:pt>
                <c:pt idx="64">
                  <c:v>317.80748372626402</c:v>
                </c:pt>
                <c:pt idx="65">
                  <c:v>322.82527256570933</c:v>
                </c:pt>
                <c:pt idx="66">
                  <c:v>327.84133687851204</c:v>
                </c:pt>
                <c:pt idx="67">
                  <c:v>332.85570681025939</c:v>
                </c:pt>
                <c:pt idx="68">
                  <c:v>337.8684115229251</c:v>
                </c:pt>
                <c:pt idx="69">
                  <c:v>342.87947924141309</c:v>
                </c:pt>
                <c:pt idx="70">
                  <c:v>347.88893729723367</c:v>
                </c:pt>
                <c:pt idx="71">
                  <c:v>326.74421862455461</c:v>
                </c:pt>
                <c:pt idx="72">
                  <c:v>330.66212656242277</c:v>
                </c:pt>
                <c:pt idx="73">
                  <c:v>334.57901043510515</c:v>
                </c:pt>
                <c:pt idx="74">
                  <c:v>338.49488394193014</c:v>
                </c:pt>
                <c:pt idx="75">
                  <c:v>342.40976043891669</c:v>
                </c:pt>
                <c:pt idx="76">
                  <c:v>346.3236529512954</c:v>
                </c:pt>
                <c:pt idx="77">
                  <c:v>350.23657418543257</c:v>
                </c:pt>
                <c:pt idx="78">
                  <c:v>354.14853654019339</c:v>
                </c:pt>
                <c:pt idx="79">
                  <c:v>358.05955211777615</c:v>
                </c:pt>
                <c:pt idx="80">
                  <c:v>361.96963273404782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80" zoomScaleNormal="80" workbookViewId="0">
      <selection activeCell="I17" sqref="I17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71.400000000000006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14</v>
      </c>
      <c r="C9" s="32">
        <v>0.5180611199955808</v>
      </c>
      <c r="D9" s="33">
        <f t="shared" ref="D9:D18" si="0">C9*$C$5</f>
        <v>36.989563967684475</v>
      </c>
      <c r="E9" s="34">
        <v>120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13</v>
      </c>
      <c r="C10" s="32">
        <v>7.0296152228777789E-2</v>
      </c>
      <c r="D10" s="33">
        <f t="shared" si="0"/>
        <v>5.0191452691347349</v>
      </c>
      <c r="E10" s="34">
        <v>90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36</v>
      </c>
      <c r="C11" s="32">
        <v>0.14180888767275684</v>
      </c>
      <c r="D11" s="33">
        <f t="shared" si="0"/>
        <v>10.12515457983484</v>
      </c>
      <c r="E11" s="34">
        <v>62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35</v>
      </c>
      <c r="C12" s="32">
        <v>0.19951034199134643</v>
      </c>
      <c r="D12" s="33">
        <f t="shared" si="0"/>
        <v>14.245038418182137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 t="s">
        <v>29</v>
      </c>
      <c r="C13" s="32">
        <v>5.2680785482380702E-3</v>
      </c>
      <c r="D13" s="33">
        <f t="shared" si="0"/>
        <v>0.37614080834419822</v>
      </c>
      <c r="E13" s="34">
        <v>75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 t="s">
        <v>1</v>
      </c>
      <c r="C14" s="32">
        <v>5.2680785482380702E-3</v>
      </c>
      <c r="D14" s="33">
        <f t="shared" si="0"/>
        <v>0.37614080834419822</v>
      </c>
      <c r="E14" s="34">
        <v>120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 t="s">
        <v>164</v>
      </c>
      <c r="C15" s="32">
        <v>9.8319327731092448E-3</v>
      </c>
      <c r="D15" s="33">
        <f t="shared" si="0"/>
        <v>0.70200000000000018</v>
      </c>
      <c r="E15" s="34">
        <v>110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 t="s">
        <v>8</v>
      </c>
      <c r="C16" s="32">
        <v>6.7258653993135173E-3</v>
      </c>
      <c r="D16" s="33">
        <f t="shared" si="0"/>
        <v>0.48022678951098519</v>
      </c>
      <c r="E16" s="34">
        <v>80</v>
      </c>
      <c r="F16" s="35" t="str">
        <f t="array" ref="F16">IF(E16="","",IF(INDEX(A:A,MAX(IF(ISNUMBER($A$218:$A$237),ROW($A$218:$A$237),"")))&lt;&gt;E16,"Corrigez : révolution incorrecte","OK"))</f>
        <v>OK</v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0.95677045715736075</v>
      </c>
      <c r="D19" s="38">
        <f>SUM(D9:D18)</f>
        <v>68.313410641035574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20</v>
      </c>
      <c r="B36" s="60">
        <v>42</v>
      </c>
      <c r="C36" s="60"/>
      <c r="D36" s="60"/>
      <c r="E36" s="51"/>
      <c r="F36" s="51"/>
      <c r="G36" s="51"/>
      <c r="H36" s="51"/>
      <c r="I36" s="49">
        <f>IFERROR(B36/A36,"")</f>
        <v>2.1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30</v>
      </c>
      <c r="B37" s="60">
        <v>105</v>
      </c>
      <c r="C37" s="60">
        <v>1</v>
      </c>
      <c r="D37" s="60">
        <f>21+8</f>
        <v>29</v>
      </c>
      <c r="E37" s="51"/>
      <c r="F37" s="51">
        <v>0.25</v>
      </c>
      <c r="G37" s="51">
        <v>0.25</v>
      </c>
      <c r="H37" s="51">
        <v>0.5</v>
      </c>
      <c r="I37" s="53">
        <f t="shared" ref="I37:I55" si="1">IF(A37&lt;&gt;0,(B37-(B36-D36))/(A37-A36),"")</f>
        <v>6.3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40</v>
      </c>
      <c r="B38" s="60">
        <v>158</v>
      </c>
      <c r="C38" s="60">
        <v>2</v>
      </c>
      <c r="D38" s="60">
        <f>21+21</f>
        <v>42</v>
      </c>
      <c r="E38" s="51"/>
      <c r="F38" s="51"/>
      <c r="G38" s="51"/>
      <c r="H38" s="51"/>
      <c r="I38" s="53">
        <f t="shared" si="1"/>
        <v>8.1999999999999993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50</v>
      </c>
      <c r="B39" s="60">
        <v>199</v>
      </c>
      <c r="C39" s="60">
        <v>3</v>
      </c>
      <c r="D39" s="60">
        <f t="shared" ref="D39:D44" si="2">21+21</f>
        <v>42</v>
      </c>
      <c r="E39" s="51"/>
      <c r="F39" s="51"/>
      <c r="G39" s="51"/>
      <c r="H39" s="51"/>
      <c r="I39" s="49">
        <f t="shared" si="1"/>
        <v>8.3000000000000007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60</v>
      </c>
      <c r="B40" s="60">
        <v>235</v>
      </c>
      <c r="C40" s="60">
        <v>4</v>
      </c>
      <c r="D40" s="60">
        <f t="shared" si="2"/>
        <v>42</v>
      </c>
      <c r="E40" s="51"/>
      <c r="F40" s="51"/>
      <c r="G40" s="51"/>
      <c r="H40" s="51"/>
      <c r="I40" s="49">
        <f t="shared" si="1"/>
        <v>7.8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70</v>
      </c>
      <c r="B41" s="60">
        <v>263</v>
      </c>
      <c r="C41" s="60">
        <v>5</v>
      </c>
      <c r="D41" s="60">
        <f t="shared" si="2"/>
        <v>42</v>
      </c>
      <c r="E41" s="51"/>
      <c r="F41" s="51"/>
      <c r="G41" s="51"/>
      <c r="H41" s="51"/>
      <c r="I41" s="53">
        <f t="shared" si="1"/>
        <v>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80</v>
      </c>
      <c r="B42" s="60">
        <v>282</v>
      </c>
      <c r="C42" s="60">
        <v>6</v>
      </c>
      <c r="D42" s="60">
        <f t="shared" si="2"/>
        <v>42</v>
      </c>
      <c r="E42" s="51"/>
      <c r="F42" s="51"/>
      <c r="G42" s="51"/>
      <c r="H42" s="51"/>
      <c r="I42" s="53">
        <f t="shared" si="1"/>
        <v>6.1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90</v>
      </c>
      <c r="B43" s="60">
        <v>296</v>
      </c>
      <c r="C43" s="60">
        <v>7</v>
      </c>
      <c r="D43" s="60">
        <f t="shared" si="2"/>
        <v>42</v>
      </c>
      <c r="E43" s="51"/>
      <c r="F43" s="51"/>
      <c r="G43" s="51"/>
      <c r="H43" s="51"/>
      <c r="I43" s="49">
        <f t="shared" si="1"/>
        <v>5.6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100</v>
      </c>
      <c r="B44" s="60">
        <v>303</v>
      </c>
      <c r="C44" s="60">
        <v>8</v>
      </c>
      <c r="D44" s="60">
        <f t="shared" si="2"/>
        <v>42</v>
      </c>
      <c r="E44" s="51"/>
      <c r="F44" s="51"/>
      <c r="G44" s="51"/>
      <c r="H44" s="51"/>
      <c r="I44" s="49">
        <f t="shared" si="1"/>
        <v>4.9000000000000004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>
        <v>110</v>
      </c>
      <c r="B45" s="60">
        <v>305</v>
      </c>
      <c r="C45" s="60">
        <v>9</v>
      </c>
      <c r="D45" s="60">
        <f>20+19</f>
        <v>39</v>
      </c>
      <c r="E45" s="51"/>
      <c r="F45" s="51"/>
      <c r="G45" s="51"/>
      <c r="H45" s="51"/>
      <c r="I45" s="49">
        <f t="shared" si="1"/>
        <v>4.4000000000000004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>
        <v>120</v>
      </c>
      <c r="B46" s="60">
        <f>268+17+18</f>
        <v>303</v>
      </c>
      <c r="C46" s="60">
        <v>10</v>
      </c>
      <c r="D46" s="60">
        <f>B46</f>
        <v>303</v>
      </c>
      <c r="E46" s="51"/>
      <c r="F46" s="51"/>
      <c r="G46" s="51"/>
      <c r="H46" s="51"/>
      <c r="I46" s="49">
        <f t="shared" si="1"/>
        <v>3.7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Chêne rouge d'Amérique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20</v>
      </c>
      <c r="B62" s="60">
        <v>105</v>
      </c>
      <c r="C62" s="60">
        <v>1</v>
      </c>
      <c r="D62" s="60">
        <v>32</v>
      </c>
      <c r="E62" s="51"/>
      <c r="F62" s="51">
        <v>0.25</v>
      </c>
      <c r="G62" s="51">
        <v>0.25</v>
      </c>
      <c r="H62" s="51">
        <v>0.5</v>
      </c>
      <c r="I62" s="53">
        <f>IFERROR(B62/A62,"")</f>
        <v>5.25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30</v>
      </c>
      <c r="B63" s="60">
        <v>175</v>
      </c>
      <c r="C63" s="60">
        <v>2</v>
      </c>
      <c r="D63" s="60">
        <v>62</v>
      </c>
      <c r="E63" s="51">
        <v>0.1</v>
      </c>
      <c r="F63" s="51">
        <v>0.45</v>
      </c>
      <c r="G63" s="51">
        <v>0.45</v>
      </c>
      <c r="H63" s="51"/>
      <c r="I63" s="49">
        <f>IF(A63&lt;&gt;0,(B63-(B62-D62))/(A63-A62),"")</f>
        <v>10.199999999999999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40</v>
      </c>
      <c r="B64" s="60">
        <v>200</v>
      </c>
      <c r="C64" s="60">
        <v>3</v>
      </c>
      <c r="D64" s="60">
        <v>58</v>
      </c>
      <c r="E64" s="51"/>
      <c r="F64" s="51"/>
      <c r="G64" s="51"/>
      <c r="H64" s="51"/>
      <c r="I64" s="49">
        <f>IF(A64&lt;&gt;0,(B64-(B63-D63))/(A64-A63),"")</f>
        <v>8.6999999999999993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50</v>
      </c>
      <c r="B65" s="60">
        <v>214</v>
      </c>
      <c r="C65" s="60">
        <v>4</v>
      </c>
      <c r="D65" s="60">
        <v>50</v>
      </c>
      <c r="E65" s="51"/>
      <c r="F65" s="51"/>
      <c r="G65" s="51"/>
      <c r="H65" s="51"/>
      <c r="I65" s="49">
        <f>IF(A65&lt;&gt;0,(B65-(B64-D64))/(A65-A64),"")</f>
        <v>7.2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60</v>
      </c>
      <c r="B66" s="60">
        <v>220</v>
      </c>
      <c r="C66" s="60">
        <v>5</v>
      </c>
      <c r="D66" s="60">
        <v>40</v>
      </c>
      <c r="E66" s="51"/>
      <c r="F66" s="51"/>
      <c r="G66" s="51"/>
      <c r="H66" s="51"/>
      <c r="I66" s="49">
        <f t="shared" ref="I66:I81" si="3">IF(A66&lt;&gt;0,(B66-(B65-D65))/(A66-A65),"")</f>
        <v>5.6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70</v>
      </c>
      <c r="B67" s="60">
        <v>223</v>
      </c>
      <c r="C67" s="60">
        <v>6</v>
      </c>
      <c r="D67" s="60">
        <v>32</v>
      </c>
      <c r="E67" s="51"/>
      <c r="F67" s="51"/>
      <c r="G67" s="51"/>
      <c r="H67" s="51"/>
      <c r="I67" s="49">
        <f t="shared" si="3"/>
        <v>4.3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80</v>
      </c>
      <c r="B68" s="60">
        <v>224</v>
      </c>
      <c r="C68" s="60">
        <v>7</v>
      </c>
      <c r="D68" s="60">
        <v>24</v>
      </c>
      <c r="E68" s="51"/>
      <c r="F68" s="51"/>
      <c r="G68" s="51"/>
      <c r="H68" s="51"/>
      <c r="I68" s="49">
        <f t="shared" si="3"/>
        <v>3.3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90</v>
      </c>
      <c r="B69" s="50">
        <v>225</v>
      </c>
      <c r="C69" s="50">
        <v>8</v>
      </c>
      <c r="D69" s="50">
        <v>225</v>
      </c>
      <c r="E69" s="51"/>
      <c r="F69" s="51"/>
      <c r="G69" s="51"/>
      <c r="H69" s="51"/>
      <c r="I69" s="49">
        <f t="shared" si="3"/>
        <v>2.5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/>
      <c r="B70" s="50"/>
      <c r="C70" s="50"/>
      <c r="D70" s="50"/>
      <c r="E70" s="51"/>
      <c r="F70" s="51"/>
      <c r="G70" s="51"/>
      <c r="H70" s="51"/>
      <c r="I70" s="49" t="str">
        <f t="shared" si="3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3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3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3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3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3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3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3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3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3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3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3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Pin maritime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12</v>
      </c>
      <c r="B88" s="60">
        <v>16</v>
      </c>
      <c r="C88" s="60"/>
      <c r="D88" s="60">
        <v>0</v>
      </c>
      <c r="E88" s="51"/>
      <c r="F88" s="51"/>
      <c r="G88" s="51"/>
      <c r="H88" s="87"/>
      <c r="I88" s="53">
        <f>IFERROR(B88/A88,"")</f>
        <v>1.3333333333333333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16</v>
      </c>
      <c r="B89" s="60">
        <v>40</v>
      </c>
      <c r="C89" s="60">
        <v>1</v>
      </c>
      <c r="D89" s="60">
        <v>4</v>
      </c>
      <c r="E89" s="51"/>
      <c r="F89" s="51">
        <v>0.5</v>
      </c>
      <c r="G89" s="51">
        <v>0.5</v>
      </c>
      <c r="H89" s="87"/>
      <c r="I89" s="53">
        <f t="shared" ref="I89:I107" si="4">IF(A89&lt;&gt;0,(B89-(B88-D88))/(A89-A88),"")</f>
        <v>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20</v>
      </c>
      <c r="B90" s="60">
        <v>61</v>
      </c>
      <c r="C90" s="60">
        <v>2</v>
      </c>
      <c r="D90" s="60">
        <v>5</v>
      </c>
      <c r="E90" s="87"/>
      <c r="F90" s="87">
        <v>0.5</v>
      </c>
      <c r="G90" s="87">
        <v>0.5</v>
      </c>
      <c r="H90" s="87"/>
      <c r="I90" s="53">
        <f t="shared" si="4"/>
        <v>6.25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24</v>
      </c>
      <c r="B91" s="60">
        <v>89</v>
      </c>
      <c r="C91" s="60">
        <v>3</v>
      </c>
      <c r="D91" s="60">
        <v>12</v>
      </c>
      <c r="E91" s="87">
        <v>0.1</v>
      </c>
      <c r="F91" s="87">
        <v>0.45</v>
      </c>
      <c r="G91" s="87">
        <v>0.45</v>
      </c>
      <c r="H91" s="87"/>
      <c r="I91" s="53">
        <f t="shared" si="4"/>
        <v>8.25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28</v>
      </c>
      <c r="B92" s="60">
        <v>108</v>
      </c>
      <c r="C92" s="60">
        <v>4</v>
      </c>
      <c r="D92" s="60">
        <v>13</v>
      </c>
      <c r="E92" s="87">
        <v>0.2</v>
      </c>
      <c r="F92" s="87">
        <v>0.4</v>
      </c>
      <c r="G92" s="87">
        <v>0.4</v>
      </c>
      <c r="H92" s="87"/>
      <c r="I92" s="53">
        <f t="shared" si="4"/>
        <v>7.75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34</v>
      </c>
      <c r="B93" s="60">
        <v>143</v>
      </c>
      <c r="C93" s="60">
        <v>5</v>
      </c>
      <c r="D93" s="60">
        <v>25</v>
      </c>
      <c r="E93" s="87"/>
      <c r="F93" s="87"/>
      <c r="G93" s="87"/>
      <c r="H93" s="87"/>
      <c r="I93" s="53">
        <f t="shared" si="4"/>
        <v>8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40</v>
      </c>
      <c r="B94" s="60">
        <v>161</v>
      </c>
      <c r="C94" s="60">
        <v>6</v>
      </c>
      <c r="D94" s="60">
        <v>23</v>
      </c>
      <c r="E94" s="87"/>
      <c r="F94" s="87"/>
      <c r="G94" s="87"/>
      <c r="H94" s="87"/>
      <c r="I94" s="53">
        <f t="shared" si="4"/>
        <v>7.166666666666667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46</v>
      </c>
      <c r="B95" s="60">
        <v>173</v>
      </c>
      <c r="C95" s="60">
        <v>7</v>
      </c>
      <c r="D95" s="60">
        <v>19</v>
      </c>
      <c r="E95" s="87"/>
      <c r="F95" s="87"/>
      <c r="G95" s="87"/>
      <c r="H95" s="87"/>
      <c r="I95" s="53">
        <f t="shared" si="4"/>
        <v>5.833333333333333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>
        <v>54</v>
      </c>
      <c r="B96" s="60">
        <v>184</v>
      </c>
      <c r="C96" s="60">
        <v>8</v>
      </c>
      <c r="D96" s="60">
        <v>16</v>
      </c>
      <c r="E96" s="87"/>
      <c r="F96" s="87"/>
      <c r="G96" s="87"/>
      <c r="H96" s="87"/>
      <c r="I96" s="53">
        <f t="shared" si="4"/>
        <v>3.75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>
        <v>62</v>
      </c>
      <c r="B97" s="60">
        <f>174+7</f>
        <v>181</v>
      </c>
      <c r="C97" s="60">
        <v>9</v>
      </c>
      <c r="D97" s="60">
        <f>B97</f>
        <v>181</v>
      </c>
      <c r="E97" s="87"/>
      <c r="F97" s="87"/>
      <c r="G97" s="87"/>
      <c r="H97" s="87"/>
      <c r="I97" s="53">
        <f t="shared" si="4"/>
        <v>1.625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4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4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4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4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4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4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4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4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4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4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Pin laricio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20</v>
      </c>
      <c r="B114" s="60">
        <v>62</v>
      </c>
      <c r="C114" s="50"/>
      <c r="D114" s="60"/>
      <c r="E114" s="51"/>
      <c r="F114" s="51"/>
      <c r="G114" s="51"/>
      <c r="H114" s="51"/>
      <c r="I114" s="53">
        <f>IFERROR(B114/A114,"")</f>
        <v>3.1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30</v>
      </c>
      <c r="B115" s="60">
        <v>164</v>
      </c>
      <c r="C115" s="50">
        <v>1</v>
      </c>
      <c r="D115" s="60">
        <v>41</v>
      </c>
      <c r="E115" s="51"/>
      <c r="F115" s="51">
        <v>0.5</v>
      </c>
      <c r="G115" s="51">
        <v>0.5</v>
      </c>
      <c r="H115" s="51"/>
      <c r="I115" s="53">
        <f t="shared" ref="I115:I133" si="5">IF(A115&lt;&gt;0,(B115-(B114-D114))/(A115-A114),"")</f>
        <v>10.199999999999999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40</v>
      </c>
      <c r="B116" s="60">
        <v>233</v>
      </c>
      <c r="C116" s="50">
        <v>2</v>
      </c>
      <c r="D116" s="60">
        <v>56</v>
      </c>
      <c r="E116" s="51"/>
      <c r="F116" s="51"/>
      <c r="G116" s="51"/>
      <c r="H116" s="51"/>
      <c r="I116" s="53">
        <f t="shared" si="5"/>
        <v>11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50</v>
      </c>
      <c r="B117" s="60">
        <v>284</v>
      </c>
      <c r="C117" s="50">
        <v>3</v>
      </c>
      <c r="D117" s="60">
        <v>56</v>
      </c>
      <c r="E117" s="51"/>
      <c r="F117" s="51"/>
      <c r="G117" s="51"/>
      <c r="H117" s="51"/>
      <c r="I117" s="53">
        <f t="shared" si="5"/>
        <v>10.7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60</v>
      </c>
      <c r="B118" s="60">
        <v>324</v>
      </c>
      <c r="C118" s="50">
        <v>4</v>
      </c>
      <c r="D118" s="60">
        <v>49</v>
      </c>
      <c r="E118" s="51"/>
      <c r="F118" s="51"/>
      <c r="G118" s="51"/>
      <c r="H118" s="51"/>
      <c r="I118" s="53">
        <f t="shared" si="5"/>
        <v>9.6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70</v>
      </c>
      <c r="B119" s="60">
        <v>355</v>
      </c>
      <c r="C119" s="50">
        <v>5</v>
      </c>
      <c r="D119" s="60">
        <v>38</v>
      </c>
      <c r="E119" s="51"/>
      <c r="F119" s="51"/>
      <c r="G119" s="51"/>
      <c r="H119" s="51"/>
      <c r="I119" s="53">
        <f t="shared" si="5"/>
        <v>8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80</v>
      </c>
      <c r="B120" s="60">
        <v>377</v>
      </c>
      <c r="C120" s="60">
        <v>6</v>
      </c>
      <c r="D120" s="60">
        <f>B120</f>
        <v>377</v>
      </c>
      <c r="E120" s="87"/>
      <c r="F120" s="87"/>
      <c r="G120" s="87"/>
      <c r="H120" s="87"/>
      <c r="I120" s="53">
        <f t="shared" si="5"/>
        <v>6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5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5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5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5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5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5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5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5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5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5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5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5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5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>Merisier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>
        <v>25</v>
      </c>
      <c r="B140" s="60">
        <v>89</v>
      </c>
      <c r="C140" s="50">
        <v>1</v>
      </c>
      <c r="D140" s="60">
        <v>28</v>
      </c>
      <c r="E140" s="51"/>
      <c r="F140" s="51">
        <v>0.25</v>
      </c>
      <c r="G140" s="51">
        <v>0.25</v>
      </c>
      <c r="H140" s="51">
        <v>0.5</v>
      </c>
      <c r="I140" s="57">
        <f>IFERROR(B140/A140,"")</f>
        <v>3.56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>
        <v>30</v>
      </c>
      <c r="B141" s="60">
        <v>132</v>
      </c>
      <c r="C141" s="50">
        <v>2</v>
      </c>
      <c r="D141" s="60">
        <v>24</v>
      </c>
      <c r="E141" s="51"/>
      <c r="F141" s="51">
        <v>0.25</v>
      </c>
      <c r="G141" s="51">
        <v>0.25</v>
      </c>
      <c r="H141" s="51">
        <v>0.5</v>
      </c>
      <c r="I141" s="57">
        <f t="shared" ref="I141:I159" si="6">IF(A141&lt;&gt;0,(B141-(B140-D140))/(A141-A140),"")</f>
        <v>14.2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>
        <v>35</v>
      </c>
      <c r="B142" s="60">
        <v>173</v>
      </c>
      <c r="C142" s="50">
        <v>3</v>
      </c>
      <c r="D142" s="60">
        <v>27</v>
      </c>
      <c r="E142" s="51"/>
      <c r="F142" s="51"/>
      <c r="G142" s="51"/>
      <c r="H142" s="51"/>
      <c r="I142" s="57">
        <f t="shared" si="6"/>
        <v>13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>
        <v>45</v>
      </c>
      <c r="B143" s="60">
        <f>233+32</f>
        <v>265</v>
      </c>
      <c r="C143" s="50">
        <v>4</v>
      </c>
      <c r="D143" s="60">
        <v>63</v>
      </c>
      <c r="E143" s="51"/>
      <c r="F143" s="51"/>
      <c r="G143" s="51"/>
      <c r="H143" s="51"/>
      <c r="I143" s="57">
        <f t="shared" si="6"/>
        <v>11.9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>
        <v>55</v>
      </c>
      <c r="B144" s="60">
        <f>253+30</f>
        <v>283</v>
      </c>
      <c r="C144" s="50">
        <v>5</v>
      </c>
      <c r="D144" s="60">
        <v>60</v>
      </c>
      <c r="E144" s="51"/>
      <c r="F144" s="51"/>
      <c r="G144" s="51"/>
      <c r="H144" s="51"/>
      <c r="I144" s="57">
        <f t="shared" si="6"/>
        <v>8.1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>
        <v>65</v>
      </c>
      <c r="B145" s="60">
        <f>276+27</f>
        <v>303</v>
      </c>
      <c r="C145" s="50">
        <v>6</v>
      </c>
      <c r="D145" s="60">
        <v>53</v>
      </c>
      <c r="E145" s="51"/>
      <c r="F145" s="51"/>
      <c r="G145" s="51"/>
      <c r="H145" s="51"/>
      <c r="I145" s="57">
        <f t="shared" si="6"/>
        <v>8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>
        <v>75</v>
      </c>
      <c r="B146" s="60">
        <f>286+20</f>
        <v>306</v>
      </c>
      <c r="C146" s="50">
        <v>7</v>
      </c>
      <c r="D146" s="60">
        <f>B146</f>
        <v>306</v>
      </c>
      <c r="E146" s="51"/>
      <c r="F146" s="51"/>
      <c r="G146" s="51"/>
      <c r="H146" s="51"/>
      <c r="I146" s="57">
        <f t="shared" si="6"/>
        <v>5.6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6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6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6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6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6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6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6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6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6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6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6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6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>Alisier torminal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>
        <v>20</v>
      </c>
      <c r="B166" s="60">
        <v>42</v>
      </c>
      <c r="C166" s="60"/>
      <c r="D166" s="60"/>
      <c r="E166" s="51"/>
      <c r="F166" s="51"/>
      <c r="G166" s="51"/>
      <c r="H166" s="51"/>
      <c r="I166" s="49">
        <f>IFERROR(B166/A166,"")</f>
        <v>2.1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>
        <v>30</v>
      </c>
      <c r="B167" s="60">
        <v>105</v>
      </c>
      <c r="C167" s="60">
        <v>1</v>
      </c>
      <c r="D167" s="60">
        <f>21+8</f>
        <v>29</v>
      </c>
      <c r="E167" s="51"/>
      <c r="F167" s="51">
        <v>0.25</v>
      </c>
      <c r="G167" s="51">
        <v>0.25</v>
      </c>
      <c r="H167" s="51">
        <v>0.5</v>
      </c>
      <c r="I167" s="49">
        <f t="shared" ref="I167:I185" si="7">IF(A167&lt;&gt;0,(B167-(B166-D166))/(A167-A166),"")</f>
        <v>6.3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>
        <v>40</v>
      </c>
      <c r="B168" s="60">
        <v>158</v>
      </c>
      <c r="C168" s="60">
        <v>2</v>
      </c>
      <c r="D168" s="60">
        <f>21+21</f>
        <v>42</v>
      </c>
      <c r="E168" s="51"/>
      <c r="F168" s="51"/>
      <c r="G168" s="51"/>
      <c r="H168" s="51"/>
      <c r="I168" s="49">
        <f t="shared" si="7"/>
        <v>8.1999999999999993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>
        <v>50</v>
      </c>
      <c r="B169" s="60">
        <v>199</v>
      </c>
      <c r="C169" s="60">
        <v>3</v>
      </c>
      <c r="D169" s="60">
        <f t="shared" ref="D169:D174" si="8">21+21</f>
        <v>42</v>
      </c>
      <c r="E169" s="51"/>
      <c r="F169" s="51"/>
      <c r="G169" s="51"/>
      <c r="H169" s="51"/>
      <c r="I169" s="49">
        <f t="shared" si="7"/>
        <v>8.3000000000000007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>
        <v>60</v>
      </c>
      <c r="B170" s="60">
        <v>235</v>
      </c>
      <c r="C170" s="60">
        <v>4</v>
      </c>
      <c r="D170" s="60">
        <f t="shared" si="8"/>
        <v>42</v>
      </c>
      <c r="E170" s="51"/>
      <c r="F170" s="51"/>
      <c r="G170" s="51"/>
      <c r="H170" s="51"/>
      <c r="I170" s="49">
        <f t="shared" si="7"/>
        <v>7.8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>
        <v>70</v>
      </c>
      <c r="B171" s="60">
        <v>263</v>
      </c>
      <c r="C171" s="60">
        <v>5</v>
      </c>
      <c r="D171" s="60">
        <f t="shared" si="8"/>
        <v>42</v>
      </c>
      <c r="E171" s="51"/>
      <c r="F171" s="51"/>
      <c r="G171" s="51"/>
      <c r="H171" s="51"/>
      <c r="I171" s="49">
        <f t="shared" si="7"/>
        <v>7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>
        <v>80</v>
      </c>
      <c r="B172" s="60">
        <v>282</v>
      </c>
      <c r="C172" s="60">
        <v>6</v>
      </c>
      <c r="D172" s="60">
        <f t="shared" si="8"/>
        <v>42</v>
      </c>
      <c r="E172" s="51"/>
      <c r="F172" s="51"/>
      <c r="G172" s="51"/>
      <c r="H172" s="51"/>
      <c r="I172" s="49">
        <f t="shared" si="7"/>
        <v>6.1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>
        <v>90</v>
      </c>
      <c r="B173" s="50">
        <v>296</v>
      </c>
      <c r="C173" s="50">
        <v>7</v>
      </c>
      <c r="D173" s="50">
        <f t="shared" si="8"/>
        <v>42</v>
      </c>
      <c r="E173" s="51"/>
      <c r="F173" s="51"/>
      <c r="G173" s="51"/>
      <c r="H173" s="51"/>
      <c r="I173" s="49">
        <f t="shared" si="7"/>
        <v>5.6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>
        <v>100</v>
      </c>
      <c r="B174" s="50">
        <v>303</v>
      </c>
      <c r="C174" s="50">
        <v>8</v>
      </c>
      <c r="D174" s="50">
        <f t="shared" si="8"/>
        <v>42</v>
      </c>
      <c r="E174" s="51"/>
      <c r="F174" s="51"/>
      <c r="G174" s="51"/>
      <c r="H174" s="51"/>
      <c r="I174" s="49">
        <f t="shared" si="7"/>
        <v>4.9000000000000004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>
        <v>110</v>
      </c>
      <c r="B175" s="50">
        <v>305</v>
      </c>
      <c r="C175" s="50">
        <v>9</v>
      </c>
      <c r="D175" s="50">
        <f>20+19</f>
        <v>39</v>
      </c>
      <c r="E175" s="51"/>
      <c r="F175" s="51"/>
      <c r="G175" s="51"/>
      <c r="H175" s="51"/>
      <c r="I175" s="49">
        <f t="shared" si="7"/>
        <v>4.4000000000000004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>
        <v>120</v>
      </c>
      <c r="B176" s="50">
        <f>268+17+18</f>
        <v>303</v>
      </c>
      <c r="C176" s="50">
        <v>10</v>
      </c>
      <c r="D176" s="50">
        <f>B176</f>
        <v>303</v>
      </c>
      <c r="E176" s="51"/>
      <c r="F176" s="51"/>
      <c r="G176" s="51"/>
      <c r="H176" s="51"/>
      <c r="I176" s="49">
        <f t="shared" si="7"/>
        <v>3.7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7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7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7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7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7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7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7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7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7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>Cèdre de l'Atlas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>
        <v>20</v>
      </c>
      <c r="B192" s="60">
        <v>115</v>
      </c>
      <c r="C192" s="60">
        <v>1</v>
      </c>
      <c r="D192" s="60">
        <v>6.9</v>
      </c>
      <c r="E192" s="51"/>
      <c r="F192" s="51">
        <v>0.5</v>
      </c>
      <c r="G192" s="51">
        <v>0.5</v>
      </c>
      <c r="H192" s="51"/>
      <c r="I192" s="49">
        <f>IFERROR(B192/A192,"")</f>
        <v>5.75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>
        <v>30</v>
      </c>
      <c r="B193" s="60">
        <f>180-D192</f>
        <v>173.1</v>
      </c>
      <c r="C193" s="60">
        <v>2</v>
      </c>
      <c r="D193" s="60">
        <v>25.4</v>
      </c>
      <c r="E193" s="51">
        <v>0.1</v>
      </c>
      <c r="F193" s="51">
        <v>0.45</v>
      </c>
      <c r="G193" s="51">
        <v>0.45</v>
      </c>
      <c r="H193" s="51"/>
      <c r="I193" s="49">
        <f t="shared" ref="I193:I211" si="9">IF(A193&lt;&gt;0,(B193-(B192-D192))/(A193-A192),"")</f>
        <v>6.5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>
        <v>40</v>
      </c>
      <c r="B194" s="60">
        <f>250-SUM(D192:D193)</f>
        <v>217.7</v>
      </c>
      <c r="C194" s="60">
        <v>3</v>
      </c>
      <c r="D194" s="60">
        <v>46.3</v>
      </c>
      <c r="E194" s="51"/>
      <c r="F194" s="51"/>
      <c r="G194" s="51"/>
      <c r="H194" s="51"/>
      <c r="I194" s="49">
        <f t="shared" si="9"/>
        <v>7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>
        <v>50</v>
      </c>
      <c r="B195" s="60">
        <f>320-SUM(D192:D194)</f>
        <v>241.4</v>
      </c>
      <c r="C195" s="60">
        <v>4</v>
      </c>
      <c r="D195" s="60">
        <v>46.3</v>
      </c>
      <c r="E195" s="51"/>
      <c r="F195" s="51"/>
      <c r="G195" s="51"/>
      <c r="H195" s="51"/>
      <c r="I195" s="49">
        <f t="shared" si="9"/>
        <v>7.0000000000000027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>
        <v>60</v>
      </c>
      <c r="B196" s="60">
        <f>400-SUM(D192:D195)</f>
        <v>275.10000000000002</v>
      </c>
      <c r="C196" s="60">
        <v>5</v>
      </c>
      <c r="D196" s="60">
        <v>46.3</v>
      </c>
      <c r="E196" s="51"/>
      <c r="F196" s="51"/>
      <c r="G196" s="51"/>
      <c r="H196" s="51"/>
      <c r="I196" s="49">
        <f t="shared" si="9"/>
        <v>8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>
        <v>70</v>
      </c>
      <c r="B197" s="60">
        <f>475-SUM(D192:D196)</f>
        <v>303.8</v>
      </c>
      <c r="C197" s="60">
        <v>6</v>
      </c>
      <c r="D197" s="60">
        <v>46.3</v>
      </c>
      <c r="E197" s="51"/>
      <c r="F197" s="51"/>
      <c r="G197" s="51"/>
      <c r="H197" s="51"/>
      <c r="I197" s="49">
        <f t="shared" si="9"/>
        <v>7.5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>
        <v>80</v>
      </c>
      <c r="B198" s="60">
        <f>552-SUM(D192:D197)</f>
        <v>334.5</v>
      </c>
      <c r="C198" s="60">
        <v>7</v>
      </c>
      <c r="D198" s="60">
        <v>46.3</v>
      </c>
      <c r="E198" s="51"/>
      <c r="F198" s="51"/>
      <c r="G198" s="51"/>
      <c r="H198" s="51"/>
      <c r="I198" s="49">
        <f t="shared" si="9"/>
        <v>7.7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>
        <v>90</v>
      </c>
      <c r="B199" s="50">
        <f>635-SUM(D192:D198)</f>
        <v>371.2</v>
      </c>
      <c r="C199" s="50">
        <v>8</v>
      </c>
      <c r="D199" s="50">
        <v>46.3</v>
      </c>
      <c r="E199" s="51"/>
      <c r="F199" s="51"/>
      <c r="G199" s="51"/>
      <c r="H199" s="51"/>
      <c r="I199" s="49">
        <f t="shared" si="9"/>
        <v>8.3000000000000007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>
        <v>100</v>
      </c>
      <c r="B200" s="50">
        <f>718-SUM(D192:D199)</f>
        <v>407.9</v>
      </c>
      <c r="C200" s="50">
        <v>9</v>
      </c>
      <c r="D200" s="50">
        <v>46.3</v>
      </c>
      <c r="E200" s="51"/>
      <c r="F200" s="51"/>
      <c r="G200" s="51"/>
      <c r="H200" s="51"/>
      <c r="I200" s="49">
        <f t="shared" si="9"/>
        <v>8.3000000000000007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>
        <v>110</v>
      </c>
      <c r="B201" s="50">
        <f>805-SUM(D192:D200)</f>
        <v>448.59999999999997</v>
      </c>
      <c r="C201" s="50">
        <v>10</v>
      </c>
      <c r="D201" s="50">
        <v>448.6</v>
      </c>
      <c r="E201" s="51"/>
      <c r="F201" s="51"/>
      <c r="G201" s="51"/>
      <c r="H201" s="51"/>
      <c r="I201" s="49">
        <f t="shared" si="9"/>
        <v>8.6999999999999993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9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9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9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9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9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9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9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9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9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9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>Châtaignier</v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>
        <v>20</v>
      </c>
      <c r="B218" s="60">
        <v>57</v>
      </c>
      <c r="C218" s="50">
        <v>1</v>
      </c>
      <c r="D218" s="60">
        <v>21</v>
      </c>
      <c r="E218" s="63"/>
      <c r="F218" s="63">
        <v>0.25</v>
      </c>
      <c r="G218" s="63">
        <v>0.25</v>
      </c>
      <c r="H218" s="63">
        <v>0.5</v>
      </c>
      <c r="I218" s="53">
        <f>IFERROR(B218/A218,"")</f>
        <v>2.85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>
        <v>30</v>
      </c>
      <c r="B219" s="60">
        <v>135</v>
      </c>
      <c r="C219" s="50">
        <v>2</v>
      </c>
      <c r="D219" s="60">
        <v>42</v>
      </c>
      <c r="E219" s="63"/>
      <c r="F219" s="63">
        <v>0.25</v>
      </c>
      <c r="G219" s="63">
        <v>0.25</v>
      </c>
      <c r="H219" s="63">
        <v>0.5</v>
      </c>
      <c r="I219" s="53">
        <f t="shared" ref="I219:I237" si="10">IF(A219&lt;&gt;0,(B219-(B218-D218))/(A219-A218),"")</f>
        <v>9.9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>
        <v>40</v>
      </c>
      <c r="B220" s="60">
        <v>174</v>
      </c>
      <c r="C220" s="50">
        <v>3</v>
      </c>
      <c r="D220" s="60">
        <v>42</v>
      </c>
      <c r="E220" s="63"/>
      <c r="F220" s="63"/>
      <c r="G220" s="63"/>
      <c r="H220" s="63"/>
      <c r="I220" s="53">
        <f t="shared" si="10"/>
        <v>8.1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>
        <v>50</v>
      </c>
      <c r="B221" s="55">
        <v>192</v>
      </c>
      <c r="C221" s="55">
        <v>4</v>
      </c>
      <c r="D221" s="55">
        <v>31</v>
      </c>
      <c r="E221" s="63"/>
      <c r="F221" s="63"/>
      <c r="G221" s="63"/>
      <c r="H221" s="63"/>
      <c r="I221" s="53">
        <f t="shared" si="10"/>
        <v>6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>
        <v>60</v>
      </c>
      <c r="B222" s="55">
        <v>205</v>
      </c>
      <c r="C222" s="55">
        <v>5</v>
      </c>
      <c r="D222" s="55">
        <v>20</v>
      </c>
      <c r="E222" s="63"/>
      <c r="F222" s="63"/>
      <c r="G222" s="63"/>
      <c r="H222" s="63"/>
      <c r="I222" s="53">
        <f t="shared" si="10"/>
        <v>4.4000000000000004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>
        <v>70</v>
      </c>
      <c r="B223" s="55">
        <v>217</v>
      </c>
      <c r="C223" s="55">
        <v>6</v>
      </c>
      <c r="D223" s="55">
        <v>16</v>
      </c>
      <c r="E223" s="63"/>
      <c r="F223" s="63"/>
      <c r="G223" s="63"/>
      <c r="H223" s="63"/>
      <c r="I223" s="53">
        <f t="shared" si="10"/>
        <v>3.2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>
        <v>80</v>
      </c>
      <c r="B224" s="55">
        <f>213+13</f>
        <v>226</v>
      </c>
      <c r="C224" s="55">
        <v>7</v>
      </c>
      <c r="D224" s="55">
        <f>B224</f>
        <v>226</v>
      </c>
      <c r="E224" s="63"/>
      <c r="F224" s="63"/>
      <c r="G224" s="63"/>
      <c r="H224" s="63"/>
      <c r="I224" s="53">
        <f t="shared" si="10"/>
        <v>2.5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10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10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10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10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10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10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10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10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10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10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10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10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10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11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11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1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1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1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1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1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1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1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1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1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1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1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1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1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1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1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2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2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2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2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2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2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2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2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2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2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2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2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2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2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2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2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2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2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C1" zoomScaleNormal="100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rouge d'Amérique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Pin maritime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Pin laricio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Merisier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Alisier torminal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Cèdre de l'Atlas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>Châtaignier</v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237.22177246688199</v>
      </c>
      <c r="T3" s="59">
        <f>IF('Données projet'!E9&gt;30,$R$33-$H$33,LOOKUP('Données projet'!$E$9,$A$3:$A$203,R3:R203)-LOOKUP('Données projet'!$E$9,$A$3:$A$203,$H$3:$H$203))</f>
        <v>149.27472147904302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191.94797389630673</v>
      </c>
      <c r="AO3" s="59">
        <f>IF('Données projet'!E10&gt;30,$AM$33-$H$33,LOOKUP('Données projet'!$E$10,$A$3:$A$203,AM3:AM203)-LOOKUP('Données projet'!$E$10,$A$3:$A$203,$H$3:$H$203))</f>
        <v>273.52540822767878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72.647148358003676</v>
      </c>
      <c r="BJ3" s="59">
        <f>IF('Données projet'!E11&gt;30,$BH$33-$H$33,LOOKUP('Données projet'!$E$11,$A$3:$A$203,BH3:BH203)-LOOKUP('Données projet'!$E$11,$A$3:$A$203,$H$3:$H$203))</f>
        <v>87.231299224620898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165.39579887388538</v>
      </c>
      <c r="CE3" s="59">
        <f>IF('Données projet'!E12&gt;30,$CC$33-$H$33,LOOKUP('Données projet'!$E$12,$A$3:$A$203,CC3:CC203)-LOOKUP('Données projet'!$E$12,$A$3:$A$203,$H$3:$H$203))</f>
        <v>155.89639262545802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190.06335940156185</v>
      </c>
      <c r="CZ3" s="59">
        <f>IF('Données projet'!E13&gt;30,$CX$33-$H$33,LOOKUP('Données projet'!$E$13,$A$3:$A$203,CX3:CX203)-LOOKUP('Données projet'!$E$13,$A$3:$A$203,$H$3:$H$203))</f>
        <v>166.43663896839928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261.22357949323879</v>
      </c>
      <c r="DU3" s="59">
        <f>IF('Données projet'!E14&gt;30,$DS$33-$H$33,LOOKUP('Données projet'!$E$14,$A$3:$A$203,DS3:DS203)-LOOKUP('Données projet'!$E$14,$A$3:$A$203,$H$3:$H$203))</f>
        <v>163.41029152029387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293.33333333333331</v>
      </c>
      <c r="EO3" s="59">
        <f ca="1">AVERAGE(OFFSET($EN$3,0,0,'Données projet'!$E$15+1,1))-AVERAGE(OFFSET($H$3,0,0,'Données projet'!$E$15+1,1))</f>
        <v>123.60520571614535</v>
      </c>
      <c r="EP3" s="59">
        <f>IF('Données projet'!E15&gt;30,$EN$33-$H$33,LOOKUP('Données projet'!$E$15,$A$3:$A$203,EN3:EN203)-LOOKUP('Données projet'!$E$15,$A$3:$A$203,$H$3:$H$203))</f>
        <v>119.00926870519527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293.33333333333331</v>
      </c>
      <c r="FJ3" s="59">
        <f ca="1">AVERAGE(OFFSET($FI$3,0,0,'Données projet'!$E$16+1,1))-AVERAGE(OFFSET($H$3,0,0,'Données projet'!$E$16+1,1))</f>
        <v>124.15919323713428</v>
      </c>
      <c r="FK3" s="59">
        <f>IF('Données projet'!E16&gt;30,$FI$33-$H$33,LOOKUP('Données projet'!$E$16,$A$3:$A$203,FI3:FI203)-LOOKUP('Données projet'!$E$16,$A$3:$A$203,$H$3:$H$203))</f>
        <v>157.85954678210715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2.1</v>
      </c>
      <c r="N4" s="13">
        <f>IF('Données projet'!$A$36&gt;35,N3+M4-V3,IF(A4&lt;'Données projet'!$A$36,$K$205^A4,IF(A4='Données projet'!$A$36,'Données projet'!$B$36,N3+M4-V3)))</f>
        <v>1.2054868146447177</v>
      </c>
      <c r="O4" s="13">
        <f>N4*VLOOKUP('Données projet'!$B$9,Paramètres!$A$1:$I$89,3,0)*VLOOKUP('Données projet'!$B$9,Paramètres!$A$1:$I$89,5,0)</f>
        <v>1.0907244698905405</v>
      </c>
      <c r="P4" s="13">
        <f>EXP(-1.0587+0.8836*LN(O4)+0.284)</f>
        <v>0.49759623852608204</v>
      </c>
      <c r="Q4" s="20">
        <f t="shared" ref="Q4:Q34" si="2">(O4+P4)*0.475*44/12</f>
        <v>2.7663252338256172</v>
      </c>
      <c r="R4" s="59">
        <f t="shared" si="0"/>
        <v>296.09965856715894</v>
      </c>
      <c r="S4" s="59">
        <f ca="1">AVERAGE(OFFSET($R$3,0,0,'Données projet'!$E$9+1,1))-AVERAGE(OFFSET($H$3,0,0,'Données projet'!$E$9+1,1))</f>
        <v>237.22177246688199</v>
      </c>
      <c r="T4" s="59">
        <f>$T$3</f>
        <v>149.27472147904302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5.25</v>
      </c>
      <c r="AI4" s="13">
        <f>IF('Données projet'!$A$62&gt;35,AI3+AH4-AQ3,IF(A4&lt;'Données projet'!$A$62,$AF$205^A4,IF(A4='Données projet'!$A$62,'Données projet'!$B$62,AI3+AH4-AQ3)))</f>
        <v>1.2620003197767753</v>
      </c>
      <c r="AJ4" s="13">
        <f>AI4*VLOOKUP('Données projet'!$B$10,Paramètres!$A$1:$I$89,3,0)*VLOOKUP('Données projet'!$B$10,Paramètres!$A$1:$I$89,5,0)</f>
        <v>1.1024834793569909</v>
      </c>
      <c r="AK4" s="13">
        <f>EXP(-1.0587+0.8836*LN(AJ4)+0.284)</f>
        <v>0.50233338685937634</v>
      </c>
      <c r="AL4" s="20">
        <f t="shared" ref="AL4:AL67" si="4">(AJ4+AK4)*0.475*44/12</f>
        <v>2.7950560419935062</v>
      </c>
      <c r="AM4" s="59">
        <f t="shared" ref="AM4:AM67" si="5">AL4+(AD4+AE4)*44/12</f>
        <v>296.12838937532683</v>
      </c>
      <c r="AN4" s="59">
        <f ca="1">AVERAGE(OFFSET($AM$3,0,0,'Données projet'!$E$10+1,1))-AVERAGE(OFFSET($H$3,0,0,'Données projet'!$E$10+1,1))</f>
        <v>191.94797389630673</v>
      </c>
      <c r="AO4" s="59">
        <f>$AO$3</f>
        <v>273.52540822767878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1.3333333333333333</v>
      </c>
      <c r="BD4" s="12">
        <f>IF('Données projet'!$A$88&gt;35,BD3+BC4-BL3,IF(A4&lt;'Données projet'!$A$88,$BA$205^A4,IF(A4='Données projet'!$A$88,'Données projet'!$B$88,BD3+BC4-BL3)))</f>
        <v>1.2599210498948732</v>
      </c>
      <c r="BE4" s="13">
        <f>BD4*VLOOKUP('Données projet'!$B$11,Paramètres!$A$1:$I$89,3,0)*VLOOKUP('Données projet'!$B$11,Paramètres!$A$1:$I$89,5,0)</f>
        <v>0.7534327878371343</v>
      </c>
      <c r="BF4" s="13">
        <f>EXP(-1.0587+0.8836*LN(BE4)+0.284)</f>
        <v>0.35884640447347915</v>
      </c>
      <c r="BG4" s="20">
        <f t="shared" ref="BG4:BG67" si="7">(BE4+BF4)*0.475*44/12</f>
        <v>1.9372195932743184</v>
      </c>
      <c r="BH4" s="59">
        <f t="shared" ref="BH4:BH67" si="8">BG4+(AY4+AZ4)*44/12</f>
        <v>295.27055292660765</v>
      </c>
      <c r="BI4" s="59">
        <f ca="1">AVERAGE(OFFSET($BH$3,0,0,'Données projet'!$E$11+1,1))-AVERAGE(OFFSET($H$3,0,0,'Données projet'!$E$11+1,1))</f>
        <v>72.647148358003676</v>
      </c>
      <c r="BJ4" s="59">
        <f>$BJ$3</f>
        <v>87.231299224620898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3.1</v>
      </c>
      <c r="BY4" s="12">
        <f>IF('Données projet'!$A$114&gt;35,BY3+BX4-CG3,IF(A4&lt;'Données projet'!$A$114,$BV$205^A4,IF(A4='Données projet'!$A$114,'Données projet'!$B$114,BY3+BX4-CG3)))</f>
        <v>1.2291916021073213</v>
      </c>
      <c r="BZ4" s="13">
        <f>BY4*VLOOKUP('Données projet'!$B$12,Paramètres!$A$1:$I$89,3,0)*VLOOKUP('Données projet'!$B$12,Paramètres!$A$1:$I$89,5,0)</f>
        <v>0.7350565780601781</v>
      </c>
      <c r="CA4" s="13">
        <f>EXP(-1.0587+0.8836*LN(BZ4)+0.284)</f>
        <v>0.35110183226268588</v>
      </c>
      <c r="CB4" s="20">
        <f t="shared" ref="CB4:CB67" si="10">(BZ4+CA4)*0.475*44/12</f>
        <v>1.8917258979789879</v>
      </c>
      <c r="CC4" s="59">
        <f t="shared" ref="CC4:CC67" si="11">CB4+(BT4+BU4)*44/12</f>
        <v>295.22505923131229</v>
      </c>
      <c r="CD4" s="59">
        <f ca="1">AVERAGE(OFFSET($CC$3,0,0,'Données projet'!$E$12+1,1))-AVERAGE(OFFSET($H$3,0,0,'Données projet'!$E$12+1,1))</f>
        <v>165.39579887388538</v>
      </c>
      <c r="CE4" s="59">
        <f>$CE$3</f>
        <v>155.89639262545802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3.56</v>
      </c>
      <c r="CT4" s="12">
        <f>IF('Données projet'!$A$140&gt;35,CT3+CS4-DB3,IF(A4&lt;'Données projet'!$A$140,$CQ$205^A4,IF(A4='Données projet'!$A$140,'Données projet'!$B$140,CT3+CS4-DB3)))</f>
        <v>1.1966732973638288</v>
      </c>
      <c r="CU4" s="17">
        <f>CT4*VLOOKUP('Données projet'!$B$13,Paramètres!$A$1:$I$89,3,0)*VLOOKUP('Données projet'!$B$13,Paramètres!$A$1:$I$89,5,0)</f>
        <v>0.93340517194378647</v>
      </c>
      <c r="CV4" s="13">
        <f>EXP(-1.0587+0.8836*LN(CU4)+0.284)</f>
        <v>0.43361679609549247</v>
      </c>
      <c r="CW4" s="20">
        <f t="shared" ref="CW4:CW67" si="13">(CU4+CV4)*0.475*44/12</f>
        <v>2.3808965943350775</v>
      </c>
      <c r="CX4" s="59">
        <f t="shared" ref="CX4:CX67" si="14">CW4+(CO4+CP4)*44/12</f>
        <v>295.71422992766838</v>
      </c>
      <c r="CY4" s="59">
        <f ca="1">AVERAGE(OFFSET($CX$3,0,0,'Données projet'!$E$13+1,1))-AVERAGE(OFFSET($H$3,0,0,'Données projet'!$E$13+1,1))</f>
        <v>190.06335940156185</v>
      </c>
      <c r="CZ4" s="59">
        <f>$CZ$3</f>
        <v>166.43663896839928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2.1</v>
      </c>
      <c r="DO4" s="12">
        <f>IF('Données projet'!$A$166&gt;35,DO3+DN4-DW3,IF(A4&lt;'Données projet'!$A$166,$DL$205^A4,IF(A4='Données projet'!$A$166,'Données projet'!$B$166,DO3+DN4-DW3)))</f>
        <v>1.2054868146447177</v>
      </c>
      <c r="DP4" s="17">
        <f>DO4*VLOOKUP('Données projet'!$B$14,Paramètres!$A$1:$I$89,3,0)*VLOOKUP('Données projet'!$B$14,Paramètres!$A$1:$I$89,5,0)</f>
        <v>1.165946847124371</v>
      </c>
      <c r="DQ4" s="13">
        <f>EXP(-1.0587+0.8836*LN(DP4)+0.284)</f>
        <v>0.52780002987456354</v>
      </c>
      <c r="DR4" s="20">
        <f t="shared" ref="DR4:DR67" si="16">(DP4+DQ4)*0.475*44/12</f>
        <v>2.9499424774398109</v>
      </c>
      <c r="DS4" s="59">
        <f t="shared" ref="DS4:DS67" si="17">DR4+(DJ4+DK4)*44/12</f>
        <v>296.28327581077315</v>
      </c>
      <c r="DT4" s="59">
        <f ca="1">AVERAGE(OFFSET($DS$3,0,0,'Données projet'!$E$14+1,1))-AVERAGE(OFFSET($H$3,0,0,'Données projet'!$E$14+1,1))</f>
        <v>261.22357949323879</v>
      </c>
      <c r="DU4" s="59">
        <f>$DU$3</f>
        <v>163.41029152029387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5.75</v>
      </c>
      <c r="EJ4" s="12">
        <f>IF('Données projet'!$A$192&gt;35,EJ3+EI4-ER3,IF(A4&lt;'Données projet'!$A$192,$EG$205^A4,IF(A4='Données projet'!$A$192,'Données projet'!$B$192,EJ3+EI4-ER3)))</f>
        <v>1.2677537154322802</v>
      </c>
      <c r="EK4" s="17">
        <f>EJ4*VLOOKUP('Données projet'!$B$15,Paramètres!$A$1:$I$89,3,0)*VLOOKUP('Données projet'!$B$15,Paramètres!$A$1:$I$89,5,0)</f>
        <v>0.59330873882230706</v>
      </c>
      <c r="EL4" s="13">
        <f>EXP(-1.0587+0.8836*LN(EK4)+0.284)</f>
        <v>0.29055137246158741</v>
      </c>
      <c r="EM4" s="20">
        <f t="shared" ref="EM4:EM67" si="19">(EK4+EL4)*0.475*44/12</f>
        <v>1.5393896938194491</v>
      </c>
      <c r="EN4" s="59">
        <f t="shared" ref="EN4:EN67" si="20">EM4+(EE4+EF4)*44/12</f>
        <v>294.87272302715274</v>
      </c>
      <c r="EO4" s="59">
        <f ca="1">AVERAGE(OFFSET($EN$3,0,0,'Données projet'!$E$15+1,1))-AVERAGE(OFFSET($H$3,0,0,'Données projet'!$E$15+1,1))</f>
        <v>123.60520571614535</v>
      </c>
      <c r="EP4" s="59">
        <f>$EP$3</f>
        <v>119.00926870519527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2.85</v>
      </c>
      <c r="FE4" s="12">
        <f>IF('Données projet'!$A$218&gt;35,FE3+FD4-FM3,IF(A4&lt;'Données projet'!$A$218,$FB$205^A4,IF(A4='Données projet'!$A$218,'Données projet'!$B$218,FE3+FD4-FM3)))</f>
        <v>1.2240347367580502</v>
      </c>
      <c r="FF4" s="17">
        <f>FE4*VLOOKUP('Données projet'!$B$16,Paramètres!$A$1:$I$89,3,0)*VLOOKUP('Données projet'!$B$16,Paramètres!$A$1:$I$89,5,0)</f>
        <v>0.89746226899100245</v>
      </c>
      <c r="FG4" s="13">
        <f>EXP(-1.0587+0.8836*LN(FF4)+0.284)</f>
        <v>0.41882941804656698</v>
      </c>
      <c r="FH4" s="20">
        <f t="shared" ref="FH4:FH67" si="22">(FF4+FG4)*0.475*44/12</f>
        <v>2.2925413549237668</v>
      </c>
      <c r="FI4" s="59">
        <f t="shared" ref="FI4:FI67" si="23">FH4+(EZ4+FA4)*44/12</f>
        <v>295.62587468825706</v>
      </c>
      <c r="FJ4" s="59">
        <f ca="1">AVERAGE(OFFSET($FI$3,0,0,'Données projet'!$E$16+1,1))-AVERAGE(OFFSET($H$3,0,0,'Données projet'!$E$16+1,1))</f>
        <v>124.15919323713428</v>
      </c>
      <c r="FK4" s="59">
        <f>$FK$3</f>
        <v>157.85954678210715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2.1</v>
      </c>
      <c r="N5" s="13">
        <f>IF('Données projet'!$A$36&gt;35,N4+M5-V4,IF(A5&lt;'Données projet'!$A$36,$K$205^A5,IF(A5='Données projet'!$A$36,'Données projet'!$B$36,N4+M5-V4)))</f>
        <v>1.4531984602822681</v>
      </c>
      <c r="O5" s="13">
        <f>N5*VLOOKUP('Données projet'!$B$9,Paramètres!$A$1:$I$89,3,0)*VLOOKUP('Données projet'!$B$9,Paramètres!$A$1:$I$89,5,0)</f>
        <v>1.3148539668633961</v>
      </c>
      <c r="P5" s="13">
        <f t="shared" ref="P5:P68" si="33">EXP(-1.0587+0.8836*LN(O5)+0.284)</f>
        <v>0.58693801963664449</v>
      </c>
      <c r="Q5" s="20">
        <f t="shared" si="2"/>
        <v>3.3122877098209038</v>
      </c>
      <c r="R5" s="59">
        <f t="shared" si="0"/>
        <v>296.64562104315422</v>
      </c>
      <c r="S5" s="59">
        <f ca="1">AVERAGE(OFFSET($R$3,0,0,'Données projet'!$E$9+1,1))-AVERAGE(OFFSET($H$3,0,0,'Données projet'!$E$9+1,1))</f>
        <v>237.22177246688199</v>
      </c>
      <c r="T5" s="59">
        <f t="shared" ref="T5:T68" si="34">$T$3</f>
        <v>149.27472147904302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5.25</v>
      </c>
      <c r="AI5" s="13">
        <f>IF('Données projet'!$A$62&gt;35,AI4+AH5-AQ4,IF(A5&lt;'Données projet'!$A$62,$AF$205^A5,IF(A5='Données projet'!$A$62,'Données projet'!$B$62,AI4+AH5-AQ4)))</f>
        <v>1.592644807116683</v>
      </c>
      <c r="AJ5" s="13">
        <f>AI5*VLOOKUP('Données projet'!$B$10,Paramètres!$A$1:$I$89,3,0)*VLOOKUP('Données projet'!$B$10,Paramètres!$A$1:$I$89,5,0)</f>
        <v>1.3913345034971345</v>
      </c>
      <c r="AK5" s="13">
        <f t="shared" ref="AK5:AK68" si="35">EXP(-1.0587+0.8836*LN(AJ5)+0.284)</f>
        <v>0.61700429487653952</v>
      </c>
      <c r="AL5" s="20">
        <f t="shared" si="4"/>
        <v>3.4978567405008154</v>
      </c>
      <c r="AM5" s="59">
        <f t="shared" si="5"/>
        <v>296.83119007383414</v>
      </c>
      <c r="AN5" s="59">
        <f ca="1">AVERAGE(OFFSET($AM$3,0,0,'Données projet'!$E$10+1,1))-AVERAGE(OFFSET($H$3,0,0,'Données projet'!$E$10+1,1))</f>
        <v>191.94797389630673</v>
      </c>
      <c r="AO5" s="59">
        <f t="shared" ref="AO5:AO68" si="36">$AO$3</f>
        <v>273.52540822767878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1.3333333333333333</v>
      </c>
      <c r="BD5" s="12">
        <f>IF('Données projet'!$A$88&gt;35,BD4+BC5-BL4,IF(A5&lt;'Données projet'!$A$88,$BA$205^A5,IF(A5='Données projet'!$A$88,'Données projet'!$B$88,BD4+BC5-BL4)))</f>
        <v>1.5874010519681996</v>
      </c>
      <c r="BE5" s="13">
        <f>BD5*VLOOKUP('Données projet'!$B$11,Paramètres!$A$1:$I$89,3,0)*VLOOKUP('Données projet'!$B$11,Paramètres!$A$1:$I$89,5,0)</f>
        <v>0.94926582907698343</v>
      </c>
      <c r="BF5" s="13">
        <f t="shared" ref="BF5:BF68" si="37">EXP(-1.0587+0.8836*LN(BE5)+0.284)</f>
        <v>0.44012087444203785</v>
      </c>
      <c r="BG5" s="20">
        <f t="shared" si="7"/>
        <v>2.4198485086289616</v>
      </c>
      <c r="BH5" s="59">
        <f t="shared" si="8"/>
        <v>295.75318184196226</v>
      </c>
      <c r="BI5" s="59">
        <f ca="1">AVERAGE(OFFSET($BH$3,0,0,'Données projet'!$E$11+1,1))-AVERAGE(OFFSET($H$3,0,0,'Données projet'!$E$11+1,1))</f>
        <v>72.647148358003676</v>
      </c>
      <c r="BJ5" s="59">
        <f t="shared" ref="BJ5:BJ68" si="38">$BJ$3</f>
        <v>87.231299224620898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3.1</v>
      </c>
      <c r="BY5" s="12">
        <f>IF('Données projet'!$A$114&gt;35,BY4+BX5-CG4,IF(A5&lt;'Données projet'!$A$114,$BV$205^A5,IF(A5='Données projet'!$A$114,'Données projet'!$B$114,BY4+BX5-CG4)))</f>
        <v>1.5109119946911631</v>
      </c>
      <c r="BZ5" s="13">
        <f>BY5*VLOOKUP('Données projet'!$B$12,Paramètres!$A$1:$I$89,3,0)*VLOOKUP('Données projet'!$B$12,Paramètres!$A$1:$I$89,5,0)</f>
        <v>0.90352537282531553</v>
      </c>
      <c r="CA5" s="13">
        <f t="shared" ref="CA5:CA68" si="39">EXP(-1.0587+0.8836*LN(BZ5)+0.284)</f>
        <v>0.42132861985658931</v>
      </c>
      <c r="CB5" s="20">
        <f t="shared" si="10"/>
        <v>2.3074540372543173</v>
      </c>
      <c r="CC5" s="59">
        <f t="shared" si="11"/>
        <v>295.64078737058765</v>
      </c>
      <c r="CD5" s="59">
        <f ca="1">AVERAGE(OFFSET($CC$3,0,0,'Données projet'!$E$12+1,1))-AVERAGE(OFFSET($H$3,0,0,'Données projet'!$E$12+1,1))</f>
        <v>165.39579887388538</v>
      </c>
      <c r="CE5" s="59">
        <f t="shared" ref="CE5:CE68" si="40">$CE$3</f>
        <v>155.89639262545802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3.56</v>
      </c>
      <c r="CT5" s="12">
        <f>IF('Données projet'!$A$140&gt;35,CT4+CS5-DB4,IF(A5&lt;'Données projet'!$A$140,$CQ$205^A5,IF(A5='Données projet'!$A$140,'Données projet'!$B$140,CT4+CS5-DB4)))</f>
        <v>1.4320269806236186</v>
      </c>
      <c r="CU5" s="17">
        <f>CT5*VLOOKUP('Données projet'!$B$13,Paramètres!$A$1:$I$89,3,0)*VLOOKUP('Données projet'!$B$13,Paramètres!$A$1:$I$89,5,0)</f>
        <v>1.1169810448864226</v>
      </c>
      <c r="CV5" s="13">
        <f t="shared" ref="CV5:CV68" si="41">EXP(-1.0587+0.8836*LN(CU5)+0.284)</f>
        <v>0.50816568684575236</v>
      </c>
      <c r="CW5" s="20">
        <f t="shared" si="13"/>
        <v>2.8304638911002047</v>
      </c>
      <c r="CX5" s="59">
        <f t="shared" si="14"/>
        <v>296.16379722443349</v>
      </c>
      <c r="CY5" s="59">
        <f ca="1">AVERAGE(OFFSET($CX$3,0,0,'Données projet'!$E$13+1,1))-AVERAGE(OFFSET($H$3,0,0,'Données projet'!$E$13+1,1))</f>
        <v>190.06335940156185</v>
      </c>
      <c r="CZ5" s="59">
        <f t="shared" ref="CZ5:CZ68" si="42">$CZ$3</f>
        <v>166.43663896839928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2.1</v>
      </c>
      <c r="DO5" s="12">
        <f>IF('Données projet'!$A$166&gt;35,DO4+DN5-DW4,IF(A5&lt;'Données projet'!$A$166,$DL$205^A5,IF(A5='Données projet'!$A$166,'Données projet'!$B$166,DO4+DN5-DW4)))</f>
        <v>1.4531984602822681</v>
      </c>
      <c r="DP5" s="17">
        <f>DO5*VLOOKUP('Données projet'!$B$14,Paramètres!$A$1:$I$89,3,0)*VLOOKUP('Données projet'!$B$14,Paramètres!$A$1:$I$89,5,0)</f>
        <v>1.4055335507850097</v>
      </c>
      <c r="DQ5" s="13">
        <f t="shared" ref="DQ5:DQ68" si="43">EXP(-1.0587+0.8836*LN(DP5)+0.284)</f>
        <v>0.62256480317525631</v>
      </c>
      <c r="DR5" s="20">
        <f t="shared" si="16"/>
        <v>3.5322712998141292</v>
      </c>
      <c r="DS5" s="59">
        <f t="shared" si="17"/>
        <v>296.86560463314743</v>
      </c>
      <c r="DT5" s="59">
        <f ca="1">AVERAGE(OFFSET($DS$3,0,0,'Données projet'!$E$14+1,1))-AVERAGE(OFFSET($H$3,0,0,'Données projet'!$E$14+1,1))</f>
        <v>261.22357949323879</v>
      </c>
      <c r="DU5" s="59">
        <f t="shared" ref="DU5:DU68" si="44">$DU$3</f>
        <v>163.41029152029387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5.75</v>
      </c>
      <c r="EJ5" s="12">
        <f>IF('Données projet'!$A$192&gt;35,EJ4+EI5-ER4,IF(A5&lt;'Données projet'!$A$192,$EG$205^A5,IF(A5='Données projet'!$A$192,'Données projet'!$B$192,EJ4+EI5-ER4)))</f>
        <v>1.6071994829923508</v>
      </c>
      <c r="EK5" s="17">
        <f>EJ5*VLOOKUP('Données projet'!$B$15,Paramètres!$A$1:$I$89,3,0)*VLOOKUP('Données projet'!$B$15,Paramètres!$A$1:$I$89,5,0)</f>
        <v>0.75216935804042018</v>
      </c>
      <c r="EL5" s="13">
        <f t="shared" ref="EL5:EL68" si="45">EXP(-1.0587+0.8836*LN(EK5)+0.284)</f>
        <v>0.35831464735172275</v>
      </c>
      <c r="EM5" s="20">
        <f t="shared" si="19"/>
        <v>1.9340929760579824</v>
      </c>
      <c r="EN5" s="59">
        <f t="shared" si="20"/>
        <v>295.26742630939128</v>
      </c>
      <c r="EO5" s="59">
        <f ca="1">AVERAGE(OFFSET($EN$3,0,0,'Données projet'!$E$15+1,1))-AVERAGE(OFFSET($H$3,0,0,'Données projet'!$E$15+1,1))</f>
        <v>123.60520571614535</v>
      </c>
      <c r="EP5" s="59">
        <f t="shared" ref="EP5:EP68" si="46">$EP$3</f>
        <v>119.00926870519527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2.85</v>
      </c>
      <c r="FE5" s="12">
        <f>IF('Données projet'!$A$218&gt;35,FE4+FD5-FM4,IF(A5&lt;'Données projet'!$A$218,$FB$205^A5,IF(A5='Données projet'!$A$218,'Données projet'!$B$218,FE4+FD5-FM4)))</f>
        <v>1.4982610367903493</v>
      </c>
      <c r="FF5" s="17">
        <f>FE5*VLOOKUP('Données projet'!$B$16,Paramètres!$A$1:$I$89,3,0)*VLOOKUP('Données projet'!$B$16,Paramètres!$A$1:$I$89,5,0)</f>
        <v>1.098524992174684</v>
      </c>
      <c r="FG5" s="13">
        <f t="shared" ref="FG5:FG68" si="47">EXP(-1.0587+0.8836*LN(FF5)+0.284)</f>
        <v>0.50073935950635462</v>
      </c>
      <c r="FH5" s="20">
        <f t="shared" si="22"/>
        <v>2.7853854125111419</v>
      </c>
      <c r="FI5" s="59">
        <f t="shared" si="23"/>
        <v>296.11871874584443</v>
      </c>
      <c r="FJ5" s="59">
        <f ca="1">AVERAGE(OFFSET($FI$3,0,0,'Données projet'!$E$16+1,1))-AVERAGE(OFFSET($H$3,0,0,'Données projet'!$E$16+1,1))</f>
        <v>124.15919323713428</v>
      </c>
      <c r="FK5" s="59">
        <f t="shared" ref="FK5:FK68" si="48">$FK$3</f>
        <v>157.85954678210715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2.1</v>
      </c>
      <c r="N6" s="13">
        <f>IF('Données projet'!$A$36&gt;35,N5+M6-V5,IF(A6&lt;'Données projet'!$A$36,$K$205^A6,IF(A6='Données projet'!$A$36,'Données projet'!$B$36,N5+M6-V5)))</f>
        <v>1.7518115829322798</v>
      </c>
      <c r="O6" s="13">
        <f>N6*VLOOKUP('Données projet'!$B$9,Paramètres!$A$1:$I$89,3,0)*VLOOKUP('Données projet'!$B$9,Paramètres!$A$1:$I$89,5,0)</f>
        <v>1.5850391202371266</v>
      </c>
      <c r="P6" s="13">
        <f t="shared" si="33"/>
        <v>0.69232082604846479</v>
      </c>
      <c r="Q6" s="20">
        <f t="shared" si="2"/>
        <v>3.966401906447405</v>
      </c>
      <c r="R6" s="59">
        <f t="shared" si="0"/>
        <v>297.29973523978072</v>
      </c>
      <c r="S6" s="59">
        <f ca="1">AVERAGE(OFFSET($R$3,0,0,'Données projet'!$E$9+1,1))-AVERAGE(OFFSET($H$3,0,0,'Données projet'!$E$9+1,1))</f>
        <v>237.22177246688199</v>
      </c>
      <c r="T6" s="59">
        <f t="shared" si="34"/>
        <v>149.27472147904302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5.25</v>
      </c>
      <c r="AI6" s="13">
        <f>IF('Données projet'!$A$62&gt;35,AI5+AH6-AQ5,IF(A6&lt;'Données projet'!$A$62,$AF$205^A6,IF(A6='Données projet'!$A$62,'Données projet'!$B$62,AI5+AH6-AQ5)))</f>
        <v>2.0099182558720745</v>
      </c>
      <c r="AJ6" s="13">
        <f>AI6*VLOOKUP('Données projet'!$B$10,Paramètres!$A$1:$I$89,3,0)*VLOOKUP('Données projet'!$B$10,Paramètres!$A$1:$I$89,5,0)</f>
        <v>1.7558645883298445</v>
      </c>
      <c r="AK6" s="13">
        <f t="shared" si="35"/>
        <v>0.75785187657189812</v>
      </c>
      <c r="AL6" s="20">
        <f t="shared" si="4"/>
        <v>4.378056176370535</v>
      </c>
      <c r="AM6" s="59">
        <f t="shared" si="5"/>
        <v>297.71138950970385</v>
      </c>
      <c r="AN6" s="59">
        <f ca="1">AVERAGE(OFFSET($AM$3,0,0,'Données projet'!$E$10+1,1))-AVERAGE(OFFSET($H$3,0,0,'Données projet'!$E$10+1,1))</f>
        <v>191.94797389630673</v>
      </c>
      <c r="AO6" s="59">
        <f t="shared" si="36"/>
        <v>273.52540822767878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1.3333333333333333</v>
      </c>
      <c r="BD6" s="12">
        <f>IF('Données projet'!$A$88&gt;35,BD5+BC6-BL5,IF(A6&lt;'Données projet'!$A$88,$BA$205^A6,IF(A6='Données projet'!$A$88,'Données projet'!$B$88,BD5+BC6-BL5)))</f>
        <v>2</v>
      </c>
      <c r="BE6" s="13">
        <f>BD6*VLOOKUP('Données projet'!$B$11,Paramètres!$A$1:$I$89,3,0)*VLOOKUP('Données projet'!$B$11,Paramètres!$A$1:$I$89,5,0)</f>
        <v>1.1960000000000002</v>
      </c>
      <c r="BF6" s="13">
        <f t="shared" si="37"/>
        <v>0.53980305140256757</v>
      </c>
      <c r="BG6" s="20">
        <f t="shared" si="7"/>
        <v>3.0231903145261385</v>
      </c>
      <c r="BH6" s="59">
        <f t="shared" si="8"/>
        <v>296.35652364785943</v>
      </c>
      <c r="BI6" s="59">
        <f ca="1">AVERAGE(OFFSET($BH$3,0,0,'Données projet'!$E$11+1,1))-AVERAGE(OFFSET($H$3,0,0,'Données projet'!$E$11+1,1))</f>
        <v>72.647148358003676</v>
      </c>
      <c r="BJ6" s="59">
        <f t="shared" si="38"/>
        <v>87.231299224620898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3.1</v>
      </c>
      <c r="BY6" s="12">
        <f>IF('Données projet'!$A$114&gt;35,BY5+BX6-CG5,IF(A6&lt;'Données projet'!$A$114,$BV$205^A6,IF(A6='Données projet'!$A$114,'Données projet'!$B$114,BY5+BX6-CG5)))</f>
        <v>1.8572003353975992</v>
      </c>
      <c r="BZ6" s="13">
        <f>BY6*VLOOKUP('Données projet'!$B$12,Paramètres!$A$1:$I$89,3,0)*VLOOKUP('Données projet'!$B$12,Paramètres!$A$1:$I$89,5,0)</f>
        <v>1.1106058005677644</v>
      </c>
      <c r="CA6" s="13">
        <f t="shared" si="39"/>
        <v>0.50560204931497998</v>
      </c>
      <c r="CB6" s="20">
        <f t="shared" si="10"/>
        <v>2.8148953385457798</v>
      </c>
      <c r="CC6" s="59">
        <f t="shared" si="11"/>
        <v>296.14822867187911</v>
      </c>
      <c r="CD6" s="59">
        <f ca="1">AVERAGE(OFFSET($CC$3,0,0,'Données projet'!$E$12+1,1))-AVERAGE(OFFSET($H$3,0,0,'Données projet'!$E$12+1,1))</f>
        <v>165.39579887388538</v>
      </c>
      <c r="CE6" s="59">
        <f t="shared" si="40"/>
        <v>155.89639262545802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3.56</v>
      </c>
      <c r="CT6" s="12">
        <f>IF('Données projet'!$A$140&gt;35,CT5+CS6-DB5,IF(A6&lt;'Données projet'!$A$140,$CQ$205^A6,IF(A6='Données projet'!$A$140,'Données projet'!$B$140,CT5+CS6-DB5)))</f>
        <v>1.7136684488168334</v>
      </c>
      <c r="CU6" s="17">
        <f>CT6*VLOOKUP('Données projet'!$B$13,Paramètres!$A$1:$I$89,3,0)*VLOOKUP('Données projet'!$B$13,Paramètres!$A$1:$I$89,5,0)</f>
        <v>1.33666139007713</v>
      </c>
      <c r="CV6" s="13">
        <f t="shared" si="41"/>
        <v>0.59553127926010163</v>
      </c>
      <c r="CW6" s="20">
        <f t="shared" si="13"/>
        <v>3.3652355657623452</v>
      </c>
      <c r="CX6" s="59">
        <f t="shared" si="14"/>
        <v>296.69856889909568</v>
      </c>
      <c r="CY6" s="59">
        <f ca="1">AVERAGE(OFFSET($CX$3,0,0,'Données projet'!$E$13+1,1))-AVERAGE(OFFSET($H$3,0,0,'Données projet'!$E$13+1,1))</f>
        <v>190.06335940156185</v>
      </c>
      <c r="CZ6" s="59">
        <f t="shared" si="42"/>
        <v>166.43663896839928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2.1</v>
      </c>
      <c r="DO6" s="12">
        <f>IF('Données projet'!$A$166&gt;35,DO5+DN6-DW5,IF(A6&lt;'Données projet'!$A$166,$DL$205^A6,IF(A6='Données projet'!$A$166,'Données projet'!$B$166,DO5+DN6-DW5)))</f>
        <v>1.7518115829322798</v>
      </c>
      <c r="DP6" s="17">
        <f>DO6*VLOOKUP('Données projet'!$B$14,Paramètres!$A$1:$I$89,3,0)*VLOOKUP('Données projet'!$B$14,Paramètres!$A$1:$I$89,5,0)</f>
        <v>1.694352163012101</v>
      </c>
      <c r="DQ6" s="13">
        <f t="shared" si="43"/>
        <v>0.73434428233124405</v>
      </c>
      <c r="DR6" s="20">
        <f t="shared" si="16"/>
        <v>4.2299796423063247</v>
      </c>
      <c r="DS6" s="59">
        <f t="shared" si="17"/>
        <v>297.56331297563963</v>
      </c>
      <c r="DT6" s="59">
        <f ca="1">AVERAGE(OFFSET($DS$3,0,0,'Données projet'!$E$14+1,1))-AVERAGE(OFFSET($H$3,0,0,'Données projet'!$E$14+1,1))</f>
        <v>261.22357949323879</v>
      </c>
      <c r="DU6" s="59">
        <f t="shared" si="44"/>
        <v>163.41029152029387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5.75</v>
      </c>
      <c r="EJ6" s="12">
        <f>IF('Données projet'!$A$192&gt;35,EJ5+EI6-ER5,IF(A6&lt;'Données projet'!$A$192,$EG$205^A6,IF(A6='Données projet'!$A$192,'Données projet'!$B$192,EJ5+EI6-ER5)))</f>
        <v>2.0375331160043926</v>
      </c>
      <c r="EK6" s="17">
        <f>EJ6*VLOOKUP('Données projet'!$B$15,Paramètres!$A$1:$I$89,3,0)*VLOOKUP('Données projet'!$B$15,Paramètres!$A$1:$I$89,5,0)</f>
        <v>0.95356549829005577</v>
      </c>
      <c r="EL6" s="13">
        <f t="shared" si="45"/>
        <v>0.44188187933534279</v>
      </c>
      <c r="EM6" s="20">
        <f t="shared" si="19"/>
        <v>2.4304041826975693</v>
      </c>
      <c r="EN6" s="59">
        <f t="shared" si="20"/>
        <v>295.76373751603086</v>
      </c>
      <c r="EO6" s="59">
        <f ca="1">AVERAGE(OFFSET($EN$3,0,0,'Données projet'!$E$15+1,1))-AVERAGE(OFFSET($H$3,0,0,'Données projet'!$E$15+1,1))</f>
        <v>123.60520571614535</v>
      </c>
      <c r="EP6" s="59">
        <f t="shared" si="46"/>
        <v>119.00926870519527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2.85</v>
      </c>
      <c r="FE6" s="12">
        <f>IF('Données projet'!$A$218&gt;35,FE5+FD6-FM5,IF(A6&lt;'Données projet'!$A$218,$FB$205^A6,IF(A6='Données projet'!$A$218,'Données projet'!$B$218,FE5+FD6-FM5)))</f>
        <v>1.8339235537625185</v>
      </c>
      <c r="FF6" s="17">
        <f>FE6*VLOOKUP('Données projet'!$B$16,Paramètres!$A$1:$I$89,3,0)*VLOOKUP('Données projet'!$B$16,Paramètres!$A$1:$I$89,5,0)</f>
        <v>1.3446327496186785</v>
      </c>
      <c r="FG6" s="13">
        <f t="shared" si="47"/>
        <v>0.5986683249908582</v>
      </c>
      <c r="FH6" s="20">
        <f t="shared" si="22"/>
        <v>3.3845827049449433</v>
      </c>
      <c r="FI6" s="59">
        <f t="shared" si="23"/>
        <v>296.71791603827825</v>
      </c>
      <c r="FJ6" s="59">
        <f ca="1">AVERAGE(OFFSET($FI$3,0,0,'Données projet'!$E$16+1,1))-AVERAGE(OFFSET($H$3,0,0,'Données projet'!$E$16+1,1))</f>
        <v>124.15919323713428</v>
      </c>
      <c r="FK6" s="59">
        <f t="shared" si="48"/>
        <v>157.85954678210715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2.1</v>
      </c>
      <c r="N7" s="13">
        <f>IF('Données projet'!$A$36&gt;35,N6+M7-V6,IF(A7&lt;'Données projet'!$A$36,$K$205^A7,IF(A7='Données projet'!$A$36,'Données projet'!$B$36,N6+M7-V6)))</f>
        <v>2.1117857649667546</v>
      </c>
      <c r="O7" s="13">
        <f>N7*VLOOKUP('Données projet'!$B$9,Paramètres!$A$1:$I$89,3,0)*VLOOKUP('Données projet'!$B$9,Paramètres!$A$1:$I$89,5,0)</f>
        <v>1.9107437601419195</v>
      </c>
      <c r="P7" s="13">
        <f t="shared" si="33"/>
        <v>0.81662477151702284</v>
      </c>
      <c r="Q7" s="20">
        <f t="shared" si="2"/>
        <v>4.7501668593059909</v>
      </c>
      <c r="R7" s="59">
        <f t="shared" si="0"/>
        <v>298.08350019263929</v>
      </c>
      <c r="S7" s="59">
        <f ca="1">AVERAGE(OFFSET($R$3,0,0,'Données projet'!$E$9+1,1))-AVERAGE(OFFSET($H$3,0,0,'Données projet'!$E$9+1,1))</f>
        <v>237.22177246688199</v>
      </c>
      <c r="T7" s="59">
        <f t="shared" si="34"/>
        <v>149.27472147904302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5.25</v>
      </c>
      <c r="AI7" s="13">
        <f>IF('Données projet'!$A$62&gt;35,AI6+AH7-AQ6,IF(A7&lt;'Données projet'!$A$62,$AF$205^A7,IF(A7='Données projet'!$A$62,'Données projet'!$B$62,AI6+AH7-AQ6)))</f>
        <v>2.5365174816357365</v>
      </c>
      <c r="AJ7" s="13">
        <f>AI7*VLOOKUP('Données projet'!$B$10,Paramètres!$A$1:$I$89,3,0)*VLOOKUP('Données projet'!$B$10,Paramètres!$A$1:$I$89,5,0)</f>
        <v>2.21590167195698</v>
      </c>
      <c r="AK7" s="13">
        <f t="shared" si="35"/>
        <v>0.93085165142727433</v>
      </c>
      <c r="AL7" s="20">
        <f t="shared" si="4"/>
        <v>5.4805953715609093</v>
      </c>
      <c r="AM7" s="59">
        <f t="shared" si="5"/>
        <v>298.81392870489424</v>
      </c>
      <c r="AN7" s="59">
        <f ca="1">AVERAGE(OFFSET($AM$3,0,0,'Données projet'!$E$10+1,1))-AVERAGE(OFFSET($H$3,0,0,'Données projet'!$E$10+1,1))</f>
        <v>191.94797389630673</v>
      </c>
      <c r="AO7" s="59">
        <f t="shared" si="36"/>
        <v>273.52540822767878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1.3333333333333333</v>
      </c>
      <c r="BD7" s="12">
        <f>IF('Données projet'!$A$88&gt;35,BD6+BC7-BL6,IF(A7&lt;'Données projet'!$A$88,$BA$205^A7,IF(A7='Données projet'!$A$88,'Données projet'!$B$88,BD6+BC7-BL6)))</f>
        <v>2.5198420997897468</v>
      </c>
      <c r="BE7" s="13">
        <f>BD7*VLOOKUP('Données projet'!$B$11,Paramètres!$A$1:$I$89,3,0)*VLOOKUP('Données projet'!$B$11,Paramètres!$A$1:$I$89,5,0)</f>
        <v>1.5068655756742688</v>
      </c>
      <c r="BF7" s="13">
        <f t="shared" si="37"/>
        <v>0.66206206345683716</v>
      </c>
      <c r="BG7" s="20">
        <f t="shared" si="7"/>
        <v>3.7775489714866755</v>
      </c>
      <c r="BH7" s="59">
        <f t="shared" si="8"/>
        <v>297.11088230482</v>
      </c>
      <c r="BI7" s="59">
        <f ca="1">AVERAGE(OFFSET($BH$3,0,0,'Données projet'!$E$11+1,1))-AVERAGE(OFFSET($H$3,0,0,'Données projet'!$E$11+1,1))</f>
        <v>72.647148358003676</v>
      </c>
      <c r="BJ7" s="59">
        <f t="shared" si="38"/>
        <v>87.231299224620898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3.1</v>
      </c>
      <c r="BY7" s="12">
        <f>IF('Données projet'!$A$114&gt;35,BY6+BX7-CG6,IF(A7&lt;'Données projet'!$A$114,$BV$205^A7,IF(A7='Données projet'!$A$114,'Données projet'!$B$114,BY6+BX7-CG6)))</f>
        <v>2.2828550557016292</v>
      </c>
      <c r="BZ7" s="13">
        <f>BY7*VLOOKUP('Données projet'!$B$12,Paramètres!$A$1:$I$89,3,0)*VLOOKUP('Données projet'!$B$12,Paramètres!$A$1:$I$89,5,0)</f>
        <v>1.3651473233095743</v>
      </c>
      <c r="CA7" s="13">
        <f t="shared" si="39"/>
        <v>0.60673170590338565</v>
      </c>
      <c r="CB7" s="20">
        <f t="shared" si="10"/>
        <v>3.4343559758792388</v>
      </c>
      <c r="CC7" s="59">
        <f t="shared" si="11"/>
        <v>296.76768930921253</v>
      </c>
      <c r="CD7" s="59">
        <f ca="1">AVERAGE(OFFSET($CC$3,0,0,'Données projet'!$E$12+1,1))-AVERAGE(OFFSET($H$3,0,0,'Données projet'!$E$12+1,1))</f>
        <v>165.39579887388538</v>
      </c>
      <c r="CE7" s="59">
        <f t="shared" si="40"/>
        <v>155.89639262545802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3.56</v>
      </c>
      <c r="CT7" s="12">
        <f>IF('Données projet'!$A$140&gt;35,CT6+CS7-DB6,IF(A7&lt;'Données projet'!$A$140,$CQ$205^A7,IF(A7='Données projet'!$A$140,'Données projet'!$B$140,CT6+CS7-DB6)))</f>
        <v>2.0507012732339978</v>
      </c>
      <c r="CU7" s="17">
        <f>CT7*VLOOKUP('Données projet'!$B$13,Paramètres!$A$1:$I$89,3,0)*VLOOKUP('Données projet'!$B$13,Paramètres!$A$1:$I$89,5,0)</f>
        <v>1.5995469931225184</v>
      </c>
      <c r="CV7" s="13">
        <f t="shared" si="41"/>
        <v>0.69791706476400706</v>
      </c>
      <c r="CW7" s="20">
        <f t="shared" si="13"/>
        <v>4.0014165674856983</v>
      </c>
      <c r="CX7" s="59">
        <f t="shared" si="14"/>
        <v>297.33474990081902</v>
      </c>
      <c r="CY7" s="59">
        <f ca="1">AVERAGE(OFFSET($CX$3,0,0,'Données projet'!$E$13+1,1))-AVERAGE(OFFSET($H$3,0,0,'Données projet'!$E$13+1,1))</f>
        <v>190.06335940156185</v>
      </c>
      <c r="CZ7" s="59">
        <f t="shared" si="42"/>
        <v>166.43663896839928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2.1</v>
      </c>
      <c r="DO7" s="12">
        <f>IF('Données projet'!$A$166&gt;35,DO6+DN7-DW6,IF(A7&lt;'Données projet'!$A$166,$DL$205^A7,IF(A7='Données projet'!$A$166,'Données projet'!$B$166,DO6+DN7-DW6)))</f>
        <v>2.1117857649667546</v>
      </c>
      <c r="DP7" s="17">
        <f>DO7*VLOOKUP('Données projet'!$B$14,Paramètres!$A$1:$I$89,3,0)*VLOOKUP('Données projet'!$B$14,Paramètres!$A$1:$I$89,5,0)</f>
        <v>2.042519191875845</v>
      </c>
      <c r="DQ7" s="13">
        <f t="shared" si="43"/>
        <v>0.86619340226463792</v>
      </c>
      <c r="DR7" s="20">
        <f t="shared" si="16"/>
        <v>5.0660077681280073</v>
      </c>
      <c r="DS7" s="59">
        <f t="shared" si="17"/>
        <v>298.39934110146135</v>
      </c>
      <c r="DT7" s="59">
        <f ca="1">AVERAGE(OFFSET($DS$3,0,0,'Données projet'!$E$14+1,1))-AVERAGE(OFFSET($H$3,0,0,'Données projet'!$E$14+1,1))</f>
        <v>261.22357949323879</v>
      </c>
      <c r="DU7" s="59">
        <f t="shared" si="44"/>
        <v>163.41029152029387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5.75</v>
      </c>
      <c r="EJ7" s="12">
        <f>IF('Données projet'!$A$192&gt;35,EJ6+EI7-ER6,IF(A7&lt;'Données projet'!$A$192,$EG$205^A7,IF(A7='Données projet'!$A$192,'Données projet'!$B$192,EJ6+EI7-ER6)))</f>
        <v>2.5830901781308797</v>
      </c>
      <c r="EK7" s="17">
        <f>EJ7*VLOOKUP('Données projet'!$B$15,Paramètres!$A$1:$I$89,3,0)*VLOOKUP('Données projet'!$B$15,Paramètres!$A$1:$I$89,5,0)</f>
        <v>1.2088862033652517</v>
      </c>
      <c r="EL7" s="13">
        <f t="shared" si="45"/>
        <v>0.54493891535856476</v>
      </c>
      <c r="EM7" s="20">
        <f t="shared" si="19"/>
        <v>3.0545787484439804</v>
      </c>
      <c r="EN7" s="59">
        <f t="shared" si="20"/>
        <v>296.3879120817773</v>
      </c>
      <c r="EO7" s="59">
        <f ca="1">AVERAGE(OFFSET($EN$3,0,0,'Données projet'!$E$15+1,1))-AVERAGE(OFFSET($H$3,0,0,'Données projet'!$E$15+1,1))</f>
        <v>123.60520571614535</v>
      </c>
      <c r="EP7" s="59">
        <f t="shared" si="46"/>
        <v>119.00926870519527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2.85</v>
      </c>
      <c r="FE7" s="12">
        <f>IF('Données projet'!$A$218&gt;35,FE6+FD7-FM6,IF(A7&lt;'Données projet'!$A$218,$FB$205^A7,IF(A7='Données projet'!$A$218,'Données projet'!$B$218,FE6+FD7-FM6)))</f>
        <v>2.2447861343640922</v>
      </c>
      <c r="FF7" s="17">
        <f>FE7*VLOOKUP('Données projet'!$B$16,Paramètres!$A$1:$I$89,3,0)*VLOOKUP('Données projet'!$B$16,Paramètres!$A$1:$I$89,5,0)</f>
        <v>1.6458771937157524</v>
      </c>
      <c r="FG7" s="13">
        <f t="shared" si="47"/>
        <v>0.7157491348407008</v>
      </c>
      <c r="FH7" s="20">
        <f t="shared" si="22"/>
        <v>4.1131658555691564</v>
      </c>
      <c r="FI7" s="59">
        <f t="shared" si="23"/>
        <v>297.44649918890246</v>
      </c>
      <c r="FJ7" s="59">
        <f ca="1">AVERAGE(OFFSET($FI$3,0,0,'Données projet'!$E$16+1,1))-AVERAGE(OFFSET($H$3,0,0,'Données projet'!$E$16+1,1))</f>
        <v>124.15919323713428</v>
      </c>
      <c r="FK7" s="59">
        <f t="shared" si="48"/>
        <v>157.85954678210715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2.1</v>
      </c>
      <c r="N8" s="13">
        <f>IF('Données projet'!$A$36&gt;35,N7+M8-V7,IF(A8&lt;'Données projet'!$A$36,$K$205^A8,IF(A8='Données projet'!$A$36,'Données projet'!$B$36,N7+M8-V7)))</f>
        <v>2.5457298950218314</v>
      </c>
      <c r="O8" s="13">
        <f>N8*VLOOKUP('Données projet'!$B$9,Paramètres!$A$1:$I$89,3,0)*VLOOKUP('Données projet'!$B$9,Paramètres!$A$1:$I$89,5,0)</f>
        <v>2.3033764090157529</v>
      </c>
      <c r="P8" s="13">
        <f t="shared" si="33"/>
        <v>0.96324708482559218</v>
      </c>
      <c r="Q8" s="20">
        <f t="shared" si="2"/>
        <v>5.6893692517736758</v>
      </c>
      <c r="R8" s="59">
        <f t="shared" si="0"/>
        <v>299.02270258510697</v>
      </c>
      <c r="S8" s="59">
        <f ca="1">AVERAGE(OFFSET($R$3,0,0,'Données projet'!$E$9+1,1))-AVERAGE(OFFSET($H$3,0,0,'Données projet'!$E$9+1,1))</f>
        <v>237.22177246688199</v>
      </c>
      <c r="T8" s="59">
        <f t="shared" si="34"/>
        <v>149.27472147904302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5.25</v>
      </c>
      <c r="AI8" s="13">
        <f>IF('Données projet'!$A$62&gt;35,AI7+AH8-AQ7,IF(A8&lt;'Données projet'!$A$62,$AF$205^A8,IF(A8='Données projet'!$A$62,'Données projet'!$B$62,AI7+AH8-AQ7)))</f>
        <v>3.2010858729436804</v>
      </c>
      <c r="AJ8" s="13">
        <f>AI8*VLOOKUP('Données projet'!$B$10,Paramètres!$A$1:$I$89,3,0)*VLOOKUP('Données projet'!$B$10,Paramètres!$A$1:$I$89,5,0)</f>
        <v>2.7964686186035994</v>
      </c>
      <c r="AK8" s="13">
        <f t="shared" si="35"/>
        <v>1.1433432096049962</v>
      </c>
      <c r="AL8" s="20">
        <f t="shared" si="4"/>
        <v>6.8618389341299704</v>
      </c>
      <c r="AM8" s="59">
        <f t="shared" si="5"/>
        <v>300.19517226746331</v>
      </c>
      <c r="AN8" s="59">
        <f ca="1">AVERAGE(OFFSET($AM$3,0,0,'Données projet'!$E$10+1,1))-AVERAGE(OFFSET($H$3,0,0,'Données projet'!$E$10+1,1))</f>
        <v>191.94797389630673</v>
      </c>
      <c r="AO8" s="59">
        <f t="shared" si="36"/>
        <v>273.52540822767878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1.3333333333333333</v>
      </c>
      <c r="BD8" s="12">
        <f>IF('Données projet'!$A$88&gt;35,BD7+BC8-BL7,IF(A8&lt;'Données projet'!$A$88,$BA$205^A8,IF(A8='Données projet'!$A$88,'Données projet'!$B$88,BD7+BC8-BL7)))</f>
        <v>3.1748021039363996</v>
      </c>
      <c r="BE8" s="13">
        <f>BD8*VLOOKUP('Données projet'!$B$11,Paramètres!$A$1:$I$89,3,0)*VLOOKUP('Données projet'!$B$11,Paramètres!$A$1:$I$89,5,0)</f>
        <v>1.8985316581539671</v>
      </c>
      <c r="BF8" s="13">
        <f t="shared" si="37"/>
        <v>0.8120112969532578</v>
      </c>
      <c r="BG8" s="20">
        <f t="shared" si="7"/>
        <v>4.720862313478416</v>
      </c>
      <c r="BH8" s="59">
        <f t="shared" si="8"/>
        <v>298.05419564681171</v>
      </c>
      <c r="BI8" s="59">
        <f ca="1">AVERAGE(OFFSET($BH$3,0,0,'Données projet'!$E$11+1,1))-AVERAGE(OFFSET($H$3,0,0,'Données projet'!$E$11+1,1))</f>
        <v>72.647148358003676</v>
      </c>
      <c r="BJ8" s="59">
        <f t="shared" si="38"/>
        <v>87.231299224620898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3.1</v>
      </c>
      <c r="BY8" s="12">
        <f>IF('Données projet'!$A$114&gt;35,BY7+BX8-CG7,IF(A8&lt;'Données projet'!$A$114,$BV$205^A8,IF(A8='Données projet'!$A$114,'Données projet'!$B$114,BY7+BX8-CG7)))</f>
        <v>2.8060662632966835</v>
      </c>
      <c r="BZ8" s="13">
        <f>BY8*VLOOKUP('Données projet'!$B$12,Paramètres!$A$1:$I$89,3,0)*VLOOKUP('Données projet'!$B$12,Paramètres!$A$1:$I$89,5,0)</f>
        <v>1.678027625451417</v>
      </c>
      <c r="CA8" s="13">
        <f t="shared" si="39"/>
        <v>0.72808914332366337</v>
      </c>
      <c r="CB8" s="20">
        <f t="shared" si="10"/>
        <v>4.1906533722832648</v>
      </c>
      <c r="CC8" s="59">
        <f t="shared" si="11"/>
        <v>297.52398670561661</v>
      </c>
      <c r="CD8" s="59">
        <f ca="1">AVERAGE(OFFSET($CC$3,0,0,'Données projet'!$E$12+1,1))-AVERAGE(OFFSET($H$3,0,0,'Données projet'!$E$12+1,1))</f>
        <v>165.39579887388538</v>
      </c>
      <c r="CE8" s="59">
        <f t="shared" si="40"/>
        <v>155.89639262545802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3.56</v>
      </c>
      <c r="CT8" s="12">
        <f>IF('Données projet'!$A$140&gt;35,CT7+CS8-DB7,IF(A8&lt;'Données projet'!$A$140,$CQ$205^A8,IF(A8='Données projet'!$A$140,'Données projet'!$B$140,CT7+CS8-DB7)))</f>
        <v>2.4540194545491301</v>
      </c>
      <c r="CU8" s="17">
        <f>CT8*VLOOKUP('Données projet'!$B$13,Paramètres!$A$1:$I$89,3,0)*VLOOKUP('Données projet'!$B$13,Paramètres!$A$1:$I$89,5,0)</f>
        <v>1.9141351745483215</v>
      </c>
      <c r="CV8" s="13">
        <f t="shared" si="41"/>
        <v>0.81790536660639246</v>
      </c>
      <c r="CW8" s="20">
        <f t="shared" si="13"/>
        <v>4.7583039425111266</v>
      </c>
      <c r="CX8" s="59">
        <f t="shared" si="14"/>
        <v>298.09163727584445</v>
      </c>
      <c r="CY8" s="59">
        <f ca="1">AVERAGE(OFFSET($CX$3,0,0,'Données projet'!$E$13+1,1))-AVERAGE(OFFSET($H$3,0,0,'Données projet'!$E$13+1,1))</f>
        <v>190.06335940156185</v>
      </c>
      <c r="CZ8" s="59">
        <f t="shared" si="42"/>
        <v>166.43663896839928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2.1</v>
      </c>
      <c r="DO8" s="12">
        <f>IF('Données projet'!$A$166&gt;35,DO7+DN8-DW7,IF(A8&lt;'Données projet'!$A$166,$DL$205^A8,IF(A8='Données projet'!$A$166,'Données projet'!$B$166,DO7+DN8-DW7)))</f>
        <v>2.5457298950218314</v>
      </c>
      <c r="DP8" s="17">
        <f>DO8*VLOOKUP('Données projet'!$B$14,Paramètres!$A$1:$I$89,3,0)*VLOOKUP('Données projet'!$B$14,Paramètres!$A$1:$I$89,5,0)</f>
        <v>2.4622299544651152</v>
      </c>
      <c r="DQ8" s="13">
        <f t="shared" si="43"/>
        <v>1.021715601495419</v>
      </c>
      <c r="DR8" s="20">
        <f t="shared" si="16"/>
        <v>6.0678718432979295</v>
      </c>
      <c r="DS8" s="59">
        <f t="shared" si="17"/>
        <v>299.40120517663127</v>
      </c>
      <c r="DT8" s="59">
        <f ca="1">AVERAGE(OFFSET($DS$3,0,0,'Données projet'!$E$14+1,1))-AVERAGE(OFFSET($H$3,0,0,'Données projet'!$E$14+1,1))</f>
        <v>261.22357949323879</v>
      </c>
      <c r="DU8" s="59">
        <f t="shared" si="44"/>
        <v>163.41029152029387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5.75</v>
      </c>
      <c r="EJ8" s="12">
        <f>IF('Données projet'!$A$192&gt;35,EJ7+EI8-ER7,IF(A8&lt;'Données projet'!$A$192,$EG$205^A8,IF(A8='Données projet'!$A$192,'Données projet'!$B$192,EJ7+EI8-ER7)))</f>
        <v>3.2747221706220535</v>
      </c>
      <c r="EK8" s="17">
        <f>EJ8*VLOOKUP('Données projet'!$B$15,Paramètres!$A$1:$I$89,3,0)*VLOOKUP('Données projet'!$B$15,Paramètres!$A$1:$I$89,5,0)</f>
        <v>1.5325699758511209</v>
      </c>
      <c r="EL8" s="13">
        <f t="shared" si="45"/>
        <v>0.67203122680395833</v>
      </c>
      <c r="EM8" s="20">
        <f t="shared" si="19"/>
        <v>3.839680427957596</v>
      </c>
      <c r="EN8" s="59">
        <f t="shared" si="20"/>
        <v>297.17301376129092</v>
      </c>
      <c r="EO8" s="59">
        <f ca="1">AVERAGE(OFFSET($EN$3,0,0,'Données projet'!$E$15+1,1))-AVERAGE(OFFSET($H$3,0,0,'Données projet'!$E$15+1,1))</f>
        <v>123.60520571614535</v>
      </c>
      <c r="EP8" s="59">
        <f t="shared" si="46"/>
        <v>119.00926870519527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2.85</v>
      </c>
      <c r="FE8" s="12">
        <f>IF('Données projet'!$A$218&gt;35,FE7+FD8-FM7,IF(A8&lt;'Données projet'!$A$218,$FB$205^A8,IF(A8='Données projet'!$A$218,'Données projet'!$B$218,FE7+FD8-FM7)))</f>
        <v>2.7476962050544729</v>
      </c>
      <c r="FF8" s="17">
        <f>FE8*VLOOKUP('Données projet'!$B$16,Paramètres!$A$1:$I$89,3,0)*VLOOKUP('Données projet'!$B$16,Paramètres!$A$1:$I$89,5,0)</f>
        <v>2.0146108575459394</v>
      </c>
      <c r="FG8" s="13">
        <f t="shared" si="47"/>
        <v>0.85572729112239987</v>
      </c>
      <c r="FH8" s="20">
        <f t="shared" si="22"/>
        <v>4.9991722755973571</v>
      </c>
      <c r="FI8" s="59">
        <f t="shared" si="23"/>
        <v>298.33250560893066</v>
      </c>
      <c r="FJ8" s="59">
        <f ca="1">AVERAGE(OFFSET($FI$3,0,0,'Données projet'!$E$16+1,1))-AVERAGE(OFFSET($H$3,0,0,'Données projet'!$E$16+1,1))</f>
        <v>124.15919323713428</v>
      </c>
      <c r="FK8" s="59">
        <f t="shared" si="48"/>
        <v>157.85954678210715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2.1</v>
      </c>
      <c r="N9" s="13">
        <f>IF('Données projet'!$A$36&gt;35,N8+M9-V8,IF(A9&lt;'Données projet'!$A$36,$K$205^A9,IF(A9='Données projet'!$A$36,'Données projet'!$B$36,N8+M9-V8)))</f>
        <v>3.0688438220956993</v>
      </c>
      <c r="O9" s="13">
        <f>N9*VLOOKUP('Données projet'!$B$9,Paramètres!$A$1:$I$89,3,0)*VLOOKUP('Données projet'!$B$9,Paramètres!$A$1:$I$89,5,0)</f>
        <v>2.7766898902321886</v>
      </c>
      <c r="P9" s="13">
        <f t="shared" si="33"/>
        <v>1.1361949561012803</v>
      </c>
      <c r="Q9" s="20">
        <f t="shared" si="2"/>
        <v>6.8149411073641248</v>
      </c>
      <c r="R9" s="59">
        <f t="shared" si="0"/>
        <v>300.14827444069743</v>
      </c>
      <c r="S9" s="59">
        <f ca="1">AVERAGE(OFFSET($R$3,0,0,'Données projet'!$E$9+1,1))-AVERAGE(OFFSET($H$3,0,0,'Données projet'!$E$9+1,1))</f>
        <v>237.22177246688199</v>
      </c>
      <c r="T9" s="59">
        <f t="shared" si="34"/>
        <v>149.27472147904302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5.25</v>
      </c>
      <c r="AI9" s="13">
        <f>IF('Données projet'!$A$62&gt;35,AI8+AH9-AQ8,IF(A9&lt;'Données projet'!$A$62,$AF$205^A9,IF(A9='Données projet'!$A$62,'Données projet'!$B$62,AI8+AH9-AQ8)))</f>
        <v>4.0397713952878425</v>
      </c>
      <c r="AJ9" s="13">
        <f>AI9*VLOOKUP('Données projet'!$B$10,Paramètres!$A$1:$I$89,3,0)*VLOOKUP('Données projet'!$B$10,Paramètres!$A$1:$I$89,5,0)</f>
        <v>3.5291442909234596</v>
      </c>
      <c r="AK9" s="13">
        <f t="shared" si="35"/>
        <v>1.4043415972303146</v>
      </c>
      <c r="AL9" s="20">
        <f t="shared" si="4"/>
        <v>8.5924879218678232</v>
      </c>
      <c r="AM9" s="59">
        <f t="shared" si="5"/>
        <v>301.92582125520113</v>
      </c>
      <c r="AN9" s="59">
        <f ca="1">AVERAGE(OFFSET($AM$3,0,0,'Données projet'!$E$10+1,1))-AVERAGE(OFFSET($H$3,0,0,'Données projet'!$E$10+1,1))</f>
        <v>191.94797389630673</v>
      </c>
      <c r="AO9" s="59">
        <f t="shared" si="36"/>
        <v>273.52540822767878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1.3333333333333333</v>
      </c>
      <c r="BD9" s="12">
        <f>IF('Données projet'!$A$88&gt;35,BD8+BC9-BL8,IF(A9&lt;'Données projet'!$A$88,$BA$205^A9,IF(A9='Données projet'!$A$88,'Données projet'!$B$88,BD8+BC9-BL8)))</f>
        <v>4.0000000000000009</v>
      </c>
      <c r="BE9" s="13">
        <f>BD9*VLOOKUP('Données projet'!$B$11,Paramètres!$A$1:$I$89,3,0)*VLOOKUP('Données projet'!$B$11,Paramètres!$A$1:$I$89,5,0)</f>
        <v>2.3920000000000008</v>
      </c>
      <c r="BF9" s="13">
        <f t="shared" si="37"/>
        <v>0.99592225982103666</v>
      </c>
      <c r="BG9" s="20">
        <f t="shared" si="7"/>
        <v>5.900631269188306</v>
      </c>
      <c r="BH9" s="59">
        <f t="shared" si="8"/>
        <v>299.23396460252161</v>
      </c>
      <c r="BI9" s="59">
        <f ca="1">AVERAGE(OFFSET($BH$3,0,0,'Données projet'!$E$11+1,1))-AVERAGE(OFFSET($H$3,0,0,'Données projet'!$E$11+1,1))</f>
        <v>72.647148358003676</v>
      </c>
      <c r="BJ9" s="59">
        <f t="shared" si="38"/>
        <v>87.231299224620898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3.1</v>
      </c>
      <c r="BY9" s="12">
        <f>IF('Données projet'!$A$114&gt;35,BY8+BX9-CG8,IF(A9&lt;'Données projet'!$A$114,$BV$205^A9,IF(A9='Données projet'!$A$114,'Données projet'!$B$114,BY8+BX9-CG8)))</f>
        <v>3.449193085800955</v>
      </c>
      <c r="BZ9" s="13">
        <f>BY9*VLOOKUP('Données projet'!$B$12,Paramètres!$A$1:$I$89,3,0)*VLOOKUP('Données projet'!$B$12,Paramètres!$A$1:$I$89,5,0)</f>
        <v>2.0626174653089713</v>
      </c>
      <c r="CA9" s="13">
        <f t="shared" si="39"/>
        <v>0.8737202876788509</v>
      </c>
      <c r="CB9" s="20">
        <f t="shared" si="10"/>
        <v>5.1141215864537903</v>
      </c>
      <c r="CC9" s="59">
        <f t="shared" si="11"/>
        <v>298.44745491978711</v>
      </c>
      <c r="CD9" s="59">
        <f ca="1">AVERAGE(OFFSET($CC$3,0,0,'Données projet'!$E$12+1,1))-AVERAGE(OFFSET($H$3,0,0,'Données projet'!$E$12+1,1))</f>
        <v>165.39579887388538</v>
      </c>
      <c r="CE9" s="59">
        <f t="shared" si="40"/>
        <v>155.89639262545802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3.56</v>
      </c>
      <c r="CT9" s="12">
        <f>IF('Données projet'!$A$140&gt;35,CT8+CS9-DB8,IF(A9&lt;'Données projet'!$A$140,$CQ$205^A9,IF(A9='Données projet'!$A$140,'Données projet'!$B$140,CT8+CS9-DB8)))</f>
        <v>2.9366595524702919</v>
      </c>
      <c r="CU9" s="17">
        <f>CT9*VLOOKUP('Données projet'!$B$13,Paramètres!$A$1:$I$89,3,0)*VLOOKUP('Données projet'!$B$13,Paramètres!$A$1:$I$89,5,0)</f>
        <v>2.2905944509268279</v>
      </c>
      <c r="CV9" s="13">
        <f t="shared" si="41"/>
        <v>0.95852246992949186</v>
      </c>
      <c r="CW9" s="20">
        <f t="shared" si="13"/>
        <v>5.6588786371580904</v>
      </c>
      <c r="CX9" s="59">
        <f t="shared" si="14"/>
        <v>298.99221197049138</v>
      </c>
      <c r="CY9" s="59">
        <f ca="1">AVERAGE(OFFSET($CX$3,0,0,'Données projet'!$E$13+1,1))-AVERAGE(OFFSET($H$3,0,0,'Données projet'!$E$13+1,1))</f>
        <v>190.06335940156185</v>
      </c>
      <c r="CZ9" s="59">
        <f t="shared" si="42"/>
        <v>166.43663896839928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2.1</v>
      </c>
      <c r="DO9" s="12">
        <f>IF('Données projet'!$A$166&gt;35,DO8+DN9-DW8,IF(A9&lt;'Données projet'!$A$166,$DL$205^A9,IF(A9='Données projet'!$A$166,'Données projet'!$B$166,DO8+DN9-DW8)))</f>
        <v>3.0688438220956993</v>
      </c>
      <c r="DP9" s="17">
        <f>DO9*VLOOKUP('Données projet'!$B$14,Paramètres!$A$1:$I$89,3,0)*VLOOKUP('Données projet'!$B$14,Paramètres!$A$1:$I$89,5,0)</f>
        <v>2.9681857447309605</v>
      </c>
      <c r="DQ9" s="13">
        <f t="shared" si="43"/>
        <v>1.2051613041728233</v>
      </c>
      <c r="DR9" s="20">
        <f t="shared" si="16"/>
        <v>7.2685794435074236</v>
      </c>
      <c r="DS9" s="59">
        <f t="shared" si="17"/>
        <v>300.60191277684072</v>
      </c>
      <c r="DT9" s="59">
        <f ca="1">AVERAGE(OFFSET($DS$3,0,0,'Données projet'!$E$14+1,1))-AVERAGE(OFFSET($H$3,0,0,'Données projet'!$E$14+1,1))</f>
        <v>261.22357949323879</v>
      </c>
      <c r="DU9" s="59">
        <f t="shared" si="44"/>
        <v>163.41029152029387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5.75</v>
      </c>
      <c r="EJ9" s="12">
        <f>IF('Données projet'!$A$192&gt;35,EJ8+EI9-ER8,IF(A9&lt;'Données projet'!$A$192,$EG$205^A9,IF(A9='Données projet'!$A$192,'Données projet'!$B$192,EJ8+EI9-ER8)))</f>
        <v>4.1515411988145692</v>
      </c>
      <c r="EK9" s="17">
        <f>EJ9*VLOOKUP('Données projet'!$B$15,Paramètres!$A$1:$I$89,3,0)*VLOOKUP('Données projet'!$B$15,Paramètres!$A$1:$I$89,5,0)</f>
        <v>1.9429212810452183</v>
      </c>
      <c r="EL9" s="13">
        <f t="shared" si="45"/>
        <v>0.82876439371643607</v>
      </c>
      <c r="EM9" s="20">
        <f t="shared" si="19"/>
        <v>4.8273525502098815</v>
      </c>
      <c r="EN9" s="59">
        <f t="shared" si="20"/>
        <v>298.16068588354318</v>
      </c>
      <c r="EO9" s="59">
        <f ca="1">AVERAGE(OFFSET($EN$3,0,0,'Données projet'!$E$15+1,1))-AVERAGE(OFFSET($H$3,0,0,'Données projet'!$E$15+1,1))</f>
        <v>123.60520571614535</v>
      </c>
      <c r="EP9" s="59">
        <f t="shared" si="46"/>
        <v>119.00926870519527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2.85</v>
      </c>
      <c r="FE9" s="12">
        <f>IF('Données projet'!$A$218&gt;35,FE8+FD9-FM8,IF(A9&lt;'Données projet'!$A$218,$FB$205^A9,IF(A9='Données projet'!$A$218,'Données projet'!$B$218,FE8+FD9-FM8)))</f>
        <v>3.3632756010449452</v>
      </c>
      <c r="FF9" s="17">
        <f>FE9*VLOOKUP('Données projet'!$B$16,Paramètres!$A$1:$I$89,3,0)*VLOOKUP('Données projet'!$B$16,Paramètres!$A$1:$I$89,5,0)</f>
        <v>2.465953670686154</v>
      </c>
      <c r="FG9" s="13">
        <f t="shared" si="47"/>
        <v>1.0230807990213731</v>
      </c>
      <c r="FH9" s="20">
        <f t="shared" si="22"/>
        <v>6.0767350347406106</v>
      </c>
      <c r="FI9" s="59">
        <f t="shared" si="23"/>
        <v>299.41006836807395</v>
      </c>
      <c r="FJ9" s="59">
        <f ca="1">AVERAGE(OFFSET($FI$3,0,0,'Données projet'!$E$16+1,1))-AVERAGE(OFFSET($H$3,0,0,'Données projet'!$E$16+1,1))</f>
        <v>124.15919323713428</v>
      </c>
      <c r="FK9" s="59">
        <f t="shared" si="48"/>
        <v>157.85954678210715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2.1</v>
      </c>
      <c r="N10" s="13">
        <f>IF('Données projet'!$A$36&gt;35,N9+M10-V9,IF(A10&lt;'Données projet'!$A$36,$K$205^A10,IF(A10='Données projet'!$A$36,'Données projet'!$B$36,N9+M10-V9)))</f>
        <v>3.6994507637402658</v>
      </c>
      <c r="O10" s="13">
        <f>N10*VLOOKUP('Données projet'!$B$9,Paramètres!$A$1:$I$89,3,0)*VLOOKUP('Données projet'!$B$9,Paramètres!$A$1:$I$89,5,0)</f>
        <v>3.3472630510321921</v>
      </c>
      <c r="P10" s="13">
        <f t="shared" si="33"/>
        <v>1.34019505338418</v>
      </c>
      <c r="Q10" s="20">
        <f t="shared" si="2"/>
        <v>8.1639895318585136</v>
      </c>
      <c r="R10" s="59">
        <f t="shared" si="0"/>
        <v>301.49732286519185</v>
      </c>
      <c r="S10" s="59">
        <f ca="1">AVERAGE(OFFSET($R$3,0,0,'Données projet'!$E$9+1,1))-AVERAGE(OFFSET($H$3,0,0,'Données projet'!$E$9+1,1))</f>
        <v>237.22177246688199</v>
      </c>
      <c r="T10" s="59">
        <f t="shared" si="34"/>
        <v>149.27472147904302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5.25</v>
      </c>
      <c r="AI10" s="13">
        <f>IF('Données projet'!$A$62&gt;35,AI9+AH10-AQ9,IF(A10&lt;'Données projet'!$A$62,$AF$205^A10,IF(A10='Données projet'!$A$62,'Données projet'!$B$62,AI9+AH10-AQ9)))</f>
        <v>5.0981927926783266</v>
      </c>
      <c r="AJ10" s="13">
        <f>AI10*VLOOKUP('Données projet'!$B$10,Paramètres!$A$1:$I$89,3,0)*VLOOKUP('Données projet'!$B$10,Paramètres!$A$1:$I$89,5,0)</f>
        <v>4.4537812236837864</v>
      </c>
      <c r="AK10" s="13">
        <f t="shared" si="35"/>
        <v>1.7249197836166281</v>
      </c>
      <c r="AL10" s="20">
        <f t="shared" si="4"/>
        <v>10.761237587714888</v>
      </c>
      <c r="AM10" s="59">
        <f t="shared" si="5"/>
        <v>304.09457092104822</v>
      </c>
      <c r="AN10" s="59">
        <f ca="1">AVERAGE(OFFSET($AM$3,0,0,'Données projet'!$E$10+1,1))-AVERAGE(OFFSET($H$3,0,0,'Données projet'!$E$10+1,1))</f>
        <v>191.94797389630673</v>
      </c>
      <c r="AO10" s="59">
        <f t="shared" si="36"/>
        <v>273.52540822767878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1.3333333333333333</v>
      </c>
      <c r="BD10" s="12">
        <f>IF('Données projet'!$A$88&gt;35,BD9+BC10-BL9,IF(A10&lt;'Données projet'!$A$88,$BA$205^A10,IF(A10='Données projet'!$A$88,'Données projet'!$B$88,BD9+BC10-BL9)))</f>
        <v>5.0396841995794937</v>
      </c>
      <c r="BE10" s="13">
        <f>BD10*VLOOKUP('Données projet'!$B$11,Paramètres!$A$1:$I$89,3,0)*VLOOKUP('Données projet'!$B$11,Paramètres!$A$1:$I$89,5,0)</f>
        <v>3.0137311513485376</v>
      </c>
      <c r="BF10" s="13">
        <f t="shared" si="37"/>
        <v>1.2214868824221981</v>
      </c>
      <c r="BG10" s="20">
        <f t="shared" si="7"/>
        <v>7.3763380754840293</v>
      </c>
      <c r="BH10" s="59">
        <f t="shared" si="8"/>
        <v>300.70967140881737</v>
      </c>
      <c r="BI10" s="59">
        <f ca="1">AVERAGE(OFFSET($BH$3,0,0,'Données projet'!$E$11+1,1))-AVERAGE(OFFSET($H$3,0,0,'Données projet'!$E$11+1,1))</f>
        <v>72.647148358003676</v>
      </c>
      <c r="BJ10" s="59">
        <f t="shared" si="38"/>
        <v>87.231299224620898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3.1</v>
      </c>
      <c r="BY10" s="12">
        <f>IF('Données projet'!$A$114&gt;35,BY9+BX10-CG9,IF(A10&lt;'Données projet'!$A$114,$BV$205^A10,IF(A10='Données projet'!$A$114,'Données projet'!$B$114,BY9+BX10-CG9)))</f>
        <v>4.2397191751131711</v>
      </c>
      <c r="BZ10" s="13">
        <f>BY10*VLOOKUP('Données projet'!$B$12,Paramètres!$A$1:$I$89,3,0)*VLOOKUP('Données projet'!$B$12,Paramètres!$A$1:$I$89,5,0)</f>
        <v>2.5353520667176763</v>
      </c>
      <c r="CA10" s="13">
        <f t="shared" si="39"/>
        <v>1.0484803242866916</v>
      </c>
      <c r="CB10" s="20">
        <f t="shared" si="10"/>
        <v>6.2418414143326073</v>
      </c>
      <c r="CC10" s="59">
        <f t="shared" si="11"/>
        <v>299.57517474766593</v>
      </c>
      <c r="CD10" s="59">
        <f ca="1">AVERAGE(OFFSET($CC$3,0,0,'Données projet'!$E$12+1,1))-AVERAGE(OFFSET($H$3,0,0,'Données projet'!$E$12+1,1))</f>
        <v>165.39579887388538</v>
      </c>
      <c r="CE10" s="59">
        <f t="shared" si="40"/>
        <v>155.89639262545802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3.56</v>
      </c>
      <c r="CT10" s="12">
        <f>IF('Données projet'!$A$140&gt;35,CT9+CS10-DB9,IF(A10&lt;'Données projet'!$A$140,$CQ$205^A10,IF(A10='Données projet'!$A$140,'Données projet'!$B$140,CT9+CS10-DB9)))</f>
        <v>3.5142220698896103</v>
      </c>
      <c r="CU10" s="17">
        <f>CT10*VLOOKUP('Données projet'!$B$13,Paramètres!$A$1:$I$89,3,0)*VLOOKUP('Données projet'!$B$13,Paramètres!$A$1:$I$89,5,0)</f>
        <v>2.7410932145138962</v>
      </c>
      <c r="CV10" s="13">
        <f t="shared" si="41"/>
        <v>1.1233149492242895</v>
      </c>
      <c r="CW10" s="20">
        <f t="shared" si="13"/>
        <v>6.730510885177341</v>
      </c>
      <c r="CX10" s="59">
        <f t="shared" si="14"/>
        <v>300.06384421851067</v>
      </c>
      <c r="CY10" s="59">
        <f ca="1">AVERAGE(OFFSET($CX$3,0,0,'Données projet'!$E$13+1,1))-AVERAGE(OFFSET($H$3,0,0,'Données projet'!$E$13+1,1))</f>
        <v>190.06335940156185</v>
      </c>
      <c r="CZ10" s="59">
        <f t="shared" si="42"/>
        <v>166.43663896839928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2.1</v>
      </c>
      <c r="DO10" s="12">
        <f>IF('Données projet'!$A$166&gt;35,DO9+DN10-DW9,IF(A10&lt;'Données projet'!$A$166,$DL$205^A10,IF(A10='Données projet'!$A$166,'Données projet'!$B$166,DO9+DN10-DW9)))</f>
        <v>3.6994507637402658</v>
      </c>
      <c r="DP10" s="17">
        <f>DO10*VLOOKUP('Données projet'!$B$14,Paramètres!$A$1:$I$89,3,0)*VLOOKUP('Données projet'!$B$14,Paramètres!$A$1:$I$89,5,0)</f>
        <v>3.5781087786895851</v>
      </c>
      <c r="DQ10" s="13">
        <f t="shared" si="43"/>
        <v>1.4215440842341414</v>
      </c>
      <c r="DR10" s="20">
        <f t="shared" si="16"/>
        <v>8.707728736258824</v>
      </c>
      <c r="DS10" s="59">
        <f t="shared" si="17"/>
        <v>302.04106206959216</v>
      </c>
      <c r="DT10" s="59">
        <f ca="1">AVERAGE(OFFSET($DS$3,0,0,'Données projet'!$E$14+1,1))-AVERAGE(OFFSET($H$3,0,0,'Données projet'!$E$14+1,1))</f>
        <v>261.22357949323879</v>
      </c>
      <c r="DU10" s="59">
        <f t="shared" si="44"/>
        <v>163.41029152029387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5.75</v>
      </c>
      <c r="EJ10" s="12">
        <f>IF('Données projet'!$A$192&gt;35,EJ9+EI10-ER9,IF(A10&lt;'Données projet'!$A$192,$EG$205^A10,IF(A10='Données projet'!$A$192,'Données projet'!$B$192,EJ9+EI10-ER9)))</f>
        <v>5.2631317795673525</v>
      </c>
      <c r="EK10" s="17">
        <f>EJ10*VLOOKUP('Données projet'!$B$15,Paramètres!$A$1:$I$89,3,0)*VLOOKUP('Données projet'!$B$15,Paramètres!$A$1:$I$89,5,0)</f>
        <v>2.4631456728375212</v>
      </c>
      <c r="EL10" s="13">
        <f t="shared" si="45"/>
        <v>1.0220513465701448</v>
      </c>
      <c r="EM10" s="20">
        <f t="shared" si="19"/>
        <v>6.0700514754683512</v>
      </c>
      <c r="EN10" s="59">
        <f t="shared" si="20"/>
        <v>299.40338480880166</v>
      </c>
      <c r="EO10" s="59">
        <f ca="1">AVERAGE(OFFSET($EN$3,0,0,'Données projet'!$E$15+1,1))-AVERAGE(OFFSET($H$3,0,0,'Données projet'!$E$15+1,1))</f>
        <v>123.60520571614535</v>
      </c>
      <c r="EP10" s="59">
        <f t="shared" si="46"/>
        <v>119.00926870519527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2.85</v>
      </c>
      <c r="FE10" s="12">
        <f>IF('Données projet'!$A$218&gt;35,FE9+FD10-FM9,IF(A10&lt;'Données projet'!$A$218,$FB$205^A10,IF(A10='Données projet'!$A$218,'Données projet'!$B$218,FE9+FD10-FM9)))</f>
        <v>4.116766164969822</v>
      </c>
      <c r="FF10" s="17">
        <f>FE10*VLOOKUP('Données projet'!$B$16,Paramètres!$A$1:$I$89,3,0)*VLOOKUP('Données projet'!$B$16,Paramètres!$A$1:$I$89,5,0)</f>
        <v>3.0184129521558734</v>
      </c>
      <c r="FG10" s="13">
        <f t="shared" si="47"/>
        <v>1.2231634215537663</v>
      </c>
      <c r="FH10" s="20">
        <f t="shared" si="22"/>
        <v>7.3874121842109552</v>
      </c>
      <c r="FI10" s="59">
        <f t="shared" si="23"/>
        <v>300.72074551754429</v>
      </c>
      <c r="FJ10" s="59">
        <f ca="1">AVERAGE(OFFSET($FI$3,0,0,'Données projet'!$E$16+1,1))-AVERAGE(OFFSET($H$3,0,0,'Données projet'!$E$16+1,1))</f>
        <v>124.15919323713428</v>
      </c>
      <c r="FK10" s="59">
        <f t="shared" si="48"/>
        <v>157.85954678210715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2.1</v>
      </c>
      <c r="N11" s="13">
        <f>IF('Données projet'!$A$36&gt;35,N10+M11-V10,IF(A11&lt;'Données projet'!$A$36,$K$205^A11,IF(A11='Données projet'!$A$36,'Données projet'!$B$36,N10+M11-V10)))</f>
        <v>4.4596391171162209</v>
      </c>
      <c r="O11" s="13">
        <f>N11*VLOOKUP('Données projet'!$B$9,Paramètres!$A$1:$I$89,3,0)*VLOOKUP('Données projet'!$B$9,Paramètres!$A$1:$I$89,5,0)</f>
        <v>4.0350814731667564</v>
      </c>
      <c r="P11" s="13">
        <f t="shared" si="33"/>
        <v>1.5808227025391921</v>
      </c>
      <c r="Q11" s="20">
        <f t="shared" si="2"/>
        <v>9.7810331060211926</v>
      </c>
      <c r="R11" s="59">
        <f t="shared" si="0"/>
        <v>303.11436643935451</v>
      </c>
      <c r="S11" s="59">
        <f ca="1">AVERAGE(OFFSET($R$3,0,0,'Données projet'!$E$9+1,1))-AVERAGE(OFFSET($H$3,0,0,'Données projet'!$E$9+1,1))</f>
        <v>237.22177246688199</v>
      </c>
      <c r="T11" s="59">
        <f t="shared" si="34"/>
        <v>149.27472147904302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5.25</v>
      </c>
      <c r="AI11" s="13">
        <f>IF('Données projet'!$A$62&gt;35,AI10+AH11-AQ10,IF(A11&lt;'Données projet'!$A$62,$AF$205^A11,IF(A11='Données projet'!$A$62,'Données projet'!$B$62,AI10+AH11-AQ10)))</f>
        <v>6.433920934643699</v>
      </c>
      <c r="AJ11" s="13">
        <f>AI11*VLOOKUP('Données projet'!$B$10,Paramètres!$A$1:$I$89,3,0)*VLOOKUP('Données projet'!$B$10,Paramètres!$A$1:$I$89,5,0)</f>
        <v>5.6206733285047363</v>
      </c>
      <c r="AK11" s="13">
        <f t="shared" si="35"/>
        <v>2.1186784367707316</v>
      </c>
      <c r="AL11" s="20">
        <f t="shared" si="4"/>
        <v>13.479370991188105</v>
      </c>
      <c r="AM11" s="59">
        <f t="shared" si="5"/>
        <v>306.81270432452141</v>
      </c>
      <c r="AN11" s="59">
        <f ca="1">AVERAGE(OFFSET($AM$3,0,0,'Données projet'!$E$10+1,1))-AVERAGE(OFFSET($H$3,0,0,'Données projet'!$E$10+1,1))</f>
        <v>191.94797389630673</v>
      </c>
      <c r="AO11" s="59">
        <f t="shared" si="36"/>
        <v>273.52540822767878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1.3333333333333333</v>
      </c>
      <c r="BD11" s="12">
        <f>IF('Données projet'!$A$88&gt;35,BD10+BC11-BL10,IF(A11&lt;'Données projet'!$A$88,$BA$205^A11,IF(A11='Données projet'!$A$88,'Données projet'!$B$88,BD10+BC11-BL10)))</f>
        <v>6.3496042078728001</v>
      </c>
      <c r="BE11" s="13">
        <f>BD11*VLOOKUP('Données projet'!$B$11,Paramètres!$A$1:$I$89,3,0)*VLOOKUP('Données projet'!$B$11,Paramètres!$A$1:$I$89,5,0)</f>
        <v>3.797063316307935</v>
      </c>
      <c r="BF11" s="13">
        <f t="shared" si="37"/>
        <v>1.4981392264468638</v>
      </c>
      <c r="BG11" s="20">
        <f t="shared" si="7"/>
        <v>9.2224777619646083</v>
      </c>
      <c r="BH11" s="59">
        <f t="shared" si="8"/>
        <v>302.55581109529794</v>
      </c>
      <c r="BI11" s="59">
        <f ca="1">AVERAGE(OFFSET($BH$3,0,0,'Données projet'!$E$11+1,1))-AVERAGE(OFFSET($H$3,0,0,'Données projet'!$E$11+1,1))</f>
        <v>72.647148358003676</v>
      </c>
      <c r="BJ11" s="59">
        <f t="shared" si="38"/>
        <v>87.231299224620898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3.1</v>
      </c>
      <c r="BY11" s="12">
        <f>IF('Données projet'!$A$114&gt;35,BY10+BX11-CG10,IF(A11&lt;'Données projet'!$A$114,$BV$205^A11,IF(A11='Données projet'!$A$114,'Données projet'!$B$114,BY10+BX11-CG10)))</f>
        <v>5.2114272053424884</v>
      </c>
      <c r="BZ11" s="13">
        <f>BY11*VLOOKUP('Données projet'!$B$12,Paramètres!$A$1:$I$89,3,0)*VLOOKUP('Données projet'!$B$12,Paramètres!$A$1:$I$89,5,0)</f>
        <v>3.1164334687948081</v>
      </c>
      <c r="CA11" s="13">
        <f t="shared" si="39"/>
        <v>1.2581955643227483</v>
      </c>
      <c r="CB11" s="20">
        <f t="shared" si="10"/>
        <v>7.6191455660130769</v>
      </c>
      <c r="CC11" s="59">
        <f t="shared" si="11"/>
        <v>300.95247889934637</v>
      </c>
      <c r="CD11" s="59">
        <f ca="1">AVERAGE(OFFSET($CC$3,0,0,'Données projet'!$E$12+1,1))-AVERAGE(OFFSET($H$3,0,0,'Données projet'!$E$12+1,1))</f>
        <v>165.39579887388538</v>
      </c>
      <c r="CE11" s="59">
        <f t="shared" si="40"/>
        <v>155.89639262545802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3.56</v>
      </c>
      <c r="CT11" s="12">
        <f>IF('Données projet'!$A$140&gt;35,CT10+CS11-DB10,IF(A11&lt;'Données projet'!$A$140,$CQ$205^A11,IF(A11='Données projet'!$A$140,'Données projet'!$B$140,CT10+CS11-DB10)))</f>
        <v>4.2053757120435398</v>
      </c>
      <c r="CU11" s="17">
        <f>CT11*VLOOKUP('Données projet'!$B$13,Paramètres!$A$1:$I$89,3,0)*VLOOKUP('Données projet'!$B$13,Paramètres!$A$1:$I$89,5,0)</f>
        <v>3.2801930553939611</v>
      </c>
      <c r="CV11" s="13">
        <f t="shared" si="41"/>
        <v>1.3164391182645805</v>
      </c>
      <c r="CW11" s="20">
        <f t="shared" si="13"/>
        <v>8.0058010357886271</v>
      </c>
      <c r="CX11" s="59">
        <f t="shared" si="14"/>
        <v>301.33913436912195</v>
      </c>
      <c r="CY11" s="59">
        <f ca="1">AVERAGE(OFFSET($CX$3,0,0,'Données projet'!$E$13+1,1))-AVERAGE(OFFSET($H$3,0,0,'Données projet'!$E$13+1,1))</f>
        <v>190.06335940156185</v>
      </c>
      <c r="CZ11" s="59">
        <f t="shared" si="42"/>
        <v>166.43663896839928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2.1</v>
      </c>
      <c r="DO11" s="12">
        <f>IF('Données projet'!$A$166&gt;35,DO10+DN11-DW10,IF(A11&lt;'Données projet'!$A$166,$DL$205^A11,IF(A11='Données projet'!$A$166,'Données projet'!$B$166,DO10+DN11-DW10)))</f>
        <v>4.4596391171162209</v>
      </c>
      <c r="DP11" s="17">
        <f>DO11*VLOOKUP('Données projet'!$B$14,Paramètres!$A$1:$I$89,3,0)*VLOOKUP('Données projet'!$B$14,Paramètres!$A$1:$I$89,5,0)</f>
        <v>4.3133629540748091</v>
      </c>
      <c r="DQ11" s="13">
        <f t="shared" si="43"/>
        <v>1.6767776864592203</v>
      </c>
      <c r="DR11" s="20">
        <f t="shared" si="16"/>
        <v>10.432828282263435</v>
      </c>
      <c r="DS11" s="59">
        <f t="shared" si="17"/>
        <v>303.76616161559673</v>
      </c>
      <c r="DT11" s="59">
        <f ca="1">AVERAGE(OFFSET($DS$3,0,0,'Données projet'!$E$14+1,1))-AVERAGE(OFFSET($H$3,0,0,'Données projet'!$E$14+1,1))</f>
        <v>261.22357949323879</v>
      </c>
      <c r="DU11" s="59">
        <f t="shared" si="44"/>
        <v>163.41029152029387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5.75</v>
      </c>
      <c r="EJ11" s="12">
        <f>IF('Données projet'!$A$192&gt;35,EJ10+EI11-ER10,IF(A11&lt;'Données projet'!$A$192,$EG$205^A11,IF(A11='Données projet'!$A$192,'Données projet'!$B$192,EJ10+EI11-ER10)))</f>
        <v>6.6723548683562202</v>
      </c>
      <c r="EK11" s="17">
        <f>EJ11*VLOOKUP('Données projet'!$B$15,Paramètres!$A$1:$I$89,3,0)*VLOOKUP('Données projet'!$B$15,Paramètres!$A$1:$I$89,5,0)</f>
        <v>3.1226620783907113</v>
      </c>
      <c r="EL11" s="13">
        <f t="shared" si="45"/>
        <v>1.2604172705122936</v>
      </c>
      <c r="EM11" s="20">
        <f t="shared" si="19"/>
        <v>7.6338631993393991</v>
      </c>
      <c r="EN11" s="59">
        <f t="shared" si="20"/>
        <v>300.96719653267269</v>
      </c>
      <c r="EO11" s="59">
        <f ca="1">AVERAGE(OFFSET($EN$3,0,0,'Données projet'!$E$15+1,1))-AVERAGE(OFFSET($H$3,0,0,'Données projet'!$E$15+1,1))</f>
        <v>123.60520571614535</v>
      </c>
      <c r="EP11" s="59">
        <f t="shared" si="46"/>
        <v>119.00926870519527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2.85</v>
      </c>
      <c r="FE11" s="12">
        <f>IF('Données projet'!$A$218&gt;35,FE10+FD11-FM10,IF(A11&lt;'Données projet'!$A$218,$FB$205^A11,IF(A11='Données projet'!$A$218,'Données projet'!$B$218,FE10+FD11-FM10)))</f>
        <v>5.0390647890332847</v>
      </c>
      <c r="FF11" s="17">
        <f>FE11*VLOOKUP('Données projet'!$B$16,Paramètres!$A$1:$I$89,3,0)*VLOOKUP('Données projet'!$B$16,Paramètres!$A$1:$I$89,5,0)</f>
        <v>3.694642303319204</v>
      </c>
      <c r="FG11" s="13">
        <f t="shared" si="47"/>
        <v>1.4623759504217435</v>
      </c>
      <c r="FH11" s="20">
        <f t="shared" si="22"/>
        <v>8.9818067919321507</v>
      </c>
      <c r="FI11" s="59">
        <f t="shared" si="23"/>
        <v>302.31514012526549</v>
      </c>
      <c r="FJ11" s="59">
        <f ca="1">AVERAGE(OFFSET($FI$3,0,0,'Données projet'!$E$16+1,1))-AVERAGE(OFFSET($H$3,0,0,'Données projet'!$E$16+1,1))</f>
        <v>124.15919323713428</v>
      </c>
      <c r="FK11" s="59">
        <f t="shared" si="48"/>
        <v>157.85954678210715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2.1</v>
      </c>
      <c r="N12" s="13">
        <f>IF('Données projet'!$A$36&gt;35,N11+M12-V11,IF(A12&lt;'Données projet'!$A$36,$K$205^A12,IF(A12='Données projet'!$A$36,'Données projet'!$B$36,N11+M12-V11)))</f>
        <v>5.3760361537574148</v>
      </c>
      <c r="O12" s="13">
        <f>N12*VLOOKUP('Données projet'!$B$9,Paramètres!$A$1:$I$89,3,0)*VLOOKUP('Données projet'!$B$9,Paramètres!$A$1:$I$89,5,0)</f>
        <v>4.8642375119197085</v>
      </c>
      <c r="P12" s="13">
        <f t="shared" si="33"/>
        <v>1.8646542609995393</v>
      </c>
      <c r="Q12" s="20">
        <f t="shared" si="2"/>
        <v>11.719486504501022</v>
      </c>
      <c r="R12" s="59">
        <f t="shared" si="0"/>
        <v>305.05281983783436</v>
      </c>
      <c r="S12" s="59">
        <f ca="1">AVERAGE(OFFSET($R$3,0,0,'Données projet'!$E$9+1,1))-AVERAGE(OFFSET($H$3,0,0,'Données projet'!$E$9+1,1))</f>
        <v>237.22177246688199</v>
      </c>
      <c r="T12" s="59">
        <f t="shared" si="34"/>
        <v>149.27472147904302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5.25</v>
      </c>
      <c r="AI12" s="13">
        <f>IF('Données projet'!$A$62&gt;35,AI11+AH12-AQ11,IF(A12&lt;'Données projet'!$A$62,$AF$205^A12,IF(A12='Données projet'!$A$62,'Données projet'!$B$62,AI11+AH12-AQ11)))</f>
        <v>8.1196102769388379</v>
      </c>
      <c r="AJ12" s="13">
        <f>AI12*VLOOKUP('Données projet'!$B$10,Paramètres!$A$1:$I$89,3,0)*VLOOKUP('Données projet'!$B$10,Paramètres!$A$1:$I$89,5,0)</f>
        <v>7.0932915379337693</v>
      </c>
      <c r="AK12" s="13">
        <f t="shared" si="35"/>
        <v>2.602322937606778</v>
      </c>
      <c r="AL12" s="20">
        <f t="shared" si="4"/>
        <v>16.886528544899786</v>
      </c>
      <c r="AM12" s="59">
        <f t="shared" si="5"/>
        <v>310.21986187823308</v>
      </c>
      <c r="AN12" s="59">
        <f ca="1">AVERAGE(OFFSET($AM$3,0,0,'Données projet'!$E$10+1,1))-AVERAGE(OFFSET($H$3,0,0,'Données projet'!$E$10+1,1))</f>
        <v>191.94797389630673</v>
      </c>
      <c r="AO12" s="59">
        <f t="shared" si="36"/>
        <v>273.52540822767878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1.3333333333333333</v>
      </c>
      <c r="BD12" s="12">
        <f>IF('Données projet'!$A$88&gt;35,BD11+BC12-BL11,IF(A12&lt;'Données projet'!$A$88,$BA$205^A12,IF(A12='Données projet'!$A$88,'Données projet'!$B$88,BD11+BC12-BL11)))</f>
        <v>8.0000000000000036</v>
      </c>
      <c r="BE12" s="13">
        <f>BD12*VLOOKUP('Données projet'!$B$11,Paramètres!$A$1:$I$89,3,0)*VLOOKUP('Données projet'!$B$11,Paramètres!$A$1:$I$89,5,0)</f>
        <v>4.7840000000000025</v>
      </c>
      <c r="BF12" s="13">
        <f t="shared" si="37"/>
        <v>1.8374500570715424</v>
      </c>
      <c r="BG12" s="20">
        <f t="shared" si="7"/>
        <v>11.532358849399607</v>
      </c>
      <c r="BH12" s="59">
        <f t="shared" si="8"/>
        <v>304.86569218273291</v>
      </c>
      <c r="BI12" s="59">
        <f ca="1">AVERAGE(OFFSET($BH$3,0,0,'Données projet'!$E$11+1,1))-AVERAGE(OFFSET($H$3,0,0,'Données projet'!$E$11+1,1))</f>
        <v>72.647148358003676</v>
      </c>
      <c r="BJ12" s="59">
        <f t="shared" si="38"/>
        <v>87.231299224620898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3.1</v>
      </c>
      <c r="BY12" s="12">
        <f>IF('Données projet'!$A$114&gt;35,BY11+BX12-CG11,IF(A12&lt;'Données projet'!$A$114,$BV$205^A12,IF(A12='Données projet'!$A$114,'Données projet'!$B$114,BY11+BX12-CG11)))</f>
        <v>6.4058425558006133</v>
      </c>
      <c r="BZ12" s="13">
        <f>BY12*VLOOKUP('Données projet'!$B$12,Paramètres!$A$1:$I$89,3,0)*VLOOKUP('Données projet'!$B$12,Paramètres!$A$1:$I$89,5,0)</f>
        <v>3.8306938483687669</v>
      </c>
      <c r="CA12" s="13">
        <f t="shared" si="39"/>
        <v>1.5098576877524461</v>
      </c>
      <c r="CB12" s="20">
        <f t="shared" si="10"/>
        <v>9.3014605920777775</v>
      </c>
      <c r="CC12" s="59">
        <f t="shared" si="11"/>
        <v>302.63479392541109</v>
      </c>
      <c r="CD12" s="59">
        <f ca="1">AVERAGE(OFFSET($CC$3,0,0,'Données projet'!$E$12+1,1))-AVERAGE(OFFSET($H$3,0,0,'Données projet'!$E$12+1,1))</f>
        <v>165.39579887388538</v>
      </c>
      <c r="CE12" s="59">
        <f t="shared" si="40"/>
        <v>155.89639262545802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3.56</v>
      </c>
      <c r="CT12" s="12">
        <f>IF('Données projet'!$A$140&gt;35,CT11+CS12-DB11,IF(A12&lt;'Données projet'!$A$140,$CQ$205^A12,IF(A12='Données projet'!$A$140,'Données projet'!$B$140,CT11+CS12-DB11)))</f>
        <v>5.0324608199849017</v>
      </c>
      <c r="CU12" s="17">
        <f>CT12*VLOOKUP('Données projet'!$B$13,Paramètres!$A$1:$I$89,3,0)*VLOOKUP('Données projet'!$B$13,Paramètres!$A$1:$I$89,5,0)</f>
        <v>3.9253194395882236</v>
      </c>
      <c r="CV12" s="13">
        <f t="shared" si="41"/>
        <v>1.5427658585813051</v>
      </c>
      <c r="CW12" s="20">
        <f t="shared" si="13"/>
        <v>9.5235818943119295</v>
      </c>
      <c r="CX12" s="59">
        <f t="shared" si="14"/>
        <v>302.85691522764523</v>
      </c>
      <c r="CY12" s="59">
        <f ca="1">AVERAGE(OFFSET($CX$3,0,0,'Données projet'!$E$13+1,1))-AVERAGE(OFFSET($H$3,0,0,'Données projet'!$E$13+1,1))</f>
        <v>190.06335940156185</v>
      </c>
      <c r="CZ12" s="59">
        <f t="shared" si="42"/>
        <v>166.43663896839928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2.1</v>
      </c>
      <c r="DO12" s="12">
        <f>IF('Données projet'!$A$166&gt;35,DO11+DN12-DW11,IF(A12&lt;'Données projet'!$A$166,$DL$205^A12,IF(A12='Données projet'!$A$166,'Données projet'!$B$166,DO11+DN12-DW11)))</f>
        <v>5.3760361537574148</v>
      </c>
      <c r="DP12" s="17">
        <f>DO12*VLOOKUP('Données projet'!$B$14,Paramètres!$A$1:$I$89,3,0)*VLOOKUP('Données projet'!$B$14,Paramètres!$A$1:$I$89,5,0)</f>
        <v>5.1997021679141717</v>
      </c>
      <c r="DQ12" s="13">
        <f t="shared" si="43"/>
        <v>1.977837649208241</v>
      </c>
      <c r="DR12" s="20">
        <f t="shared" si="16"/>
        <v>12.500881848154869</v>
      </c>
      <c r="DS12" s="59">
        <f t="shared" si="17"/>
        <v>305.83421518148816</v>
      </c>
      <c r="DT12" s="59">
        <f ca="1">AVERAGE(OFFSET($DS$3,0,0,'Données projet'!$E$14+1,1))-AVERAGE(OFFSET($H$3,0,0,'Données projet'!$E$14+1,1))</f>
        <v>261.22357949323879</v>
      </c>
      <c r="DU12" s="59">
        <f t="shared" si="44"/>
        <v>163.41029152029387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5.75</v>
      </c>
      <c r="EJ12" s="12">
        <f>IF('Données projet'!$A$192&gt;35,EJ11+EI12-ER11,IF(A12&lt;'Données projet'!$A$192,$EG$205^A12,IF(A12='Données projet'!$A$192,'Données projet'!$B$192,EJ11+EI12-ER11)))</f>
        <v>8.4589026750412604</v>
      </c>
      <c r="EK12" s="17">
        <f>EJ12*VLOOKUP('Données projet'!$B$15,Paramètres!$A$1:$I$89,3,0)*VLOOKUP('Données projet'!$B$15,Paramètres!$A$1:$I$89,5,0)</f>
        <v>3.9587664519193098</v>
      </c>
      <c r="EL12" s="13">
        <f t="shared" si="45"/>
        <v>1.5543756203021926</v>
      </c>
      <c r="EM12" s="20">
        <f t="shared" si="19"/>
        <v>9.6020557757857823</v>
      </c>
      <c r="EN12" s="59">
        <f t="shared" si="20"/>
        <v>302.93538910911911</v>
      </c>
      <c r="EO12" s="59">
        <f ca="1">AVERAGE(OFFSET($EN$3,0,0,'Données projet'!$E$15+1,1))-AVERAGE(OFFSET($H$3,0,0,'Données projet'!$E$15+1,1))</f>
        <v>123.60520571614535</v>
      </c>
      <c r="EP12" s="59">
        <f t="shared" si="46"/>
        <v>119.00926870519527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2.85</v>
      </c>
      <c r="FE12" s="12">
        <f>IF('Données projet'!$A$218&gt;35,FE11+FD12-FM11,IF(A12&lt;'Données projet'!$A$218,$FB$205^A12,IF(A12='Données projet'!$A$218,'Données projet'!$B$218,FE11+FD12-FM11)))</f>
        <v>6.167990342551116</v>
      </c>
      <c r="FF12" s="17">
        <f>FE12*VLOOKUP('Données projet'!$B$16,Paramètres!$A$1:$I$89,3,0)*VLOOKUP('Données projet'!$B$16,Paramètres!$A$1:$I$89,5,0)</f>
        <v>4.5223705191584775</v>
      </c>
      <c r="FG12" s="13">
        <f t="shared" si="47"/>
        <v>1.7483709720940954</v>
      </c>
      <c r="FH12" s="20">
        <f t="shared" si="22"/>
        <v>10.92154143059823</v>
      </c>
      <c r="FI12" s="59">
        <f t="shared" si="23"/>
        <v>304.25487476393153</v>
      </c>
      <c r="FJ12" s="59">
        <f ca="1">AVERAGE(OFFSET($FI$3,0,0,'Données projet'!$E$16+1,1))-AVERAGE(OFFSET($H$3,0,0,'Données projet'!$E$16+1,1))</f>
        <v>124.15919323713428</v>
      </c>
      <c r="FK12" s="59">
        <f t="shared" si="48"/>
        <v>157.85954678210715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2.1</v>
      </c>
      <c r="N13" s="13">
        <f>IF('Données projet'!$A$36&gt;35,N12+M13-V12,IF(A13&lt;'Données projet'!$A$36,$K$205^A13,IF(A13='Données projet'!$A$36,'Données projet'!$B$36,N12+M13-V12)))</f>
        <v>6.4807406984078657</v>
      </c>
      <c r="O13" s="13">
        <f>N13*VLOOKUP('Données projet'!$B$9,Paramètres!$A$1:$I$89,3,0)*VLOOKUP('Données projet'!$B$9,Paramètres!$A$1:$I$89,5,0)</f>
        <v>5.8637741839194364</v>
      </c>
      <c r="P13" s="13">
        <f t="shared" si="33"/>
        <v>2.1994468497187687</v>
      </c>
      <c r="Q13" s="20">
        <f t="shared" si="2"/>
        <v>14.043443300253207</v>
      </c>
      <c r="R13" s="59">
        <f t="shared" si="0"/>
        <v>307.37677663358653</v>
      </c>
      <c r="S13" s="59">
        <f ca="1">AVERAGE(OFFSET($R$3,0,0,'Données projet'!$E$9+1,1))-AVERAGE(OFFSET($H$3,0,0,'Données projet'!$E$9+1,1))</f>
        <v>237.22177246688199</v>
      </c>
      <c r="T13" s="59">
        <f t="shared" si="34"/>
        <v>149.27472147904302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5.25</v>
      </c>
      <c r="AI13" s="13">
        <f>IF('Données projet'!$A$62&gt;35,AI12+AH13-AQ12,IF(A13&lt;'Données projet'!$A$62,$AF$205^A13,IF(A13='Données projet'!$A$62,'Données projet'!$B$62,AI12+AH13-AQ12)))</f>
        <v>10.246950765959603</v>
      </c>
      <c r="AJ13" s="13">
        <f>AI13*VLOOKUP('Données projet'!$B$10,Paramètres!$A$1:$I$89,3,0)*VLOOKUP('Données projet'!$B$10,Paramètres!$A$1:$I$89,5,0)</f>
        <v>8.9517361891423111</v>
      </c>
      <c r="AK13" s="13">
        <f t="shared" si="35"/>
        <v>3.1963721129461788</v>
      </c>
      <c r="AL13" s="20">
        <f t="shared" si="4"/>
        <v>21.157955292804118</v>
      </c>
      <c r="AM13" s="59">
        <f t="shared" si="5"/>
        <v>314.49128862613742</v>
      </c>
      <c r="AN13" s="59">
        <f ca="1">AVERAGE(OFFSET($AM$3,0,0,'Données projet'!$E$10+1,1))-AVERAGE(OFFSET($H$3,0,0,'Données projet'!$E$10+1,1))</f>
        <v>191.94797389630673</v>
      </c>
      <c r="AO13" s="59">
        <f t="shared" si="36"/>
        <v>273.52540822767878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1.3333333333333333</v>
      </c>
      <c r="BD13" s="12">
        <f>IF('Données projet'!$A$88&gt;35,BD12+BC13-BL12,IF(A13&lt;'Données projet'!$A$88,$BA$205^A13,IF(A13='Données projet'!$A$88,'Données projet'!$B$88,BD12+BC13-BL12)))</f>
        <v>10.079368399158989</v>
      </c>
      <c r="BE13" s="13">
        <f>BD13*VLOOKUP('Données projet'!$B$11,Paramètres!$A$1:$I$89,3,0)*VLOOKUP('Données projet'!$B$11,Paramètres!$A$1:$I$89,5,0)</f>
        <v>6.0274623026970753</v>
      </c>
      <c r="BF13" s="13">
        <f t="shared" si="37"/>
        <v>2.2536107810484336</v>
      </c>
      <c r="BG13" s="20">
        <f t="shared" si="7"/>
        <v>14.422868954190093</v>
      </c>
      <c r="BH13" s="59">
        <f t="shared" si="8"/>
        <v>307.75620228752342</v>
      </c>
      <c r="BI13" s="59">
        <f ca="1">AVERAGE(OFFSET($BH$3,0,0,'Données projet'!$E$11+1,1))-AVERAGE(OFFSET($H$3,0,0,'Données projet'!$E$11+1,1))</f>
        <v>72.647148358003676</v>
      </c>
      <c r="BJ13" s="59">
        <f t="shared" si="38"/>
        <v>87.231299224620898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3.1</v>
      </c>
      <c r="BY13" s="12">
        <f>IF('Données projet'!$A$114&gt;35,BY12+BX13-CG12,IF(A13&lt;'Données projet'!$A$114,$BV$205^A13,IF(A13='Données projet'!$A$114,'Données projet'!$B$114,BY12+BX13-CG12)))</f>
        <v>7.8740078740118129</v>
      </c>
      <c r="BZ13" s="13">
        <f>BY13*VLOOKUP('Données projet'!$B$12,Paramètres!$A$1:$I$89,3,0)*VLOOKUP('Données projet'!$B$12,Paramètres!$A$1:$I$89,5,0)</f>
        <v>4.7086567086590643</v>
      </c>
      <c r="CA13" s="13">
        <f t="shared" si="39"/>
        <v>1.8118568384019429</v>
      </c>
      <c r="CB13" s="20">
        <f t="shared" si="10"/>
        <v>11.356561094464588</v>
      </c>
      <c r="CC13" s="59">
        <f t="shared" si="11"/>
        <v>304.68989442779792</v>
      </c>
      <c r="CD13" s="59">
        <f ca="1">AVERAGE(OFFSET($CC$3,0,0,'Données projet'!$E$12+1,1))-AVERAGE(OFFSET($H$3,0,0,'Données projet'!$E$12+1,1))</f>
        <v>165.39579887388538</v>
      </c>
      <c r="CE13" s="59">
        <f t="shared" si="40"/>
        <v>155.89639262545802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3.56</v>
      </c>
      <c r="CT13" s="12">
        <f>IF('Données projet'!$A$140&gt;35,CT12+CS13-DB12,IF(A13&lt;'Données projet'!$A$140,$CQ$205^A13,IF(A13='Données projet'!$A$140,'Données projet'!$B$140,CT12+CS13-DB12)))</f>
        <v>6.0222114833056102</v>
      </c>
      <c r="CU13" s="17">
        <f>CT13*VLOOKUP('Données projet'!$B$13,Paramètres!$A$1:$I$89,3,0)*VLOOKUP('Données projet'!$B$13,Paramètres!$A$1:$I$89,5,0)</f>
        <v>4.6973249569783757</v>
      </c>
      <c r="CV13" s="13">
        <f t="shared" si="41"/>
        <v>1.8080034704086858</v>
      </c>
      <c r="CW13" s="20">
        <f t="shared" si="13"/>
        <v>11.330113677699131</v>
      </c>
      <c r="CX13" s="59">
        <f t="shared" si="14"/>
        <v>304.66344701103242</v>
      </c>
      <c r="CY13" s="59">
        <f ca="1">AVERAGE(OFFSET($CX$3,0,0,'Données projet'!$E$13+1,1))-AVERAGE(OFFSET($H$3,0,0,'Données projet'!$E$13+1,1))</f>
        <v>190.06335940156185</v>
      </c>
      <c r="CZ13" s="59">
        <f t="shared" si="42"/>
        <v>166.43663896839928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2.1</v>
      </c>
      <c r="DO13" s="12">
        <f>IF('Données projet'!$A$166&gt;35,DO12+DN13-DW12,IF(A13&lt;'Données projet'!$A$166,$DL$205^A13,IF(A13='Données projet'!$A$166,'Données projet'!$B$166,DO12+DN13-DW12)))</f>
        <v>6.4807406984078657</v>
      </c>
      <c r="DP13" s="17">
        <f>DO13*VLOOKUP('Données projet'!$B$14,Paramètres!$A$1:$I$89,3,0)*VLOOKUP('Données projet'!$B$14,Paramètres!$A$1:$I$89,5,0)</f>
        <v>6.2681724035000874</v>
      </c>
      <c r="DQ13" s="13">
        <f t="shared" si="43"/>
        <v>2.3329519459947301</v>
      </c>
      <c r="DR13" s="20">
        <f t="shared" si="16"/>
        <v>14.98029157537014</v>
      </c>
      <c r="DS13" s="59">
        <f t="shared" si="17"/>
        <v>308.31362490870345</v>
      </c>
      <c r="DT13" s="59">
        <f ca="1">AVERAGE(OFFSET($DS$3,0,0,'Données projet'!$E$14+1,1))-AVERAGE(OFFSET($H$3,0,0,'Données projet'!$E$14+1,1))</f>
        <v>261.22357949323879</v>
      </c>
      <c r="DU13" s="59">
        <f t="shared" si="44"/>
        <v>163.41029152029387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5.75</v>
      </c>
      <c r="EJ13" s="12">
        <f>IF('Données projet'!$A$192&gt;35,EJ12+EI13-ER12,IF(A13&lt;'Données projet'!$A$192,$EG$205^A13,IF(A13='Données projet'!$A$192,'Données projet'!$B$192,EJ12+EI13-ER12)))</f>
        <v>10.723805294763611</v>
      </c>
      <c r="EK13" s="17">
        <f>EJ13*VLOOKUP('Données projet'!$B$15,Paramètres!$A$1:$I$89,3,0)*VLOOKUP('Données projet'!$B$15,Paramètres!$A$1:$I$89,5,0)</f>
        <v>5.0187408779493703</v>
      </c>
      <c r="EL13" s="13">
        <f t="shared" si="45"/>
        <v>1.9168918305981435</v>
      </c>
      <c r="EM13" s="20">
        <f t="shared" si="19"/>
        <v>12.079560300720253</v>
      </c>
      <c r="EN13" s="59">
        <f t="shared" si="20"/>
        <v>305.41289363405355</v>
      </c>
      <c r="EO13" s="59">
        <f ca="1">AVERAGE(OFFSET($EN$3,0,0,'Données projet'!$E$15+1,1))-AVERAGE(OFFSET($H$3,0,0,'Données projet'!$E$15+1,1))</f>
        <v>123.60520571614535</v>
      </c>
      <c r="EP13" s="59">
        <f t="shared" si="46"/>
        <v>119.00926870519527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2.85</v>
      </c>
      <c r="FE13" s="12">
        <f>IF('Données projet'!$A$218&gt;35,FE12+FD13-FM12,IF(A13&lt;'Données projet'!$A$218,$FB$205^A13,IF(A13='Données projet'!$A$218,'Données projet'!$B$218,FE12+FD13-FM12)))</f>
        <v>7.5498344352707516</v>
      </c>
      <c r="FF13" s="17">
        <f>FE13*VLOOKUP('Données projet'!$B$16,Paramètres!$A$1:$I$89,3,0)*VLOOKUP('Données projet'!$B$16,Paramètres!$A$1:$I$89,5,0)</f>
        <v>5.5355386079405147</v>
      </c>
      <c r="FG13" s="13">
        <f t="shared" si="47"/>
        <v>2.0902976797311816</v>
      </c>
      <c r="FH13" s="20">
        <f t="shared" si="22"/>
        <v>13.28166486769487</v>
      </c>
      <c r="FI13" s="59">
        <f t="shared" si="23"/>
        <v>306.61499820102819</v>
      </c>
      <c r="FJ13" s="59">
        <f ca="1">AVERAGE(OFFSET($FI$3,0,0,'Données projet'!$E$16+1,1))-AVERAGE(OFFSET($H$3,0,0,'Données projet'!$E$16+1,1))</f>
        <v>124.15919323713428</v>
      </c>
      <c r="FK13" s="59">
        <f t="shared" si="48"/>
        <v>157.85954678210715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2.1</v>
      </c>
      <c r="N14" s="13">
        <f>IF('Données projet'!$A$36&gt;35,N13+M14-V13,IF(A14&lt;'Données projet'!$A$36,$K$205^A14,IF(A14='Données projet'!$A$36,'Données projet'!$B$36,N13+M14-V13)))</f>
        <v>7.8124474610620815</v>
      </c>
      <c r="O14" s="13">
        <f>N14*VLOOKUP('Données projet'!$B$9,Paramètres!$A$1:$I$89,3,0)*VLOOKUP('Données projet'!$B$9,Paramètres!$A$1:$I$89,5,0)</f>
        <v>7.0687024627689707</v>
      </c>
      <c r="P14" s="13">
        <f t="shared" si="33"/>
        <v>2.5943503554083325</v>
      </c>
      <c r="Q14" s="20">
        <f t="shared" si="2"/>
        <v>16.829816991658799</v>
      </c>
      <c r="R14" s="59">
        <f t="shared" si="0"/>
        <v>310.1631503249921</v>
      </c>
      <c r="S14" s="59">
        <f ca="1">AVERAGE(OFFSET($R$3,0,0,'Données projet'!$E$9+1,1))-AVERAGE(OFFSET($H$3,0,0,'Données projet'!$E$9+1,1))</f>
        <v>237.22177246688199</v>
      </c>
      <c r="T14" s="59">
        <f t="shared" si="34"/>
        <v>149.27472147904302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5.25</v>
      </c>
      <c r="AI14" s="13">
        <f>IF('Données projet'!$A$62&gt;35,AI13+AH14-AQ13,IF(A14&lt;'Données projet'!$A$62,$AF$205^A14,IF(A14='Données projet'!$A$62,'Données projet'!$B$62,AI13+AH14-AQ13)))</f>
        <v>12.93165514337789</v>
      </c>
      <c r="AJ14" s="13">
        <f>AI14*VLOOKUP('Données projet'!$B$10,Paramètres!$A$1:$I$89,3,0)*VLOOKUP('Données projet'!$B$10,Paramètres!$A$1:$I$89,5,0)</f>
        <v>11.297093933254926</v>
      </c>
      <c r="AK14" s="13">
        <f t="shared" si="35"/>
        <v>3.9260287556070481</v>
      </c>
      <c r="AL14" s="20">
        <f t="shared" si="4"/>
        <v>26.513605349767932</v>
      </c>
      <c r="AM14" s="59">
        <f t="shared" si="5"/>
        <v>319.84693868310126</v>
      </c>
      <c r="AN14" s="59">
        <f ca="1">AVERAGE(OFFSET($AM$3,0,0,'Données projet'!$E$10+1,1))-AVERAGE(OFFSET($H$3,0,0,'Données projet'!$E$10+1,1))</f>
        <v>191.94797389630673</v>
      </c>
      <c r="AO14" s="59">
        <f t="shared" si="36"/>
        <v>273.52540822767878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1.3333333333333333</v>
      </c>
      <c r="BD14" s="12">
        <f>IF('Données projet'!$A$88&gt;35,BD13+BC14-BL13,IF(A14&lt;'Données projet'!$A$88,$BA$205^A14,IF(A14='Données projet'!$A$88,'Données projet'!$B$88,BD13+BC14-BL13)))</f>
        <v>12.6992084157456</v>
      </c>
      <c r="BE14" s="13">
        <f>BD14*VLOOKUP('Données projet'!$B$11,Paramètres!$A$1:$I$89,3,0)*VLOOKUP('Données projet'!$B$11,Paramètres!$A$1:$I$89,5,0)</f>
        <v>7.5941266326158701</v>
      </c>
      <c r="BF14" s="13">
        <f t="shared" si="37"/>
        <v>2.7640269910530622</v>
      </c>
      <c r="BG14" s="20">
        <f t="shared" si="7"/>
        <v>18.040450894556724</v>
      </c>
      <c r="BH14" s="59">
        <f t="shared" si="8"/>
        <v>311.37378422789004</v>
      </c>
      <c r="BI14" s="59">
        <f ca="1">AVERAGE(OFFSET($BH$3,0,0,'Données projet'!$E$11+1,1))-AVERAGE(OFFSET($H$3,0,0,'Données projet'!$E$11+1,1))</f>
        <v>72.647148358003676</v>
      </c>
      <c r="BJ14" s="59">
        <f t="shared" si="38"/>
        <v>87.231299224620898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3.1</v>
      </c>
      <c r="BY14" s="12">
        <f>IF('Données projet'!$A$114&gt;35,BY13+BX14-CG13,IF(A14&lt;'Données projet'!$A$114,$BV$205^A14,IF(A14='Données projet'!$A$114,'Données projet'!$B$114,BY13+BX14-CG13)))</f>
        <v>9.6786643536622421</v>
      </c>
      <c r="BZ14" s="13">
        <f>BY14*VLOOKUP('Données projet'!$B$12,Paramètres!$A$1:$I$89,3,0)*VLOOKUP('Données projet'!$B$12,Paramètres!$A$1:$I$89,5,0)</f>
        <v>5.787841283490021</v>
      </c>
      <c r="CA14" s="13">
        <f t="shared" si="39"/>
        <v>2.1742613423061434</v>
      </c>
      <c r="CB14" s="20">
        <f t="shared" si="10"/>
        <v>13.86732873992832</v>
      </c>
      <c r="CC14" s="59">
        <f t="shared" si="11"/>
        <v>307.20066207326164</v>
      </c>
      <c r="CD14" s="59">
        <f ca="1">AVERAGE(OFFSET($CC$3,0,0,'Données projet'!$E$12+1,1))-AVERAGE(OFFSET($H$3,0,0,'Données projet'!$E$12+1,1))</f>
        <v>165.39579887388538</v>
      </c>
      <c r="CE14" s="59">
        <f t="shared" si="40"/>
        <v>155.89639262545802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3.56</v>
      </c>
      <c r="CT14" s="12">
        <f>IF('Données projet'!$A$140&gt;35,CT13+CS14-DB13,IF(A14&lt;'Données projet'!$A$140,$CQ$205^A14,IF(A14='Données projet'!$A$140,'Données projet'!$B$140,CT13+CS14-DB13)))</f>
        <v>7.206619673149639</v>
      </c>
      <c r="CU14" s="17">
        <f>CT14*VLOOKUP('Données projet'!$B$13,Paramètres!$A$1:$I$89,3,0)*VLOOKUP('Données projet'!$B$13,Paramètres!$A$1:$I$89,5,0)</f>
        <v>5.6211633450567184</v>
      </c>
      <c r="CV14" s="13">
        <f t="shared" si="41"/>
        <v>2.1188416445874947</v>
      </c>
      <c r="CW14" s="20">
        <f t="shared" si="13"/>
        <v>13.480508690297002</v>
      </c>
      <c r="CX14" s="59">
        <f t="shared" si="14"/>
        <v>306.81384202363034</v>
      </c>
      <c r="CY14" s="59">
        <f ca="1">AVERAGE(OFFSET($CX$3,0,0,'Données projet'!$E$13+1,1))-AVERAGE(OFFSET($H$3,0,0,'Données projet'!$E$13+1,1))</f>
        <v>190.06335940156185</v>
      </c>
      <c r="CZ14" s="59">
        <f t="shared" si="42"/>
        <v>166.43663896839928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2.1</v>
      </c>
      <c r="DO14" s="12">
        <f>IF('Données projet'!$A$166&gt;35,DO13+DN14-DW13,IF(A14&lt;'Données projet'!$A$166,$DL$205^A14,IF(A14='Données projet'!$A$166,'Données projet'!$B$166,DO13+DN14-DW13)))</f>
        <v>7.8124474610620815</v>
      </c>
      <c r="DP14" s="17">
        <f>DO14*VLOOKUP('Données projet'!$B$14,Paramètres!$A$1:$I$89,3,0)*VLOOKUP('Données projet'!$B$14,Paramètres!$A$1:$I$89,5,0)</f>
        <v>7.5561991843392455</v>
      </c>
      <c r="DQ14" s="13">
        <f t="shared" si="43"/>
        <v>2.7518258561310041</v>
      </c>
      <c r="DR14" s="20">
        <f t="shared" si="16"/>
        <v>17.953143612152349</v>
      </c>
      <c r="DS14" s="59">
        <f t="shared" si="17"/>
        <v>311.28647694548567</v>
      </c>
      <c r="DT14" s="59">
        <f ca="1">AVERAGE(OFFSET($DS$3,0,0,'Données projet'!$E$14+1,1))-AVERAGE(OFFSET($H$3,0,0,'Données projet'!$E$14+1,1))</f>
        <v>261.22357949323879</v>
      </c>
      <c r="DU14" s="59">
        <f t="shared" si="44"/>
        <v>163.41029152029387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5.75</v>
      </c>
      <c r="EJ14" s="12">
        <f>IF('Données projet'!$A$192&gt;35,EJ13+EI14-ER13,IF(A14&lt;'Données projet'!$A$192,$EG$205^A14,IF(A14='Données projet'!$A$192,'Données projet'!$B$192,EJ13+EI14-ER13)))</f>
        <v>13.595144006008928</v>
      </c>
      <c r="EK14" s="17">
        <f>EJ14*VLOOKUP('Données projet'!$B$15,Paramètres!$A$1:$I$89,3,0)*VLOOKUP('Données projet'!$B$15,Paramètres!$A$1:$I$89,5,0)</f>
        <v>6.3625273948121777</v>
      </c>
      <c r="EL14" s="13">
        <f t="shared" si="45"/>
        <v>2.3639551741679612</v>
      </c>
      <c r="EM14" s="20">
        <f t="shared" si="19"/>
        <v>15.198623807640407</v>
      </c>
      <c r="EN14" s="59">
        <f t="shared" si="20"/>
        <v>308.5319571409737</v>
      </c>
      <c r="EO14" s="59">
        <f ca="1">AVERAGE(OFFSET($EN$3,0,0,'Données projet'!$E$15+1,1))-AVERAGE(OFFSET($H$3,0,0,'Données projet'!$E$15+1,1))</f>
        <v>123.60520571614535</v>
      </c>
      <c r="EP14" s="59">
        <f t="shared" si="46"/>
        <v>119.00926870519527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2.85</v>
      </c>
      <c r="FE14" s="12">
        <f>IF('Données projet'!$A$218&gt;35,FE13+FD14-FM13,IF(A14&lt;'Données projet'!$A$218,$FB$205^A14,IF(A14='Données projet'!$A$218,'Données projet'!$B$218,FE13+FD14-FM13)))</f>
        <v>9.2412596055434975</v>
      </c>
      <c r="FF14" s="17">
        <f>FE14*VLOOKUP('Données projet'!$B$16,Paramètres!$A$1:$I$89,3,0)*VLOOKUP('Données projet'!$B$16,Paramètres!$A$1:$I$89,5,0)</f>
        <v>6.7756915427844921</v>
      </c>
      <c r="FG14" s="13">
        <f t="shared" si="47"/>
        <v>2.4990945626695109</v>
      </c>
      <c r="FH14" s="20">
        <f t="shared" si="22"/>
        <v>16.15358580033239</v>
      </c>
      <c r="FI14" s="59">
        <f t="shared" si="23"/>
        <v>309.48691913366571</v>
      </c>
      <c r="FJ14" s="59">
        <f ca="1">AVERAGE(OFFSET($FI$3,0,0,'Données projet'!$E$16+1,1))-AVERAGE(OFFSET($H$3,0,0,'Données projet'!$E$16+1,1))</f>
        <v>124.15919323713428</v>
      </c>
      <c r="FK14" s="59">
        <f t="shared" si="48"/>
        <v>157.85954678210715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2.1</v>
      </c>
      <c r="N15" s="13">
        <f>IF('Données projet'!$A$36&gt;35,N14+M15-V14,IF(A15&lt;'Données projet'!$A$36,$K$205^A15,IF(A15='Données projet'!$A$36,'Données projet'!$B$36,N14+M15-V14)))</f>
        <v>9.4178024044149407</v>
      </c>
      <c r="O15" s="13">
        <f>N15*VLOOKUP('Données projet'!$B$9,Paramètres!$A$1:$I$89,3,0)*VLOOKUP('Données projet'!$B$9,Paramètres!$A$1:$I$89,5,0)</f>
        <v>8.521227615514638</v>
      </c>
      <c r="P15" s="13">
        <f t="shared" si="33"/>
        <v>3.0601574970852128</v>
      </c>
      <c r="Q15" s="20">
        <f t="shared" si="2"/>
        <v>20.170912404444739</v>
      </c>
      <c r="R15" s="59">
        <f t="shared" si="0"/>
        <v>313.50424573777804</v>
      </c>
      <c r="S15" s="59">
        <f ca="1">AVERAGE(OFFSET($R$3,0,0,'Données projet'!$E$9+1,1))-AVERAGE(OFFSET($H$3,0,0,'Données projet'!$E$9+1,1))</f>
        <v>237.22177246688199</v>
      </c>
      <c r="T15" s="59">
        <f t="shared" si="34"/>
        <v>149.27472147904302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5.25</v>
      </c>
      <c r="AI15" s="13">
        <f>IF('Données projet'!$A$62&gt;35,AI14+AH15-AQ14,IF(A15&lt;'Données projet'!$A$62,$AF$205^A15,IF(A15='Données projet'!$A$62,'Données projet'!$B$62,AI14+AH15-AQ14)))</f>
        <v>16.319752926185881</v>
      </c>
      <c r="AJ15" s="13">
        <f>AI15*VLOOKUP('Données projet'!$B$10,Paramètres!$A$1:$I$89,3,0)*VLOOKUP('Données projet'!$B$10,Paramètres!$A$1:$I$89,5,0)</f>
        <v>14.256936156315987</v>
      </c>
      <c r="AK15" s="13">
        <f t="shared" si="35"/>
        <v>4.822248863773944</v>
      </c>
      <c r="AL15" s="20">
        <f t="shared" si="4"/>
        <v>33.229580576656623</v>
      </c>
      <c r="AM15" s="59">
        <f t="shared" si="5"/>
        <v>326.56291390998996</v>
      </c>
      <c r="AN15" s="59">
        <f ca="1">AVERAGE(OFFSET($AM$3,0,0,'Données projet'!$E$10+1,1))-AVERAGE(OFFSET($H$3,0,0,'Données projet'!$E$10+1,1))</f>
        <v>191.94797389630673</v>
      </c>
      <c r="AO15" s="59">
        <f t="shared" si="36"/>
        <v>273.52540822767878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>
        <f>VLOOKUP(A15,'Données projet'!$A$87:$I$107,2,0)</f>
        <v>16</v>
      </c>
      <c r="BB15" s="12">
        <f>VLOOKUP(A15,'Données projet'!$A$87:$I$107,9,0)</f>
        <v>1.3333333333333333</v>
      </c>
      <c r="BC15" s="12">
        <f t="array" ref="BC15">INDEX(BB:BB,MIN(IF(ISNUMBER(BB15:BB211),ROW(BB15:BB211),"")))</f>
        <v>1.3333333333333333</v>
      </c>
      <c r="BD15" s="12">
        <f>IF('Données projet'!$A$88&gt;35,BD14+BC15-BL14,IF(A15&lt;'Données projet'!$A$88,$BA$205^A15,IF(A15='Données projet'!$A$88,'Données projet'!$B$88,BD14+BC15-BL14)))</f>
        <v>16</v>
      </c>
      <c r="BE15" s="13">
        <f>BD15*VLOOKUP('Données projet'!$B$11,Paramètres!$A$1:$I$89,3,0)*VLOOKUP('Données projet'!$B$11,Paramètres!$A$1:$I$89,5,0)</f>
        <v>9.5680000000000014</v>
      </c>
      <c r="BF15" s="13">
        <f t="shared" si="37"/>
        <v>3.3900464408124646</v>
      </c>
      <c r="BG15" s="20">
        <f t="shared" si="7"/>
        <v>22.568597551081712</v>
      </c>
      <c r="BH15" s="59">
        <f t="shared" si="8"/>
        <v>315.90193088441504</v>
      </c>
      <c r="BI15" s="59">
        <f ca="1">AVERAGE(OFFSET($BH$3,0,0,'Données projet'!$E$11+1,1))-AVERAGE(OFFSET($H$3,0,0,'Données projet'!$E$11+1,1))</f>
        <v>72.647148358003676</v>
      </c>
      <c r="BJ15" s="59">
        <f t="shared" si="38"/>
        <v>87.231299224620898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3.1</v>
      </c>
      <c r="BY15" s="12">
        <f>IF('Données projet'!$A$114&gt;35,BY14+BX15-CG14,IF(A15&lt;'Données projet'!$A$114,$BV$205^A15,IF(A15='Données projet'!$A$114,'Données projet'!$B$114,BY14+BX15-CG14)))</f>
        <v>11.896932943137111</v>
      </c>
      <c r="BZ15" s="13">
        <f>BY15*VLOOKUP('Données projet'!$B$12,Paramètres!$A$1:$I$89,3,0)*VLOOKUP('Données projet'!$B$12,Paramètres!$A$1:$I$89,5,0)</f>
        <v>7.1143658999959936</v>
      </c>
      <c r="CA15" s="13">
        <f t="shared" si="39"/>
        <v>2.6091533748419611</v>
      </c>
      <c r="CB15" s="20">
        <f t="shared" si="10"/>
        <v>16.935129403676104</v>
      </c>
      <c r="CC15" s="59">
        <f t="shared" si="11"/>
        <v>310.26846273700943</v>
      </c>
      <c r="CD15" s="59">
        <f ca="1">AVERAGE(OFFSET($CC$3,0,0,'Données projet'!$E$12+1,1))-AVERAGE(OFFSET($H$3,0,0,'Données projet'!$E$12+1,1))</f>
        <v>165.39579887388538</v>
      </c>
      <c r="CE15" s="59">
        <f t="shared" si="40"/>
        <v>155.89639262545802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3.56</v>
      </c>
      <c r="CT15" s="12">
        <f>IF('Données projet'!$A$140&gt;35,CT14+CS15-DB14,IF(A15&lt;'Données projet'!$A$140,$CQ$205^A15,IF(A15='Données projet'!$A$140,'Données projet'!$B$140,CT14+CS15-DB14)))</f>
        <v>8.6239693271150166</v>
      </c>
      <c r="CU15" s="17">
        <f>CT15*VLOOKUP('Données projet'!$B$13,Paramètres!$A$1:$I$89,3,0)*VLOOKUP('Données projet'!$B$13,Paramètres!$A$1:$I$89,5,0)</f>
        <v>6.7266960751497136</v>
      </c>
      <c r="CV15" s="13">
        <f t="shared" si="41"/>
        <v>2.4831201866130401</v>
      </c>
      <c r="CW15" s="20">
        <f t="shared" si="13"/>
        <v>16.040429989236795</v>
      </c>
      <c r="CX15" s="59">
        <f t="shared" si="14"/>
        <v>309.37376332257008</v>
      </c>
      <c r="CY15" s="59">
        <f ca="1">AVERAGE(OFFSET($CX$3,0,0,'Données projet'!$E$13+1,1))-AVERAGE(OFFSET($H$3,0,0,'Données projet'!$E$13+1,1))</f>
        <v>190.06335940156185</v>
      </c>
      <c r="CZ15" s="59">
        <f t="shared" si="42"/>
        <v>166.43663896839928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2.1</v>
      </c>
      <c r="DO15" s="12">
        <f>IF('Données projet'!$A$166&gt;35,DO14+DN15-DW14,IF(A15&lt;'Données projet'!$A$166,$DL$205^A15,IF(A15='Données projet'!$A$166,'Données projet'!$B$166,DO14+DN15-DW14)))</f>
        <v>9.4178024044149407</v>
      </c>
      <c r="DP15" s="17">
        <f>DO15*VLOOKUP('Données projet'!$B$14,Paramètres!$A$1:$I$89,3,0)*VLOOKUP('Données projet'!$B$14,Paramètres!$A$1:$I$89,5,0)</f>
        <v>9.1088984855501316</v>
      </c>
      <c r="DQ15" s="13">
        <f t="shared" si="43"/>
        <v>3.2459072101643005</v>
      </c>
      <c r="DR15" s="20">
        <f t="shared" si="16"/>
        <v>21.517953253369303</v>
      </c>
      <c r="DS15" s="59">
        <f t="shared" si="17"/>
        <v>314.8512865867026</v>
      </c>
      <c r="DT15" s="59">
        <f ca="1">AVERAGE(OFFSET($DS$3,0,0,'Données projet'!$E$14+1,1))-AVERAGE(OFFSET($H$3,0,0,'Données projet'!$E$14+1,1))</f>
        <v>261.22357949323879</v>
      </c>
      <c r="DU15" s="59">
        <f t="shared" si="44"/>
        <v>163.41029152029387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5.75</v>
      </c>
      <c r="EJ15" s="12">
        <f>IF('Données projet'!$A$192&gt;35,EJ14+EI15-ER14,IF(A15&lt;'Données projet'!$A$192,$EG$205^A15,IF(A15='Données projet'!$A$192,'Données projet'!$B$192,EJ14+EI15-ER14)))</f>
        <v>17.23529432545471</v>
      </c>
      <c r="EK15" s="17">
        <f>EJ15*VLOOKUP('Données projet'!$B$15,Paramètres!$A$1:$I$89,3,0)*VLOOKUP('Données projet'!$B$15,Paramètres!$A$1:$I$89,5,0)</f>
        <v>8.0661177443128054</v>
      </c>
      <c r="EL15" s="13">
        <f t="shared" si="45"/>
        <v>2.915283990610841</v>
      </c>
      <c r="EM15" s="20">
        <f t="shared" si="19"/>
        <v>19.125941354992019</v>
      </c>
      <c r="EN15" s="59">
        <f t="shared" si="20"/>
        <v>312.45927468832531</v>
      </c>
      <c r="EO15" s="59">
        <f ca="1">AVERAGE(OFFSET($EN$3,0,0,'Données projet'!$E$15+1,1))-AVERAGE(OFFSET($H$3,0,0,'Données projet'!$E$15+1,1))</f>
        <v>123.60520571614535</v>
      </c>
      <c r="EP15" s="59">
        <f t="shared" si="46"/>
        <v>119.00926870519527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2.85</v>
      </c>
      <c r="FE15" s="12">
        <f>IF('Données projet'!$A$218&gt;35,FE14+FD15-FM14,IF(A15&lt;'Données projet'!$A$218,$FB$205^A15,IF(A15='Données projet'!$A$218,'Données projet'!$B$218,FE14+FD15-FM14)))</f>
        <v>11.311622768584238</v>
      </c>
      <c r="FF15" s="17">
        <f>FE15*VLOOKUP('Données projet'!$B$16,Paramètres!$A$1:$I$89,3,0)*VLOOKUP('Données projet'!$B$16,Paramètres!$A$1:$I$89,5,0)</f>
        <v>8.2936818139259643</v>
      </c>
      <c r="FG15" s="13">
        <f t="shared" si="47"/>
        <v>2.9878393368199596</v>
      </c>
      <c r="FH15" s="20">
        <f t="shared" si="22"/>
        <v>19.648649337549152</v>
      </c>
      <c r="FI15" s="59">
        <f t="shared" si="23"/>
        <v>312.98198267088247</v>
      </c>
      <c r="FJ15" s="59">
        <f ca="1">AVERAGE(OFFSET($FI$3,0,0,'Données projet'!$E$16+1,1))-AVERAGE(OFFSET($H$3,0,0,'Données projet'!$E$16+1,1))</f>
        <v>124.15919323713428</v>
      </c>
      <c r="FK15" s="59">
        <f t="shared" si="48"/>
        <v>157.85954678210715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2.1</v>
      </c>
      <c r="N16" s="13">
        <f>IF('Données projet'!$A$36&gt;35,N15+M16-V15,IF(A16&lt;'Données projet'!$A$36,$K$205^A16,IF(A16='Données projet'!$A$36,'Données projet'!$B$36,N15+M16-V15)))</f>
        <v>11.35303662145153</v>
      </c>
      <c r="O16" s="13">
        <f>N16*VLOOKUP('Données projet'!$B$9,Paramètres!$A$1:$I$89,3,0)*VLOOKUP('Données projet'!$B$9,Paramètres!$A$1:$I$89,5,0)</f>
        <v>10.272227535089344</v>
      </c>
      <c r="P16" s="13">
        <f t="shared" si="33"/>
        <v>3.6095987912522753</v>
      </c>
      <c r="Q16" s="20">
        <f t="shared" si="2"/>
        <v>24.177514185044988</v>
      </c>
      <c r="R16" s="59">
        <f t="shared" si="0"/>
        <v>317.51084751837828</v>
      </c>
      <c r="S16" s="59">
        <f ca="1">AVERAGE(OFFSET($R$3,0,0,'Données projet'!$E$9+1,1))-AVERAGE(OFFSET($H$3,0,0,'Données projet'!$E$9+1,1))</f>
        <v>237.22177246688199</v>
      </c>
      <c r="T16" s="59">
        <f t="shared" si="34"/>
        <v>149.27472147904302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5.25</v>
      </c>
      <c r="AI16" s="13">
        <f>IF('Données projet'!$A$62&gt;35,AI15+AH16-AQ15,IF(A16&lt;'Données projet'!$A$62,$AF$205^A16,IF(A16='Données projet'!$A$62,'Données projet'!$B$62,AI15+AH16-AQ15)))</f>
        <v>20.595533411524546</v>
      </c>
      <c r="AJ16" s="13">
        <f>AI16*VLOOKUP('Données projet'!$B$10,Paramètres!$A$1:$I$89,3,0)*VLOOKUP('Données projet'!$B$10,Paramètres!$A$1:$I$89,5,0)</f>
        <v>17.992257988307845</v>
      </c>
      <c r="AK16" s="13">
        <f t="shared" si="35"/>
        <v>5.9230549625899274</v>
      </c>
      <c r="AL16" s="20">
        <f t="shared" si="4"/>
        <v>41.65250338948028</v>
      </c>
      <c r="AM16" s="59">
        <f t="shared" si="5"/>
        <v>334.98583672281359</v>
      </c>
      <c r="AN16" s="59">
        <f ca="1">AVERAGE(OFFSET($AM$3,0,0,'Données projet'!$E$10+1,1))-AVERAGE(OFFSET($H$3,0,0,'Données projet'!$E$10+1,1))</f>
        <v>191.94797389630673</v>
      </c>
      <c r="AO16" s="59">
        <f t="shared" si="36"/>
        <v>273.52540822767878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6</v>
      </c>
      <c r="BD16" s="12">
        <f>IF('Données projet'!$A$88&gt;35,BD15+BC16-BL15,IF(A16&lt;'Données projet'!$A$88,$BA$205^A16,IF(A16='Données projet'!$A$88,'Données projet'!$B$88,BD15+BC16-BL15)))</f>
        <v>22</v>
      </c>
      <c r="BE16" s="13">
        <f>BD16*VLOOKUP('Données projet'!$B$11,Paramètres!$A$1:$I$89,3,0)*VLOOKUP('Données projet'!$B$11,Paramètres!$A$1:$I$89,5,0)</f>
        <v>13.156000000000002</v>
      </c>
      <c r="BF16" s="13">
        <f t="shared" si="37"/>
        <v>4.4916914128654311</v>
      </c>
      <c r="BG16" s="20">
        <f t="shared" si="7"/>
        <v>30.736395877407301</v>
      </c>
      <c r="BH16" s="59">
        <f t="shared" si="8"/>
        <v>324.0697292107406</v>
      </c>
      <c r="BI16" s="59">
        <f ca="1">AVERAGE(OFFSET($BH$3,0,0,'Données projet'!$E$11+1,1))-AVERAGE(OFFSET($H$3,0,0,'Données projet'!$E$11+1,1))</f>
        <v>72.647148358003676</v>
      </c>
      <c r="BJ16" s="59">
        <f t="shared" si="38"/>
        <v>87.231299224620898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3.1</v>
      </c>
      <c r="BY16" s="12">
        <f>IF('Données projet'!$A$114&gt;35,BY15+BX16-CG15,IF(A16&lt;'Données projet'!$A$114,$BV$205^A16,IF(A16='Données projet'!$A$114,'Données projet'!$B$114,BY15+BX16-CG15)))</f>
        <v>14.623610064538074</v>
      </c>
      <c r="BZ16" s="13">
        <f>BY16*VLOOKUP('Données projet'!$B$12,Paramètres!$A$1:$I$89,3,0)*VLOOKUP('Données projet'!$B$12,Paramètres!$A$1:$I$89,5,0)</f>
        <v>8.744918818593769</v>
      </c>
      <c r="CA16" s="13">
        <f t="shared" si="39"/>
        <v>3.1310317674270851</v>
      </c>
      <c r="CB16" s="20">
        <f t="shared" si="10"/>
        <v>20.68394727065299</v>
      </c>
      <c r="CC16" s="59">
        <f t="shared" si="11"/>
        <v>314.01728060398631</v>
      </c>
      <c r="CD16" s="59">
        <f ca="1">AVERAGE(OFFSET($CC$3,0,0,'Données projet'!$E$12+1,1))-AVERAGE(OFFSET($H$3,0,0,'Données projet'!$E$12+1,1))</f>
        <v>165.39579887388538</v>
      </c>
      <c r="CE16" s="59">
        <f t="shared" si="40"/>
        <v>155.89639262545802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3.56</v>
      </c>
      <c r="CT16" s="12">
        <f>IF('Données projet'!$A$140&gt;35,CT15+CS16-DB15,IF(A16&lt;'Données projet'!$A$140,$CQ$205^A16,IF(A16='Données projet'!$A$140,'Données projet'!$B$140,CT15+CS16-DB15)))</f>
        <v>10.320073811043248</v>
      </c>
      <c r="CU16" s="17">
        <f>CT16*VLOOKUP('Données projet'!$B$13,Paramètres!$A$1:$I$89,3,0)*VLOOKUP('Données projet'!$B$13,Paramètres!$A$1:$I$89,5,0)</f>
        <v>8.049657572613734</v>
      </c>
      <c r="CV16" s="13">
        <f t="shared" si="41"/>
        <v>2.9100267483017022</v>
      </c>
      <c r="CW16" s="20">
        <f t="shared" si="13"/>
        <v>19.088116858927716</v>
      </c>
      <c r="CX16" s="59">
        <f t="shared" si="14"/>
        <v>312.42145019226103</v>
      </c>
      <c r="CY16" s="59">
        <f ca="1">AVERAGE(OFFSET($CX$3,0,0,'Données projet'!$E$13+1,1))-AVERAGE(OFFSET($H$3,0,0,'Données projet'!$E$13+1,1))</f>
        <v>190.06335940156185</v>
      </c>
      <c r="CZ16" s="59">
        <f t="shared" si="42"/>
        <v>166.43663896839928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2.1</v>
      </c>
      <c r="DO16" s="12">
        <f>IF('Données projet'!$A$166&gt;35,DO15+DN16-DW15,IF(A16&lt;'Données projet'!$A$166,$DL$205^A16,IF(A16='Données projet'!$A$166,'Données projet'!$B$166,DO15+DN16-DW15)))</f>
        <v>11.35303662145153</v>
      </c>
      <c r="DP16" s="17">
        <f>DO16*VLOOKUP('Données projet'!$B$14,Paramètres!$A$1:$I$89,3,0)*VLOOKUP('Données projet'!$B$14,Paramètres!$A$1:$I$89,5,0)</f>
        <v>10.98065702026792</v>
      </c>
      <c r="DQ16" s="13">
        <f t="shared" si="43"/>
        <v>3.8286992592655618</v>
      </c>
      <c r="DR16" s="20">
        <f t="shared" si="16"/>
        <v>25.792962186854144</v>
      </c>
      <c r="DS16" s="59">
        <f t="shared" si="17"/>
        <v>319.12629552018745</v>
      </c>
      <c r="DT16" s="59">
        <f ca="1">AVERAGE(OFFSET($DS$3,0,0,'Données projet'!$E$14+1,1))-AVERAGE(OFFSET($H$3,0,0,'Données projet'!$E$14+1,1))</f>
        <v>261.22357949323879</v>
      </c>
      <c r="DU16" s="59">
        <f t="shared" si="44"/>
        <v>163.41029152029387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5.75</v>
      </c>
      <c r="EJ16" s="12">
        <f>IF('Données projet'!$A$192&gt;35,EJ15+EI16-ER15,IF(A16&lt;'Données projet'!$A$192,$EG$205^A16,IF(A16='Données projet'!$A$192,'Données projet'!$B$192,EJ15+EI16-ER15)))</f>
        <v>21.850108417664106</v>
      </c>
      <c r="EK16" s="17">
        <f>EJ16*VLOOKUP('Données projet'!$B$15,Paramètres!$A$1:$I$89,3,0)*VLOOKUP('Données projet'!$B$15,Paramètres!$A$1:$I$89,5,0)</f>
        <v>10.225850739466802</v>
      </c>
      <c r="EL16" s="13">
        <f t="shared" si="45"/>
        <v>3.5951953906669201</v>
      </c>
      <c r="EM16" s="20">
        <f t="shared" si="19"/>
        <v>24.071655343316234</v>
      </c>
      <c r="EN16" s="59">
        <f t="shared" si="20"/>
        <v>317.40498867664957</v>
      </c>
      <c r="EO16" s="59">
        <f ca="1">AVERAGE(OFFSET($EN$3,0,0,'Données projet'!$E$15+1,1))-AVERAGE(OFFSET($H$3,0,0,'Données projet'!$E$15+1,1))</f>
        <v>123.60520571614535</v>
      </c>
      <c r="EP16" s="59">
        <f t="shared" si="46"/>
        <v>119.00926870519527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2.85</v>
      </c>
      <c r="FE16" s="12">
        <f>IF('Données projet'!$A$218&gt;35,FE15+FD16-FM15,IF(A16&lt;'Données projet'!$A$218,$FB$205^A16,IF(A16='Données projet'!$A$218,'Données projet'!$B$218,FE15+FD16-FM15)))</f>
        <v>13.845819197850375</v>
      </c>
      <c r="FF16" s="17">
        <f>FE16*VLOOKUP('Données projet'!$B$16,Paramètres!$A$1:$I$89,3,0)*VLOOKUP('Données projet'!$B$16,Paramètres!$A$1:$I$89,5,0)</f>
        <v>10.151754635863895</v>
      </c>
      <c r="FG16" s="13">
        <f t="shared" si="47"/>
        <v>3.5721673105129708</v>
      </c>
      <c r="FH16" s="20">
        <f t="shared" si="22"/>
        <v>23.902497389939708</v>
      </c>
      <c r="FI16" s="59">
        <f t="shared" si="23"/>
        <v>317.23583072327301</v>
      </c>
      <c r="FJ16" s="59">
        <f ca="1">AVERAGE(OFFSET($FI$3,0,0,'Données projet'!$E$16+1,1))-AVERAGE(OFFSET($H$3,0,0,'Données projet'!$E$16+1,1))</f>
        <v>124.15919323713428</v>
      </c>
      <c r="FK16" s="59">
        <f t="shared" si="48"/>
        <v>157.85954678210715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2.1</v>
      </c>
      <c r="N17" s="13">
        <f>IF('Données projet'!$A$36&gt;35,N16+M17-V16,IF(A17&lt;'Données projet'!$A$36,$K$205^A17,IF(A17='Données projet'!$A$36,'Données projet'!$B$36,N16+M17-V16)))</f>
        <v>13.685935953338433</v>
      </c>
      <c r="O17" s="13">
        <f>N17*VLOOKUP('Données projet'!$B$9,Paramètres!$A$1:$I$89,3,0)*VLOOKUP('Données projet'!$B$9,Paramètres!$A$1:$I$89,5,0)</f>
        <v>12.383034850580612</v>
      </c>
      <c r="P17" s="13">
        <f t="shared" si="33"/>
        <v>4.2576904771143838</v>
      </c>
      <c r="Q17" s="20">
        <f t="shared" si="2"/>
        <v>28.982596612402116</v>
      </c>
      <c r="R17" s="59">
        <f t="shared" si="0"/>
        <v>322.31592994573543</v>
      </c>
      <c r="S17" s="59">
        <f ca="1">AVERAGE(OFFSET($R$3,0,0,'Données projet'!$E$9+1,1))-AVERAGE(OFFSET($H$3,0,0,'Données projet'!$E$9+1,1))</f>
        <v>237.22177246688199</v>
      </c>
      <c r="T17" s="59">
        <f t="shared" si="34"/>
        <v>149.27472147904302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5.25</v>
      </c>
      <c r="AI17" s="13">
        <f>IF('Données projet'!$A$62&gt;35,AI16+AH17-AQ16,IF(A17&lt;'Données projet'!$A$62,$AF$205^A17,IF(A17='Données projet'!$A$62,'Données projet'!$B$62,AI16+AH17-AQ16)))</f>
        <v>25.991569751317236</v>
      </c>
      <c r="AJ17" s="13">
        <f>AI17*VLOOKUP('Données projet'!$B$10,Paramètres!$A$1:$I$89,3,0)*VLOOKUP('Données projet'!$B$10,Paramètres!$A$1:$I$89,5,0)</f>
        <v>22.70623533475074</v>
      </c>
      <c r="AK17" s="13">
        <f t="shared" si="35"/>
        <v>7.2751492262067101</v>
      </c>
      <c r="AL17" s="20">
        <f t="shared" si="4"/>
        <v>52.217578110334223</v>
      </c>
      <c r="AM17" s="59">
        <f t="shared" si="5"/>
        <v>345.55091144366753</v>
      </c>
      <c r="AN17" s="59">
        <f ca="1">AVERAGE(OFFSET($AM$3,0,0,'Données projet'!$E$10+1,1))-AVERAGE(OFFSET($H$3,0,0,'Données projet'!$E$10+1,1))</f>
        <v>191.94797389630673</v>
      </c>
      <c r="AO17" s="59">
        <f t="shared" si="36"/>
        <v>273.52540822767878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6</v>
      </c>
      <c r="BD17" s="12">
        <f>IF('Données projet'!$A$88&gt;35,BD16+BC17-BL16,IF(A17&lt;'Données projet'!$A$88,$BA$205^A17,IF(A17='Données projet'!$A$88,'Données projet'!$B$88,BD16+BC17-BL16)))</f>
        <v>28</v>
      </c>
      <c r="BE17" s="13">
        <f>BD17*VLOOKUP('Données projet'!$B$11,Paramètres!$A$1:$I$89,3,0)*VLOOKUP('Données projet'!$B$11,Paramètres!$A$1:$I$89,5,0)</f>
        <v>16.744000000000003</v>
      </c>
      <c r="BF17" s="13">
        <f t="shared" si="37"/>
        <v>5.5584546605089464</v>
      </c>
      <c r="BG17" s="20">
        <f t="shared" si="7"/>
        <v>38.843441867053087</v>
      </c>
      <c r="BH17" s="59">
        <f t="shared" si="8"/>
        <v>332.17677520038637</v>
      </c>
      <c r="BI17" s="59">
        <f ca="1">AVERAGE(OFFSET($BH$3,0,0,'Données projet'!$E$11+1,1))-AVERAGE(OFFSET($H$3,0,0,'Données projet'!$E$11+1,1))</f>
        <v>72.647148358003676</v>
      </c>
      <c r="BJ17" s="59">
        <f t="shared" si="38"/>
        <v>87.231299224620898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3.1</v>
      </c>
      <c r="BY17" s="12">
        <f>IF('Données projet'!$A$114&gt;35,BY16+BX17-CG16,IF(A17&lt;'Données projet'!$A$114,$BV$205^A17,IF(A17='Données projet'!$A$114,'Données projet'!$B$114,BY16+BX17-CG16)))</f>
        <v>17.975218683822305</v>
      </c>
      <c r="BZ17" s="13">
        <f>BY17*VLOOKUP('Données projet'!$B$12,Paramètres!$A$1:$I$89,3,0)*VLOOKUP('Données projet'!$B$12,Paramètres!$A$1:$I$89,5,0)</f>
        <v>10.74918077292574</v>
      </c>
      <c r="CA17" s="13">
        <f t="shared" si="39"/>
        <v>3.7572953829252698</v>
      </c>
      <c r="CB17" s="20">
        <f t="shared" si="10"/>
        <v>25.26544597144051</v>
      </c>
      <c r="CC17" s="59">
        <f t="shared" si="11"/>
        <v>318.59877930477381</v>
      </c>
      <c r="CD17" s="59">
        <f ca="1">AVERAGE(OFFSET($CC$3,0,0,'Données projet'!$E$12+1,1))-AVERAGE(OFFSET($H$3,0,0,'Données projet'!$E$12+1,1))</f>
        <v>165.39579887388538</v>
      </c>
      <c r="CE17" s="59">
        <f t="shared" si="40"/>
        <v>155.89639262545802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3.56</v>
      </c>
      <c r="CT17" s="12">
        <f>IF('Données projet'!$A$140&gt;35,CT16+CS17-DB16,IF(A17&lt;'Données projet'!$A$140,$CQ$205^A17,IF(A17='Données projet'!$A$140,'Données projet'!$B$140,CT16+CS17-DB16)))</f>
        <v>12.349756756499216</v>
      </c>
      <c r="CU17" s="17">
        <f>CT17*VLOOKUP('Données projet'!$B$13,Paramètres!$A$1:$I$89,3,0)*VLOOKUP('Données projet'!$B$13,Paramètres!$A$1:$I$89,5,0)</f>
        <v>9.6328102700693883</v>
      </c>
      <c r="CV17" s="13">
        <f t="shared" si="41"/>
        <v>3.4103285541655652</v>
      </c>
      <c r="CW17" s="20">
        <f t="shared" si="13"/>
        <v>22.716800118875877</v>
      </c>
      <c r="CX17" s="59">
        <f t="shared" si="14"/>
        <v>316.0501334522092</v>
      </c>
      <c r="CY17" s="59">
        <f ca="1">AVERAGE(OFFSET($CX$3,0,0,'Données projet'!$E$13+1,1))-AVERAGE(OFFSET($H$3,0,0,'Données projet'!$E$13+1,1))</f>
        <v>190.06335940156185</v>
      </c>
      <c r="CZ17" s="59">
        <f t="shared" si="42"/>
        <v>166.43663896839928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2.1</v>
      </c>
      <c r="DO17" s="12">
        <f>IF('Données projet'!$A$166&gt;35,DO16+DN17-DW16,IF(A17&lt;'Données projet'!$A$166,$DL$205^A17,IF(A17='Données projet'!$A$166,'Données projet'!$B$166,DO16+DN17-DW16)))</f>
        <v>13.685935953338433</v>
      </c>
      <c r="DP17" s="17">
        <f>DO17*VLOOKUP('Données projet'!$B$14,Paramètres!$A$1:$I$89,3,0)*VLOOKUP('Données projet'!$B$14,Paramètres!$A$1:$I$89,5,0)</f>
        <v>13.237037254068934</v>
      </c>
      <c r="DQ17" s="13">
        <f t="shared" si="43"/>
        <v>4.5161297192961545</v>
      </c>
      <c r="DR17" s="20">
        <f t="shared" si="16"/>
        <v>30.920099145277529</v>
      </c>
      <c r="DS17" s="59">
        <f t="shared" si="17"/>
        <v>324.25343247861082</v>
      </c>
      <c r="DT17" s="59">
        <f ca="1">AVERAGE(OFFSET($DS$3,0,0,'Données projet'!$E$14+1,1))-AVERAGE(OFFSET($H$3,0,0,'Données projet'!$E$14+1,1))</f>
        <v>261.22357949323879</v>
      </c>
      <c r="DU17" s="59">
        <f t="shared" si="44"/>
        <v>163.41029152029387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5.75</v>
      </c>
      <c r="EJ17" s="12">
        <f>IF('Données projet'!$A$192&gt;35,EJ16+EI17-ER16,IF(A17&lt;'Données projet'!$A$192,$EG$205^A17,IF(A17='Données projet'!$A$192,'Données projet'!$B$192,EJ16+EI17-ER16)))</f>
        <v>27.700556129091808</v>
      </c>
      <c r="EK17" s="17">
        <f>EJ17*VLOOKUP('Données projet'!$B$15,Paramètres!$A$1:$I$89,3,0)*VLOOKUP('Données projet'!$B$15,Paramètres!$A$1:$I$89,5,0)</f>
        <v>12.963860268414967</v>
      </c>
      <c r="EL17" s="13">
        <f t="shared" si="45"/>
        <v>4.4336777956113931</v>
      </c>
      <c r="EM17" s="20">
        <f t="shared" si="19"/>
        <v>30.300712128179242</v>
      </c>
      <c r="EN17" s="59">
        <f t="shared" si="20"/>
        <v>323.63404546151253</v>
      </c>
      <c r="EO17" s="59">
        <f ca="1">AVERAGE(OFFSET($EN$3,0,0,'Données projet'!$E$15+1,1))-AVERAGE(OFFSET($H$3,0,0,'Données projet'!$E$15+1,1))</f>
        <v>123.60520571614535</v>
      </c>
      <c r="EP17" s="59">
        <f t="shared" si="46"/>
        <v>119.00926870519527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2.85</v>
      </c>
      <c r="FE17" s="12">
        <f>IF('Données projet'!$A$218&gt;35,FE16+FD17-FM16,IF(A17&lt;'Données projet'!$A$218,$FB$205^A17,IF(A17='Données projet'!$A$218,'Données projet'!$B$218,FE16+FD17-FM16)))</f>
        <v>16.94776365704034</v>
      </c>
      <c r="FF17" s="17">
        <f>FE17*VLOOKUP('Données projet'!$B$16,Paramètres!$A$1:$I$89,3,0)*VLOOKUP('Données projet'!$B$16,Paramètres!$A$1:$I$89,5,0)</f>
        <v>12.426100313341978</v>
      </c>
      <c r="FG17" s="13">
        <f t="shared" si="47"/>
        <v>4.2707715696248565</v>
      </c>
      <c r="FH17" s="20">
        <f t="shared" si="22"/>
        <v>29.080385196167239</v>
      </c>
      <c r="FI17" s="59">
        <f t="shared" si="23"/>
        <v>322.41371852950056</v>
      </c>
      <c r="FJ17" s="59">
        <f ca="1">AVERAGE(OFFSET($FI$3,0,0,'Données projet'!$E$16+1,1))-AVERAGE(OFFSET($H$3,0,0,'Données projet'!$E$16+1,1))</f>
        <v>124.15919323713428</v>
      </c>
      <c r="FK17" s="59">
        <f t="shared" si="48"/>
        <v>157.85954678210715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2.1</v>
      </c>
      <c r="N18" s="13">
        <f>IF('Données projet'!$A$36&gt;35,N17+M18-V17,IF(A18&lt;'Données projet'!$A$36,$K$205^A18,IF(A18='Données projet'!$A$36,'Données projet'!$B$36,N17+M18-V17)))</f>
        <v>16.498215337821566</v>
      </c>
      <c r="O18" s="13">
        <f>N18*VLOOKUP('Données projet'!$B$9,Paramètres!$A$1:$I$89,3,0)*VLOOKUP('Données projet'!$B$9,Paramètres!$A$1:$I$89,5,0)</f>
        <v>14.927585237660953</v>
      </c>
      <c r="P18" s="13">
        <f t="shared" si="33"/>
        <v>5.0221449106318534</v>
      </c>
      <c r="Q18" s="20">
        <f t="shared" si="2"/>
        <v>34.745780008276633</v>
      </c>
      <c r="R18" s="59">
        <f t="shared" si="0"/>
        <v>328.07911334160997</v>
      </c>
      <c r="S18" s="59">
        <f ca="1">AVERAGE(OFFSET($R$3,0,0,'Données projet'!$E$9+1,1))-AVERAGE(OFFSET($H$3,0,0,'Données projet'!$E$9+1,1))</f>
        <v>237.22177246688199</v>
      </c>
      <c r="T18" s="59">
        <f t="shared" si="34"/>
        <v>149.27472147904302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5.25</v>
      </c>
      <c r="AI18" s="13">
        <f>IF('Données projet'!$A$62&gt;35,AI17+AH18-AQ17,IF(A18&lt;'Données projet'!$A$62,$AF$205^A18,IF(A18='Données projet'!$A$62,'Données projet'!$B$62,AI17+AH18-AQ17)))</f>
        <v>32.801369337662706</v>
      </c>
      <c r="AJ18" s="13">
        <f>AI18*VLOOKUP('Données projet'!$B$10,Paramètres!$A$1:$I$89,3,0)*VLOOKUP('Données projet'!$B$10,Paramètres!$A$1:$I$89,5,0)</f>
        <v>28.655276253382144</v>
      </c>
      <c r="AK18" s="13">
        <f t="shared" si="35"/>
        <v>8.9358948376924587</v>
      </c>
      <c r="AL18" s="20">
        <f t="shared" si="4"/>
        <v>65.471289650288256</v>
      </c>
      <c r="AM18" s="59">
        <f t="shared" si="5"/>
        <v>358.80462298362158</v>
      </c>
      <c r="AN18" s="59">
        <f ca="1">AVERAGE(OFFSET($AM$3,0,0,'Données projet'!$E$10+1,1))-AVERAGE(OFFSET($H$3,0,0,'Données projet'!$E$10+1,1))</f>
        <v>191.94797389630673</v>
      </c>
      <c r="AO18" s="59">
        <f t="shared" si="36"/>
        <v>273.52540822767878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6</v>
      </c>
      <c r="BD18" s="12">
        <f>IF('Données projet'!$A$88&gt;35,BD17+BC18-BL17,IF(A18&lt;'Données projet'!$A$88,$BA$205^A18,IF(A18='Données projet'!$A$88,'Données projet'!$B$88,BD17+BC18-BL17)))</f>
        <v>34</v>
      </c>
      <c r="BE18" s="13">
        <f>BD18*VLOOKUP('Données projet'!$B$11,Paramètres!$A$1:$I$89,3,0)*VLOOKUP('Données projet'!$B$11,Paramètres!$A$1:$I$89,5,0)</f>
        <v>20.332000000000001</v>
      </c>
      <c r="BF18" s="13">
        <f t="shared" si="37"/>
        <v>6.5987245821741247</v>
      </c>
      <c r="BG18" s="20">
        <f t="shared" si="7"/>
        <v>46.904345313953264</v>
      </c>
      <c r="BH18" s="59">
        <f t="shared" si="8"/>
        <v>340.2376786472866</v>
      </c>
      <c r="BI18" s="59">
        <f ca="1">AVERAGE(OFFSET($BH$3,0,0,'Données projet'!$E$11+1,1))-AVERAGE(OFFSET($H$3,0,0,'Données projet'!$E$11+1,1))</f>
        <v>72.647148358003676</v>
      </c>
      <c r="BJ18" s="59">
        <f t="shared" si="38"/>
        <v>87.231299224620898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3.1</v>
      </c>
      <c r="BY18" s="12">
        <f>IF('Données projet'!$A$114&gt;35,BY17+BX18-CG17,IF(A18&lt;'Données projet'!$A$114,$BV$205^A18,IF(A18='Données projet'!$A$114,'Données projet'!$B$114,BY17+BX18-CG17)))</f>
        <v>22.094987852196994</v>
      </c>
      <c r="BZ18" s="13">
        <f>BY18*VLOOKUP('Données projet'!$B$12,Paramètres!$A$1:$I$89,3,0)*VLOOKUP('Données projet'!$B$12,Paramètres!$A$1:$I$89,5,0)</f>
        <v>13.212802735613803</v>
      </c>
      <c r="CA18" s="13">
        <f t="shared" si="39"/>
        <v>4.5088231749728802</v>
      </c>
      <c r="CB18" s="20">
        <f t="shared" si="10"/>
        <v>30.865165127605138</v>
      </c>
      <c r="CC18" s="59">
        <f t="shared" si="11"/>
        <v>324.19849846093848</v>
      </c>
      <c r="CD18" s="59">
        <f ca="1">AVERAGE(OFFSET($CC$3,0,0,'Données projet'!$E$12+1,1))-AVERAGE(OFFSET($H$3,0,0,'Données projet'!$E$12+1,1))</f>
        <v>165.39579887388538</v>
      </c>
      <c r="CE18" s="59">
        <f t="shared" si="40"/>
        <v>155.89639262545802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3.56</v>
      </c>
      <c r="CT18" s="12">
        <f>IF('Données projet'!$A$140&gt;35,CT17+CS18-DB17,IF(A18&lt;'Données projet'!$A$140,$CQ$205^A18,IF(A18='Données projet'!$A$140,'Données projet'!$B$140,CT17+CS18-DB17)))</f>
        <v>14.778624139441142</v>
      </c>
      <c r="CU18" s="17">
        <f>CT18*VLOOKUP('Données projet'!$B$13,Paramètres!$A$1:$I$89,3,0)*VLOOKUP('Données projet'!$B$13,Paramètres!$A$1:$I$89,5,0)</f>
        <v>11.527326828764091</v>
      </c>
      <c r="CV18" s="13">
        <f t="shared" si="41"/>
        <v>3.9966439669822584</v>
      </c>
      <c r="CW18" s="20">
        <f t="shared" si="13"/>
        <v>27.037582469258226</v>
      </c>
      <c r="CX18" s="59">
        <f t="shared" si="14"/>
        <v>320.37091580259153</v>
      </c>
      <c r="CY18" s="59">
        <f ca="1">AVERAGE(OFFSET($CX$3,0,0,'Données projet'!$E$13+1,1))-AVERAGE(OFFSET($H$3,0,0,'Données projet'!$E$13+1,1))</f>
        <v>190.06335940156185</v>
      </c>
      <c r="CZ18" s="59">
        <f t="shared" si="42"/>
        <v>166.43663896839928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2.1</v>
      </c>
      <c r="DO18" s="12">
        <f>IF('Données projet'!$A$166&gt;35,DO17+DN18-DW17,IF(A18&lt;'Données projet'!$A$166,$DL$205^A18,IF(A18='Données projet'!$A$166,'Données projet'!$B$166,DO17+DN18-DW17)))</f>
        <v>16.498215337821566</v>
      </c>
      <c r="DP18" s="17">
        <f>DO18*VLOOKUP('Données projet'!$B$14,Paramètres!$A$1:$I$89,3,0)*VLOOKUP('Données projet'!$B$14,Paramètres!$A$1:$I$89,5,0)</f>
        <v>15.957073874741019</v>
      </c>
      <c r="DQ18" s="13">
        <f t="shared" si="43"/>
        <v>5.3269860755326848</v>
      </c>
      <c r="DR18" s="20">
        <f t="shared" si="16"/>
        <v>37.069737746726702</v>
      </c>
      <c r="DS18" s="59">
        <f t="shared" si="17"/>
        <v>330.40307108006004</v>
      </c>
      <c r="DT18" s="59">
        <f ca="1">AVERAGE(OFFSET($DS$3,0,0,'Données projet'!$E$14+1,1))-AVERAGE(OFFSET($H$3,0,0,'Données projet'!$E$14+1,1))</f>
        <v>261.22357949323879</v>
      </c>
      <c r="DU18" s="59">
        <f t="shared" si="44"/>
        <v>163.41029152029387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5.75</v>
      </c>
      <c r="EJ18" s="12">
        <f>IF('Données projet'!$A$192&gt;35,EJ17+EI18-ER17,IF(A18&lt;'Données projet'!$A$192,$EG$205^A18,IF(A18='Données projet'!$A$192,'Données projet'!$B$192,EJ17+EI18-ER17)))</f>
        <v>35.117482952196561</v>
      </c>
      <c r="EK18" s="17">
        <f>EJ18*VLOOKUP('Données projet'!$B$15,Paramètres!$A$1:$I$89,3,0)*VLOOKUP('Données projet'!$B$15,Paramètres!$A$1:$I$89,5,0)</f>
        <v>16.434982021627992</v>
      </c>
      <c r="EL18" s="13">
        <f t="shared" si="45"/>
        <v>5.4677136175486121</v>
      </c>
      <c r="EM18" s="20">
        <f t="shared" si="19"/>
        <v>38.147194904899251</v>
      </c>
      <c r="EN18" s="59">
        <f t="shared" si="20"/>
        <v>331.48052823823258</v>
      </c>
      <c r="EO18" s="59">
        <f ca="1">AVERAGE(OFFSET($EN$3,0,0,'Données projet'!$E$15+1,1))-AVERAGE(OFFSET($H$3,0,0,'Données projet'!$E$15+1,1))</f>
        <v>123.60520571614535</v>
      </c>
      <c r="EP18" s="59">
        <f t="shared" si="46"/>
        <v>119.00926870519527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2.85</v>
      </c>
      <c r="FE18" s="12">
        <f>IF('Données projet'!$A$218&gt;35,FE17+FD18-FM17,IF(A18&lt;'Données projet'!$A$218,$FB$205^A18,IF(A18='Données projet'!$A$218,'Données projet'!$B$218,FE17+FD18-FM17)))</f>
        <v>20.744651426583019</v>
      </c>
      <c r="FF18" s="17">
        <f>FE18*VLOOKUP('Données projet'!$B$16,Paramètres!$A$1:$I$89,3,0)*VLOOKUP('Données projet'!$B$16,Paramètres!$A$1:$I$89,5,0)</f>
        <v>15.20997842597067</v>
      </c>
      <c r="FG18" s="13">
        <f t="shared" si="47"/>
        <v>5.1060009832788964</v>
      </c>
      <c r="FH18" s="20">
        <f t="shared" si="22"/>
        <v>35.383664137776321</v>
      </c>
      <c r="FI18" s="59">
        <f t="shared" si="23"/>
        <v>328.71699747110961</v>
      </c>
      <c r="FJ18" s="59">
        <f ca="1">AVERAGE(OFFSET($FI$3,0,0,'Données projet'!$E$16+1,1))-AVERAGE(OFFSET($H$3,0,0,'Données projet'!$E$16+1,1))</f>
        <v>124.15919323713428</v>
      </c>
      <c r="FK18" s="59">
        <f t="shared" si="48"/>
        <v>157.85954678210715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2.1</v>
      </c>
      <c r="N19" s="13">
        <f>IF('Données projet'!$A$36&gt;35,N18+M19-V18,IF(A19&lt;'Données projet'!$A$36,$K$205^A19,IF(A19='Données projet'!$A$36,'Données projet'!$B$36,N18+M19-V18)))</f>
        <v>19.888381054913147</v>
      </c>
      <c r="O19" s="13">
        <f>N19*VLOOKUP('Données projet'!$B$9,Paramètres!$A$1:$I$89,3,0)*VLOOKUP('Données projet'!$B$9,Paramètres!$A$1:$I$89,5,0)</f>
        <v>17.995007178485412</v>
      </c>
      <c r="P19" s="13">
        <f t="shared" si="33"/>
        <v>5.9238546434872337</v>
      </c>
      <c r="Q19" s="20">
        <f t="shared" si="2"/>
        <v>41.658684339935689</v>
      </c>
      <c r="R19" s="59">
        <f t="shared" si="0"/>
        <v>334.992017673269</v>
      </c>
      <c r="S19" s="59">
        <f ca="1">AVERAGE(OFFSET($R$3,0,0,'Données projet'!$E$9+1,1))-AVERAGE(OFFSET($H$3,0,0,'Données projet'!$E$9+1,1))</f>
        <v>237.22177246688199</v>
      </c>
      <c r="T19" s="59">
        <f t="shared" si="34"/>
        <v>149.27472147904302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5.25</v>
      </c>
      <c r="AI19" s="13">
        <f>IF('Données projet'!$A$62&gt;35,AI18+AH19-AQ18,IF(A19&lt;'Données projet'!$A$62,$AF$205^A19,IF(A19='Données projet'!$A$62,'Données projet'!$B$62,AI18+AH19-AQ18)))</f>
        <v>41.39533859324645</v>
      </c>
      <c r="AJ19" s="13">
        <f>AI19*VLOOKUP('Données projet'!$B$10,Paramètres!$A$1:$I$89,3,0)*VLOOKUP('Données projet'!$B$10,Paramètres!$A$1:$I$89,5,0)</f>
        <v>36.162967795060098</v>
      </c>
      <c r="AK19" s="13">
        <f t="shared" si="35"/>
        <v>10.975749646847175</v>
      </c>
      <c r="AL19" s="20">
        <f t="shared" si="4"/>
        <v>82.099932877988508</v>
      </c>
      <c r="AM19" s="59">
        <f t="shared" si="5"/>
        <v>375.43326621132184</v>
      </c>
      <c r="AN19" s="59">
        <f ca="1">AVERAGE(OFFSET($AM$3,0,0,'Données projet'!$E$10+1,1))-AVERAGE(OFFSET($H$3,0,0,'Données projet'!$E$10+1,1))</f>
        <v>191.94797389630673</v>
      </c>
      <c r="AO19" s="59">
        <f t="shared" si="36"/>
        <v>273.52540822767878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>
        <f>VLOOKUP(A19,'Données projet'!$A$87:$I$107,2,0)</f>
        <v>40</v>
      </c>
      <c r="BB19" s="12">
        <f>VLOOKUP(A19,'Données projet'!$A$87:$I$107,9,0)</f>
        <v>6</v>
      </c>
      <c r="BC19" s="12">
        <f t="array" ref="BC19">INDEX(BB:BB,MIN(IF(ISNUMBER(BB19:BB215),ROW(BB19:BB215),"")))</f>
        <v>6</v>
      </c>
      <c r="BD19" s="12">
        <f>IF('Données projet'!$A$88&gt;35,BD18+BC19-BL18,IF(A19&lt;'Données projet'!$A$88,$BA$205^A19,IF(A19='Données projet'!$A$88,'Données projet'!$B$88,BD18+BC19-BL18)))</f>
        <v>40</v>
      </c>
      <c r="BE19" s="13">
        <f>BD19*VLOOKUP('Données projet'!$B$11,Paramètres!$A$1:$I$89,3,0)*VLOOKUP('Données projet'!$B$11,Paramètres!$A$1:$I$89,5,0)</f>
        <v>23.920000000000005</v>
      </c>
      <c r="BF19" s="13">
        <f t="shared" si="37"/>
        <v>7.6177276101832296</v>
      </c>
      <c r="BG19" s="20">
        <f t="shared" si="7"/>
        <v>54.928208921069135</v>
      </c>
      <c r="BH19" s="59">
        <f t="shared" si="8"/>
        <v>348.26154225440246</v>
      </c>
      <c r="BI19" s="59">
        <f ca="1">AVERAGE(OFFSET($BH$3,0,0,'Données projet'!$E$11+1,1))-AVERAGE(OFFSET($H$3,0,0,'Données projet'!$E$11+1,1))</f>
        <v>72.647148358003676</v>
      </c>
      <c r="BJ19" s="59">
        <f t="shared" si="38"/>
        <v>87.231299224620898</v>
      </c>
      <c r="BK19" s="15">
        <f>IF(ISNA(VLOOKUP(A19,'Données projet'!$A$87:$I$107,3,0)),0,VLOOKUP(A19,'Données projet'!$A$87:$I$107,3,0))</f>
        <v>1</v>
      </c>
      <c r="BL19" s="15">
        <f>IF(ISNA(VLOOKUP(A19,'Données projet'!$A$87:$I$107,4,0)),0,VLOOKUP(A19,'Données projet'!$A$87:$I$107,4,0))</f>
        <v>4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0.22500000000000001</v>
      </c>
      <c r="BO19" s="16">
        <f>IF(ISNA(VLOOKUP(A19,'Données projet'!$A$87:$I$107,7,0)),0%,VLOOKUP(A19,'Données projet'!$A$87:$I$107,7,0))</f>
        <v>0.5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0.71114586920931444</v>
      </c>
      <c r="BR19" s="21">
        <f>EXP(-LN(2)/2)*BR18+(1-EXP(-LN(2)/2))/(LN(2)/2)*BL19*BO19*VLOOKUP('Données projet'!$B$11,Paramètres!$A$1:$I$89,3,0)*0.475*44/12</f>
        <v>1.3541498278416533</v>
      </c>
      <c r="BS19" s="22">
        <f t="shared" si="9"/>
        <v>2.0652956970509679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3.1</v>
      </c>
      <c r="BY19" s="12">
        <f>IF('Données projet'!$A$114&gt;35,BY18+BX19-CG18,IF(A19&lt;'Données projet'!$A$114,$BV$205^A19,IF(A19='Données projet'!$A$114,'Données projet'!$B$114,BY18+BX19-CG18)))</f>
        <v>27.158973516583817</v>
      </c>
      <c r="BZ19" s="13">
        <f>BY19*VLOOKUP('Données projet'!$B$12,Paramètres!$A$1:$I$89,3,0)*VLOOKUP('Données projet'!$B$12,Paramètres!$A$1:$I$89,5,0)</f>
        <v>16.241066162917125</v>
      </c>
      <c r="CA19" s="13">
        <f t="shared" si="39"/>
        <v>5.4106702697792288</v>
      </c>
      <c r="CB19" s="20">
        <f t="shared" si="10"/>
        <v>37.71010762027948</v>
      </c>
      <c r="CC19" s="59">
        <f t="shared" si="11"/>
        <v>331.04344095361279</v>
      </c>
      <c r="CD19" s="59">
        <f ca="1">AVERAGE(OFFSET($CC$3,0,0,'Données projet'!$E$12+1,1))-AVERAGE(OFFSET($H$3,0,0,'Données projet'!$E$12+1,1))</f>
        <v>165.39579887388538</v>
      </c>
      <c r="CE19" s="59">
        <f t="shared" si="40"/>
        <v>155.89639262545802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3.56</v>
      </c>
      <c r="CT19" s="12">
        <f>IF('Données projet'!$A$140&gt;35,CT18+CS19-DB18,IF(A19&lt;'Données projet'!$A$140,$CQ$205^A19,IF(A19='Données projet'!$A$140,'Données projet'!$B$140,CT18+CS19-DB18)))</f>
        <v>17.68518487944571</v>
      </c>
      <c r="CU19" s="17">
        <f>CT19*VLOOKUP('Données projet'!$B$13,Paramètres!$A$1:$I$89,3,0)*VLOOKUP('Données projet'!$B$13,Paramètres!$A$1:$I$89,5,0)</f>
        <v>13.794444205967654</v>
      </c>
      <c r="CV19" s="13">
        <f t="shared" si="41"/>
        <v>4.6837607418514473</v>
      </c>
      <c r="CW19" s="20">
        <f t="shared" si="13"/>
        <v>32.182873617451598</v>
      </c>
      <c r="CX19" s="59">
        <f t="shared" si="14"/>
        <v>325.51620695078492</v>
      </c>
      <c r="CY19" s="59">
        <f ca="1">AVERAGE(OFFSET($CX$3,0,0,'Données projet'!$E$13+1,1))-AVERAGE(OFFSET($H$3,0,0,'Données projet'!$E$13+1,1))</f>
        <v>190.06335940156185</v>
      </c>
      <c r="CZ19" s="59">
        <f t="shared" si="42"/>
        <v>166.43663896839928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2.1</v>
      </c>
      <c r="DO19" s="12">
        <f>IF('Données projet'!$A$166&gt;35,DO18+DN19-DW18,IF(A19&lt;'Données projet'!$A$166,$DL$205^A19,IF(A19='Données projet'!$A$166,'Données projet'!$B$166,DO18+DN19-DW18)))</f>
        <v>19.888381054913147</v>
      </c>
      <c r="DP19" s="17">
        <f>DO19*VLOOKUP('Données projet'!$B$14,Paramètres!$A$1:$I$89,3,0)*VLOOKUP('Données projet'!$B$14,Paramètres!$A$1:$I$89,5,0)</f>
        <v>19.236042156311996</v>
      </c>
      <c r="DQ19" s="13">
        <f t="shared" si="43"/>
        <v>6.2834290449348904</v>
      </c>
      <c r="DR19" s="20">
        <f t="shared" si="16"/>
        <v>44.446412342171662</v>
      </c>
      <c r="DS19" s="59">
        <f t="shared" si="17"/>
        <v>337.77974567550496</v>
      </c>
      <c r="DT19" s="59">
        <f ca="1">AVERAGE(OFFSET($DS$3,0,0,'Données projet'!$E$14+1,1))-AVERAGE(OFFSET($H$3,0,0,'Données projet'!$E$14+1,1))</f>
        <v>261.22357949323879</v>
      </c>
      <c r="DU19" s="59">
        <f t="shared" si="44"/>
        <v>163.41029152029387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5.75</v>
      </c>
      <c r="EJ19" s="12">
        <f>IF('Données projet'!$A$192&gt;35,EJ18+EI19-ER18,IF(A19&lt;'Données projet'!$A$192,$EG$205^A19,IF(A19='Données projet'!$A$192,'Données projet'!$B$192,EJ18+EI19-ER18)))</f>
        <v>44.52031948927695</v>
      </c>
      <c r="EK19" s="17">
        <f>EJ19*VLOOKUP('Données projet'!$B$15,Paramètres!$A$1:$I$89,3,0)*VLOOKUP('Données projet'!$B$15,Paramètres!$A$1:$I$89,5,0)</f>
        <v>20.835509520981613</v>
      </c>
      <c r="EL19" s="13">
        <f t="shared" si="45"/>
        <v>6.7429104192276883</v>
      </c>
      <c r="EM19" s="20">
        <f t="shared" si="19"/>
        <v>48.03241472919786</v>
      </c>
      <c r="EN19" s="59">
        <f t="shared" si="20"/>
        <v>341.36574806253117</v>
      </c>
      <c r="EO19" s="59">
        <f ca="1">AVERAGE(OFFSET($EN$3,0,0,'Données projet'!$E$15+1,1))-AVERAGE(OFFSET($H$3,0,0,'Données projet'!$E$15+1,1))</f>
        <v>123.60520571614535</v>
      </c>
      <c r="EP19" s="59">
        <f t="shared" si="46"/>
        <v>119.00926870519527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2.85</v>
      </c>
      <c r="FE19" s="12">
        <f>IF('Données projet'!$A$218&gt;35,FE18+FD19-FM18,IF(A19&lt;'Données projet'!$A$218,$FB$205^A19,IF(A19='Données projet'!$A$218,'Données projet'!$B$218,FE18+FD19-FM18)))</f>
        <v>25.392173948075062</v>
      </c>
      <c r="FF19" s="17">
        <f>FE19*VLOOKUP('Données projet'!$B$16,Paramètres!$A$1:$I$89,3,0)*VLOOKUP('Données projet'!$B$16,Paramètres!$A$1:$I$89,5,0)</f>
        <v>18.617541938728635</v>
      </c>
      <c r="FG19" s="13">
        <f t="shared" si="47"/>
        <v>6.1045751607677676</v>
      </c>
      <c r="FH19" s="20">
        <f t="shared" si="22"/>
        <v>43.057687281622897</v>
      </c>
      <c r="FI19" s="59">
        <f t="shared" si="23"/>
        <v>336.39102061495623</v>
      </c>
      <c r="FJ19" s="59">
        <f ca="1">AVERAGE(OFFSET($FI$3,0,0,'Données projet'!$E$16+1,1))-AVERAGE(OFFSET($H$3,0,0,'Données projet'!$E$16+1,1))</f>
        <v>124.15919323713428</v>
      </c>
      <c r="FK19" s="59">
        <f t="shared" si="48"/>
        <v>157.85954678210715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2.1</v>
      </c>
      <c r="N20" s="13">
        <f>IF('Données projet'!$A$36&gt;35,N19+M20-V19,IF(A20&lt;'Données projet'!$A$36,$K$205^A20,IF(A20='Données projet'!$A$36,'Données projet'!$B$36,N19+M20-V19)))</f>
        <v>23.975181126327602</v>
      </c>
      <c r="O20" s="13">
        <f>N20*VLOOKUP('Données projet'!$B$9,Paramètres!$A$1:$I$89,3,0)*VLOOKUP('Données projet'!$B$9,Paramètres!$A$1:$I$89,5,0)</f>
        <v>21.692743883101215</v>
      </c>
      <c r="P20" s="13">
        <f t="shared" si="33"/>
        <v>6.98746341685115</v>
      </c>
      <c r="Q20" s="20">
        <f t="shared" si="2"/>
        <v>49.951361047417038</v>
      </c>
      <c r="R20" s="59">
        <f t="shared" si="0"/>
        <v>343.28469438075035</v>
      </c>
      <c r="S20" s="59">
        <f ca="1">AVERAGE(OFFSET($R$3,0,0,'Données projet'!$E$9+1,1))-AVERAGE(OFFSET($H$3,0,0,'Données projet'!$E$9+1,1))</f>
        <v>237.22177246688199</v>
      </c>
      <c r="T20" s="59">
        <f t="shared" si="34"/>
        <v>149.27472147904302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5.25</v>
      </c>
      <c r="AI20" s="13">
        <f>IF('Données projet'!$A$62&gt;35,AI19+AH20-AQ19,IF(A20&lt;'Données projet'!$A$62,$AF$205^A20,IF(A20='Données projet'!$A$62,'Données projet'!$B$62,AI19+AH20-AQ19)))</f>
        <v>52.240930541944905</v>
      </c>
      <c r="AJ20" s="13">
        <f>AI20*VLOOKUP('Données projet'!$B$10,Paramètres!$A$1:$I$89,3,0)*VLOOKUP('Données projet'!$B$10,Paramètres!$A$1:$I$89,5,0)</f>
        <v>45.637676921443074</v>
      </c>
      <c r="AK20" s="13">
        <f t="shared" si="35"/>
        <v>13.481255374909317</v>
      </c>
      <c r="AL20" s="20">
        <f t="shared" si="4"/>
        <v>102.96547374948041</v>
      </c>
      <c r="AM20" s="59">
        <f t="shared" si="5"/>
        <v>396.29880708281371</v>
      </c>
      <c r="AN20" s="59">
        <f ca="1">AVERAGE(OFFSET($AM$3,0,0,'Données projet'!$E$10+1,1))-AVERAGE(OFFSET($H$3,0,0,'Données projet'!$E$10+1,1))</f>
        <v>191.94797389630673</v>
      </c>
      <c r="AO20" s="59">
        <f t="shared" si="36"/>
        <v>273.52540822767878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6.25</v>
      </c>
      <c r="BD20" s="12">
        <f>IF('Données projet'!$A$88&gt;35,BD19+BC20-BL19,IF(A20&lt;'Données projet'!$A$88,$BA$205^A20,IF(A20='Données projet'!$A$88,'Données projet'!$B$88,BD19+BC20-BL19)))</f>
        <v>42.25</v>
      </c>
      <c r="BE20" s="13">
        <f>BD20*VLOOKUP('Données projet'!$B$11,Paramètres!$A$1:$I$89,3,0)*VLOOKUP('Données projet'!$B$11,Paramètres!$A$1:$I$89,5,0)</f>
        <v>25.265500000000003</v>
      </c>
      <c r="BF20" s="13">
        <f t="shared" si="37"/>
        <v>7.9951334090148665</v>
      </c>
      <c r="BG20" s="20">
        <f t="shared" si="7"/>
        <v>57.928936520700894</v>
      </c>
      <c r="BH20" s="59">
        <f t="shared" si="8"/>
        <v>351.26226985403423</v>
      </c>
      <c r="BI20" s="59">
        <f ca="1">AVERAGE(OFFSET($BH$3,0,0,'Données projet'!$E$11+1,1))-AVERAGE(OFFSET($H$3,0,0,'Données projet'!$E$11+1,1))</f>
        <v>72.647148358003676</v>
      </c>
      <c r="BJ20" s="59">
        <f t="shared" si="38"/>
        <v>87.231299224620898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0.69169954801824984</v>
      </c>
      <c r="BR20" s="21">
        <f>EXP(-LN(2)/2)*BR19+(1-EXP(-LN(2)/2))/(LN(2)/2)*BL20*BO20*VLOOKUP('Données projet'!$B$11,Paramètres!$A$1:$I$89,3,0)*0.475*44/12</f>
        <v>0.95752852600942895</v>
      </c>
      <c r="BS20" s="22">
        <f t="shared" si="9"/>
        <v>1.6492280740276788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3.1</v>
      </c>
      <c r="BY20" s="12">
        <f>IF('Données projet'!$A$114&gt;35,BY19+BX20-CG19,IF(A20&lt;'Données projet'!$A$114,$BV$205^A20,IF(A20='Données projet'!$A$114,'Données projet'!$B$114,BY19+BX20-CG19)))</f>
        <v>33.383582168439972</v>
      </c>
      <c r="BZ20" s="13">
        <f>BY20*VLOOKUP('Données projet'!$B$12,Paramètres!$A$1:$I$89,3,0)*VLOOKUP('Données projet'!$B$12,Paramètres!$A$1:$I$89,5,0)</f>
        <v>19.963382136727105</v>
      </c>
      <c r="CA20" s="13">
        <f t="shared" si="39"/>
        <v>6.492903277017275</v>
      </c>
      <c r="CB20" s="20">
        <f t="shared" si="10"/>
        <v>46.078030428938128</v>
      </c>
      <c r="CC20" s="59">
        <f t="shared" si="11"/>
        <v>339.41136376227144</v>
      </c>
      <c r="CD20" s="59">
        <f ca="1">AVERAGE(OFFSET($CC$3,0,0,'Données projet'!$E$12+1,1))-AVERAGE(OFFSET($H$3,0,0,'Données projet'!$E$12+1,1))</f>
        <v>165.39579887388538</v>
      </c>
      <c r="CE20" s="59">
        <f t="shared" si="40"/>
        <v>155.89639262545802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3.56</v>
      </c>
      <c r="CT20" s="12">
        <f>IF('Données projet'!$A$140&gt;35,CT19+CS20-DB19,IF(A20&lt;'Données projet'!$A$140,$CQ$205^A20,IF(A20='Données projet'!$A$140,'Données projet'!$B$140,CT19+CS20-DB19)))</f>
        <v>21.163388504175224</v>
      </c>
      <c r="CU20" s="17">
        <f>CT20*VLOOKUP('Données projet'!$B$13,Paramètres!$A$1:$I$89,3,0)*VLOOKUP('Données projet'!$B$13,Paramètres!$A$1:$I$89,5,0)</f>
        <v>16.507443033256674</v>
      </c>
      <c r="CV20" s="13">
        <f t="shared" si="41"/>
        <v>5.4890089955831698</v>
      </c>
      <c r="CW20" s="20">
        <f t="shared" si="13"/>
        <v>38.310487283562729</v>
      </c>
      <c r="CX20" s="59">
        <f t="shared" si="14"/>
        <v>331.64382061689605</v>
      </c>
      <c r="CY20" s="59">
        <f ca="1">AVERAGE(OFFSET($CX$3,0,0,'Données projet'!$E$13+1,1))-AVERAGE(OFFSET($H$3,0,0,'Données projet'!$E$13+1,1))</f>
        <v>190.06335940156185</v>
      </c>
      <c r="CZ20" s="59">
        <f t="shared" si="42"/>
        <v>166.43663896839928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2.1</v>
      </c>
      <c r="DO20" s="12">
        <f>IF('Données projet'!$A$166&gt;35,DO19+DN20-DW19,IF(A20&lt;'Données projet'!$A$166,$DL$205^A20,IF(A20='Données projet'!$A$166,'Données projet'!$B$166,DO19+DN20-DW19)))</f>
        <v>23.975181126327602</v>
      </c>
      <c r="DP20" s="17">
        <f>DO20*VLOOKUP('Données projet'!$B$14,Paramètres!$A$1:$I$89,3,0)*VLOOKUP('Données projet'!$B$14,Paramètres!$A$1:$I$89,5,0)</f>
        <v>23.188795185384055</v>
      </c>
      <c r="DQ20" s="13">
        <f t="shared" si="43"/>
        <v>7.4115982288884323</v>
      </c>
      <c r="DR20" s="20">
        <f t="shared" si="16"/>
        <v>53.29568519652458</v>
      </c>
      <c r="DS20" s="59">
        <f t="shared" si="17"/>
        <v>346.62901852985789</v>
      </c>
      <c r="DT20" s="59">
        <f ca="1">AVERAGE(OFFSET($DS$3,0,0,'Données projet'!$E$14+1,1))-AVERAGE(OFFSET($H$3,0,0,'Données projet'!$E$14+1,1))</f>
        <v>261.22357949323879</v>
      </c>
      <c r="DU20" s="59">
        <f t="shared" si="44"/>
        <v>163.41029152029387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5.75</v>
      </c>
      <c r="EJ20" s="12">
        <f>IF('Données projet'!$A$192&gt;35,EJ19+EI20-ER19,IF(A20&lt;'Données projet'!$A$192,$EG$205^A20,IF(A20='Données projet'!$A$192,'Données projet'!$B$192,EJ19+EI20-ER19)))</f>
        <v>56.440800444763006</v>
      </c>
      <c r="EK20" s="17">
        <f>EJ20*VLOOKUP('Données projet'!$B$15,Paramètres!$A$1:$I$89,3,0)*VLOOKUP('Données projet'!$B$15,Paramètres!$A$1:$I$89,5,0)</f>
        <v>26.414294608149088</v>
      </c>
      <c r="EL20" s="13">
        <f t="shared" si="45"/>
        <v>8.3155124979120405</v>
      </c>
      <c r="EM20" s="20">
        <f t="shared" si="19"/>
        <v>60.487747376389791</v>
      </c>
      <c r="EN20" s="59">
        <f t="shared" si="20"/>
        <v>353.82108070972311</v>
      </c>
      <c r="EO20" s="59">
        <f ca="1">AVERAGE(OFFSET($EN$3,0,0,'Données projet'!$E$15+1,1))-AVERAGE(OFFSET($H$3,0,0,'Données projet'!$E$15+1,1))</f>
        <v>123.60520571614535</v>
      </c>
      <c r="EP20" s="59">
        <f t="shared" si="46"/>
        <v>119.00926870519527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2.85</v>
      </c>
      <c r="FE20" s="12">
        <f>IF('Données projet'!$A$218&gt;35,FE19+FD20-FM19,IF(A20&lt;'Données projet'!$A$218,$FB$205^A20,IF(A20='Données projet'!$A$218,'Données projet'!$B$218,FE19+FD20-FM19)))</f>
        <v>31.080902954246678</v>
      </c>
      <c r="FF20" s="17">
        <f>FE20*VLOOKUP('Données projet'!$B$16,Paramètres!$A$1:$I$89,3,0)*VLOOKUP('Données projet'!$B$16,Paramètres!$A$1:$I$89,5,0)</f>
        <v>22.788518046053664</v>
      </c>
      <c r="FG20" s="13">
        <f t="shared" si="47"/>
        <v>7.29843923170026</v>
      </c>
      <c r="FH20" s="20">
        <f t="shared" si="22"/>
        <v>52.401450592088082</v>
      </c>
      <c r="FI20" s="59">
        <f t="shared" si="23"/>
        <v>345.73478392542143</v>
      </c>
      <c r="FJ20" s="59">
        <f ca="1">AVERAGE(OFFSET($FI$3,0,0,'Données projet'!$E$16+1,1))-AVERAGE(OFFSET($H$3,0,0,'Données projet'!$E$16+1,1))</f>
        <v>124.15919323713428</v>
      </c>
      <c r="FK20" s="59">
        <f t="shared" si="48"/>
        <v>157.85954678210715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2.1</v>
      </c>
      <c r="N21" s="13">
        <f>IF('Données projet'!$A$36&gt;35,N20+M21-V20,IF(A21&lt;'Données projet'!$A$36,$K$205^A21,IF(A21='Données projet'!$A$36,'Données projet'!$B$36,N20+M21-V20)))</f>
        <v>28.901764726506816</v>
      </c>
      <c r="O21" s="13">
        <f>N21*VLOOKUP('Données projet'!$B$9,Paramètres!$A$1:$I$89,3,0)*VLOOKUP('Données projet'!$B$9,Paramètres!$A$1:$I$89,5,0)</f>
        <v>26.150316724543362</v>
      </c>
      <c r="P21" s="13">
        <f t="shared" si="33"/>
        <v>8.2420396752158016</v>
      </c>
      <c r="Q21" s="20">
        <f t="shared" si="2"/>
        <v>59.900020729580547</v>
      </c>
      <c r="R21" s="59">
        <f t="shared" si="0"/>
        <v>353.23335406291386</v>
      </c>
      <c r="S21" s="59">
        <f ca="1">AVERAGE(OFFSET($R$3,0,0,'Données projet'!$E$9+1,1))-AVERAGE(OFFSET($H$3,0,0,'Données projet'!$E$9+1,1))</f>
        <v>237.22177246688199</v>
      </c>
      <c r="T21" s="59">
        <f t="shared" si="34"/>
        <v>149.27472147904302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5.25</v>
      </c>
      <c r="AI21" s="13">
        <f>IF('Données projet'!$A$62&gt;35,AI20+AH21-AQ20,IF(A21&lt;'Données projet'!$A$62,$AF$205^A21,IF(A21='Données projet'!$A$62,'Données projet'!$B$62,AI20+AH21-AQ20)))</f>
        <v>65.928071049370772</v>
      </c>
      <c r="AJ21" s="13">
        <f>AI21*VLOOKUP('Données projet'!$B$10,Paramètres!$A$1:$I$89,3,0)*VLOOKUP('Données projet'!$B$10,Paramètres!$A$1:$I$89,5,0)</f>
        <v>57.594762868730314</v>
      </c>
      <c r="AK21" s="13">
        <f t="shared" si="35"/>
        <v>16.558709184454482</v>
      </c>
      <c r="AL21" s="20">
        <f t="shared" si="4"/>
        <v>129.1506304926302</v>
      </c>
      <c r="AM21" s="59">
        <f t="shared" si="5"/>
        <v>422.48396382596354</v>
      </c>
      <c r="AN21" s="59">
        <f ca="1">AVERAGE(OFFSET($AM$3,0,0,'Données projet'!$E$10+1,1))-AVERAGE(OFFSET($H$3,0,0,'Données projet'!$E$10+1,1))</f>
        <v>191.94797389630673</v>
      </c>
      <c r="AO21" s="59">
        <f t="shared" si="36"/>
        <v>273.52540822767878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6.25</v>
      </c>
      <c r="BD21" s="12">
        <f>IF('Données projet'!$A$88&gt;35,BD20+BC21-BL20,IF(A21&lt;'Données projet'!$A$88,$BA$205^A21,IF(A21='Données projet'!$A$88,'Données projet'!$B$88,BD20+BC21-BL20)))</f>
        <v>48.5</v>
      </c>
      <c r="BE21" s="13">
        <f>BD21*VLOOKUP('Données projet'!$B$11,Paramètres!$A$1:$I$89,3,0)*VLOOKUP('Données projet'!$B$11,Paramètres!$A$1:$I$89,5,0)</f>
        <v>29.003000000000004</v>
      </c>
      <c r="BF21" s="13">
        <f t="shared" si="37"/>
        <v>9.0316402689048942</v>
      </c>
      <c r="BG21" s="20">
        <f t="shared" si="7"/>
        <v>66.243665135009351</v>
      </c>
      <c r="BH21" s="59">
        <f t="shared" si="8"/>
        <v>359.57699846834265</v>
      </c>
      <c r="BI21" s="59">
        <f ca="1">AVERAGE(OFFSET($BH$3,0,0,'Données projet'!$E$11+1,1))-AVERAGE(OFFSET($H$3,0,0,'Données projet'!$E$11+1,1))</f>
        <v>72.647148358003676</v>
      </c>
      <c r="BJ21" s="59">
        <f t="shared" si="38"/>
        <v>87.231299224620898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0.67278498750279248</v>
      </c>
      <c r="BR21" s="21">
        <f>EXP(-LN(2)/2)*BR20+(1-EXP(-LN(2)/2))/(LN(2)/2)*BL21*BO21*VLOOKUP('Données projet'!$B$11,Paramètres!$A$1:$I$89,3,0)*0.475*44/12</f>
        <v>0.67707491392082675</v>
      </c>
      <c r="BS21" s="22">
        <f t="shared" si="9"/>
        <v>1.3498599014236192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3.1</v>
      </c>
      <c r="BY21" s="12">
        <f>IF('Données projet'!$A$114&gt;35,BY20+BX21-CG20,IF(A21&lt;'Données projet'!$A$114,$BV$205^A21,IF(A21='Données projet'!$A$114,'Données projet'!$B$114,BY20+BX21-CG20)))</f>
        <v>41.034818849706127</v>
      </c>
      <c r="BZ21" s="13">
        <f>BY21*VLOOKUP('Données projet'!$B$12,Paramètres!$A$1:$I$89,3,0)*VLOOKUP('Données projet'!$B$12,Paramètres!$A$1:$I$89,5,0)</f>
        <v>24.538821672124264</v>
      </c>
      <c r="CA21" s="13">
        <f t="shared" si="39"/>
        <v>7.7916026781690766</v>
      </c>
      <c r="CB21" s="20">
        <f t="shared" si="10"/>
        <v>56.30882241009423</v>
      </c>
      <c r="CC21" s="59">
        <f t="shared" si="11"/>
        <v>349.64215574342757</v>
      </c>
      <c r="CD21" s="59">
        <f ca="1">AVERAGE(OFFSET($CC$3,0,0,'Données projet'!$E$12+1,1))-AVERAGE(OFFSET($H$3,0,0,'Données projet'!$E$12+1,1))</f>
        <v>165.39579887388538</v>
      </c>
      <c r="CE21" s="59">
        <f t="shared" si="40"/>
        <v>155.89639262545802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3.56</v>
      </c>
      <c r="CT21" s="12">
        <f>IF('Données projet'!$A$140&gt;35,CT20+CS21-DB20,IF(A21&lt;'Données projet'!$A$140,$CQ$205^A21,IF(A21='Données projet'!$A$140,'Données projet'!$B$140,CT20+CS21-DB20)))</f>
        <v>25.325661904683113</v>
      </c>
      <c r="CU21" s="17">
        <f>CT21*VLOOKUP('Données projet'!$B$13,Paramètres!$A$1:$I$89,3,0)*VLOOKUP('Données projet'!$B$13,Paramètres!$A$1:$I$89,5,0)</f>
        <v>19.754016285652828</v>
      </c>
      <c r="CV21" s="13">
        <f t="shared" si="41"/>
        <v>6.4326982982660121</v>
      </c>
      <c r="CW21" s="20">
        <f t="shared" si="13"/>
        <v>45.608527900325306</v>
      </c>
      <c r="CX21" s="59">
        <f t="shared" si="14"/>
        <v>338.94186123365864</v>
      </c>
      <c r="CY21" s="59">
        <f ca="1">AVERAGE(OFFSET($CX$3,0,0,'Données projet'!$E$13+1,1))-AVERAGE(OFFSET($H$3,0,0,'Données projet'!$E$13+1,1))</f>
        <v>190.06335940156185</v>
      </c>
      <c r="CZ21" s="59">
        <f t="shared" si="42"/>
        <v>166.43663896839928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2.1</v>
      </c>
      <c r="DO21" s="12">
        <f>IF('Données projet'!$A$166&gt;35,DO20+DN21-DW20,IF(A21&lt;'Données projet'!$A$166,$DL$205^A21,IF(A21='Données projet'!$A$166,'Données projet'!$B$166,DO20+DN21-DW20)))</f>
        <v>28.901764726506816</v>
      </c>
      <c r="DP21" s="17">
        <f>DO21*VLOOKUP('Données projet'!$B$14,Paramètres!$A$1:$I$89,3,0)*VLOOKUP('Données projet'!$B$14,Paramètres!$A$1:$I$89,5,0)</f>
        <v>27.953786843477392</v>
      </c>
      <c r="DQ21" s="13">
        <f t="shared" si="43"/>
        <v>8.7423265089215931</v>
      </c>
      <c r="DR21" s="20">
        <f t="shared" si="16"/>
        <v>63.912397422094891</v>
      </c>
      <c r="DS21" s="59">
        <f t="shared" si="17"/>
        <v>357.24573075542821</v>
      </c>
      <c r="DT21" s="59">
        <f ca="1">AVERAGE(OFFSET($DS$3,0,0,'Données projet'!$E$14+1,1))-AVERAGE(OFFSET($H$3,0,0,'Données projet'!$E$14+1,1))</f>
        <v>261.22357949323879</v>
      </c>
      <c r="DU21" s="59">
        <f t="shared" si="44"/>
        <v>163.41029152029387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5.75</v>
      </c>
      <c r="EJ21" s="12">
        <f>IF('Données projet'!$A$192&gt;35,EJ20+EI21-ER20,IF(A21&lt;'Données projet'!$A$192,$EG$205^A21,IF(A21='Données projet'!$A$192,'Données projet'!$B$192,EJ20+EI21-ER20)))</f>
        <v>71.55303446582019</v>
      </c>
      <c r="EK21" s="17">
        <f>EJ21*VLOOKUP('Données projet'!$B$15,Paramètres!$A$1:$I$89,3,0)*VLOOKUP('Données projet'!$B$15,Paramètres!$A$1:$I$89,5,0)</f>
        <v>33.486820130003849</v>
      </c>
      <c r="EL21" s="13">
        <f t="shared" si="45"/>
        <v>10.254881616957807</v>
      </c>
      <c r="EM21" s="20">
        <f t="shared" si="19"/>
        <v>76.183463875958196</v>
      </c>
      <c r="EN21" s="59">
        <f t="shared" si="20"/>
        <v>369.5167972092915</v>
      </c>
      <c r="EO21" s="59">
        <f ca="1">AVERAGE(OFFSET($EN$3,0,0,'Données projet'!$E$15+1,1))-AVERAGE(OFFSET($H$3,0,0,'Données projet'!$E$15+1,1))</f>
        <v>123.60520571614535</v>
      </c>
      <c r="EP21" s="59">
        <f t="shared" si="46"/>
        <v>119.00926870519527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2.85</v>
      </c>
      <c r="FE21" s="12">
        <f>IF('Données projet'!$A$218&gt;35,FE20+FD21-FM20,IF(A21&lt;'Données projet'!$A$218,$FB$205^A21,IF(A21='Données projet'!$A$218,'Données projet'!$B$218,FE20+FD21-FM20)))</f>
        <v>38.044104865803838</v>
      </c>
      <c r="FF21" s="17">
        <f>FE21*VLOOKUP('Données projet'!$B$16,Paramètres!$A$1:$I$89,3,0)*VLOOKUP('Données projet'!$B$16,Paramètres!$A$1:$I$89,5,0)</f>
        <v>27.893937687607373</v>
      </c>
      <c r="FG21" s="13">
        <f t="shared" si="47"/>
        <v>8.7257857944240786</v>
      </c>
      <c r="FH21" s="20">
        <f t="shared" si="22"/>
        <v>63.779351731204777</v>
      </c>
      <c r="FI21" s="59">
        <f t="shared" si="23"/>
        <v>357.11268506453808</v>
      </c>
      <c r="FJ21" s="59">
        <f ca="1">AVERAGE(OFFSET($FI$3,0,0,'Données projet'!$E$16+1,1))-AVERAGE(OFFSET($H$3,0,0,'Données projet'!$E$16+1,1))</f>
        <v>124.15919323713428</v>
      </c>
      <c r="FK21" s="59">
        <f t="shared" si="48"/>
        <v>157.85954678210715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2.1</v>
      </c>
      <c r="N22" s="13">
        <f>IF('Données projet'!$A$36&gt;35,N21+M22-V21,IF(A22&lt;'Données projet'!$A$36,$K$205^A22,IF(A22='Données projet'!$A$36,'Données projet'!$B$36,N21+M22-V21)))</f>
        <v>34.840696297767764</v>
      </c>
      <c r="O22" s="13">
        <f>N22*VLOOKUP('Données projet'!$B$9,Paramètres!$A$1:$I$89,3,0)*VLOOKUP('Données projet'!$B$9,Paramètres!$A$1:$I$89,5,0)</f>
        <v>31.52386201022027</v>
      </c>
      <c r="P22" s="13">
        <f t="shared" si="33"/>
        <v>9.7218710074397983</v>
      </c>
      <c r="Q22" s="20">
        <f t="shared" si="2"/>
        <v>71.836318339091292</v>
      </c>
      <c r="R22" s="59">
        <f t="shared" si="0"/>
        <v>365.16965167242461</v>
      </c>
      <c r="S22" s="59">
        <f ca="1">AVERAGE(OFFSET($R$3,0,0,'Données projet'!$E$9+1,1))-AVERAGE(OFFSET($H$3,0,0,'Données projet'!$E$9+1,1))</f>
        <v>237.22177246688199</v>
      </c>
      <c r="T22" s="59">
        <f t="shared" si="34"/>
        <v>149.27472147904302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5.25</v>
      </c>
      <c r="AI22" s="13">
        <f>IF('Données projet'!$A$62&gt;35,AI21+AH22-AQ21,IF(A22&lt;'Données projet'!$A$62,$AF$205^A22,IF(A22='Données projet'!$A$62,'Données projet'!$B$62,AI21+AH22-AQ21)))</f>
        <v>83.201246746571883</v>
      </c>
      <c r="AJ22" s="13">
        <f>AI22*VLOOKUP('Données projet'!$B$10,Paramètres!$A$1:$I$89,3,0)*VLOOKUP('Données projet'!$B$10,Paramètres!$A$1:$I$89,5,0)</f>
        <v>72.684609157805212</v>
      </c>
      <c r="AK22" s="13">
        <f t="shared" si="35"/>
        <v>20.338673382424638</v>
      </c>
      <c r="AL22" s="20">
        <f t="shared" si="4"/>
        <v>162.01555042423362</v>
      </c>
      <c r="AM22" s="59">
        <f t="shared" si="5"/>
        <v>455.34888375756691</v>
      </c>
      <c r="AN22" s="59">
        <f ca="1">AVERAGE(OFFSET($AM$3,0,0,'Données projet'!$E$10+1,1))-AVERAGE(OFFSET($H$3,0,0,'Données projet'!$E$10+1,1))</f>
        <v>191.94797389630673</v>
      </c>
      <c r="AO22" s="59">
        <f t="shared" si="36"/>
        <v>273.52540822767878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6.25</v>
      </c>
      <c r="BD22" s="12">
        <f>IF('Données projet'!$A$88&gt;35,BD21+BC22-BL21,IF(A22&lt;'Données projet'!$A$88,$BA$205^A22,IF(A22='Données projet'!$A$88,'Données projet'!$B$88,BD21+BC22-BL21)))</f>
        <v>54.75</v>
      </c>
      <c r="BE22" s="13">
        <f>BD22*VLOOKUP('Données projet'!$B$11,Paramètres!$A$1:$I$89,3,0)*VLOOKUP('Données projet'!$B$11,Paramètres!$A$1:$I$89,5,0)</f>
        <v>32.740500000000004</v>
      </c>
      <c r="BF22" s="13">
        <f t="shared" si="37"/>
        <v>10.052670379991662</v>
      </c>
      <c r="BG22" s="20">
        <f t="shared" si="7"/>
        <v>74.531438411818826</v>
      </c>
      <c r="BH22" s="59">
        <f t="shared" si="8"/>
        <v>367.86477174515215</v>
      </c>
      <c r="BI22" s="59">
        <f ca="1">AVERAGE(OFFSET($BH$3,0,0,'Données projet'!$E$11+1,1))-AVERAGE(OFFSET($H$3,0,0,'Données projet'!$E$11+1,1))</f>
        <v>72.647148358003676</v>
      </c>
      <c r="BJ22" s="59">
        <f t="shared" si="38"/>
        <v>87.231299224620898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0.65438764663930382</v>
      </c>
      <c r="BR22" s="21">
        <f>EXP(-LN(2)/2)*BR21+(1-EXP(-LN(2)/2))/(LN(2)/2)*BL22*BO22*VLOOKUP('Données projet'!$B$11,Paramètres!$A$1:$I$89,3,0)*0.475*44/12</f>
        <v>0.47876426300471459</v>
      </c>
      <c r="BS22" s="22">
        <f t="shared" si="9"/>
        <v>1.1331519096440184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3.1</v>
      </c>
      <c r="BY22" s="12">
        <f>IF('Données projet'!$A$114&gt;35,BY21+BX22-CG21,IF(A22&lt;'Données projet'!$A$114,$BV$205^A22,IF(A22='Données projet'!$A$114,'Données projet'!$B$114,BY21+BX22-CG21)))</f>
        <v>50.43965472405398</v>
      </c>
      <c r="BZ22" s="13">
        <f>BY22*VLOOKUP('Données projet'!$B$12,Paramètres!$A$1:$I$89,3,0)*VLOOKUP('Données projet'!$B$12,Paramètres!$A$1:$I$89,5,0)</f>
        <v>30.16291352498428</v>
      </c>
      <c r="CA22" s="13">
        <f t="shared" si="39"/>
        <v>9.3500657108726006</v>
      </c>
      <c r="CB22" s="20">
        <f t="shared" si="10"/>
        <v>68.818438835784079</v>
      </c>
      <c r="CC22" s="59">
        <f t="shared" si="11"/>
        <v>362.15177216911741</v>
      </c>
      <c r="CD22" s="59">
        <f ca="1">AVERAGE(OFFSET($CC$3,0,0,'Données projet'!$E$12+1,1))-AVERAGE(OFFSET($H$3,0,0,'Données projet'!$E$12+1,1))</f>
        <v>165.39579887388538</v>
      </c>
      <c r="CE22" s="59">
        <f t="shared" si="40"/>
        <v>155.89639262545802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3.56</v>
      </c>
      <c r="CT22" s="12">
        <f>IF('Données projet'!$A$140&gt;35,CT21+CS22-DB21,IF(A22&lt;'Données projet'!$A$140,$CQ$205^A22,IF(A22='Données projet'!$A$140,'Données projet'!$B$140,CT21+CS22-DB21)))</f>
        <v>30.306543339398647</v>
      </c>
      <c r="CU22" s="17">
        <f>CT22*VLOOKUP('Données projet'!$B$13,Paramètres!$A$1:$I$89,3,0)*VLOOKUP('Données projet'!$B$13,Paramètres!$A$1:$I$89,5,0)</f>
        <v>23.639103804730947</v>
      </c>
      <c r="CV22" s="13">
        <f t="shared" si="41"/>
        <v>7.5386299111208031</v>
      </c>
      <c r="CW22" s="20">
        <f t="shared" si="13"/>
        <v>54.301219555108467</v>
      </c>
      <c r="CX22" s="59">
        <f t="shared" si="14"/>
        <v>347.63455288844176</v>
      </c>
      <c r="CY22" s="59">
        <f ca="1">AVERAGE(OFFSET($CX$3,0,0,'Données projet'!$E$13+1,1))-AVERAGE(OFFSET($H$3,0,0,'Données projet'!$E$13+1,1))</f>
        <v>190.06335940156185</v>
      </c>
      <c r="CZ22" s="59">
        <f t="shared" si="42"/>
        <v>166.43663896839928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2.1</v>
      </c>
      <c r="DO22" s="12">
        <f>IF('Données projet'!$A$166&gt;35,DO21+DN22-DW21,IF(A22&lt;'Données projet'!$A$166,$DL$205^A22,IF(A22='Données projet'!$A$166,'Données projet'!$B$166,DO21+DN22-DW21)))</f>
        <v>34.840696297767764</v>
      </c>
      <c r="DP22" s="17">
        <f>DO22*VLOOKUP('Données projet'!$B$14,Paramètres!$A$1:$I$89,3,0)*VLOOKUP('Données projet'!$B$14,Paramètres!$A$1:$I$89,5,0)</f>
        <v>33.697921459200977</v>
      </c>
      <c r="DQ22" s="13">
        <f t="shared" si="43"/>
        <v>10.31198270984201</v>
      </c>
      <c r="DR22" s="20">
        <f t="shared" si="16"/>
        <v>76.650583094416518</v>
      </c>
      <c r="DS22" s="59">
        <f t="shared" si="17"/>
        <v>369.98391642774982</v>
      </c>
      <c r="DT22" s="59">
        <f ca="1">AVERAGE(OFFSET($DS$3,0,0,'Données projet'!$E$14+1,1))-AVERAGE(OFFSET($H$3,0,0,'Données projet'!$E$14+1,1))</f>
        <v>261.22357949323879</v>
      </c>
      <c r="DU22" s="59">
        <f t="shared" si="44"/>
        <v>163.41029152029387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5.75</v>
      </c>
      <c r="EJ22" s="12">
        <f>IF('Données projet'!$A$192&gt;35,EJ21+EI22-ER21,IF(A22&lt;'Données projet'!$A$192,$EG$205^A22,IF(A22='Données projet'!$A$192,'Données projet'!$B$192,EJ21+EI22-ER21)))</f>
        <v>90.711625294497551</v>
      </c>
      <c r="EK22" s="17">
        <f>EJ22*VLOOKUP('Données projet'!$B$15,Paramètres!$A$1:$I$89,3,0)*VLOOKUP('Données projet'!$B$15,Paramètres!$A$1:$I$89,5,0)</f>
        <v>42.453040637824856</v>
      </c>
      <c r="EL22" s="13">
        <f t="shared" si="45"/>
        <v>12.646556301156998</v>
      </c>
      <c r="EM22" s="20">
        <f t="shared" si="19"/>
        <v>95.96513133539338</v>
      </c>
      <c r="EN22" s="59">
        <f t="shared" si="20"/>
        <v>389.29846466872669</v>
      </c>
      <c r="EO22" s="59">
        <f ca="1">AVERAGE(OFFSET($EN$3,0,0,'Données projet'!$E$15+1,1))-AVERAGE(OFFSET($H$3,0,0,'Données projet'!$E$15+1,1))</f>
        <v>123.60520571614535</v>
      </c>
      <c r="EP22" s="59">
        <f t="shared" si="46"/>
        <v>119.00926870519527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2.85</v>
      </c>
      <c r="FE22" s="12">
        <f>IF('Données projet'!$A$218&gt;35,FE21+FD22-FM21,IF(A22&lt;'Données projet'!$A$218,$FB$205^A22,IF(A22='Données projet'!$A$218,'Données projet'!$B$218,FE21+FD22-FM21)))</f>
        <v>46.567305884609858</v>
      </c>
      <c r="FF22" s="17">
        <f>FE22*VLOOKUP('Données projet'!$B$16,Paramètres!$A$1:$I$89,3,0)*VLOOKUP('Données projet'!$B$16,Paramètres!$A$1:$I$89,5,0)</f>
        <v>34.143148674595949</v>
      </c>
      <c r="FG22" s="13">
        <f t="shared" si="47"/>
        <v>10.432276725613768</v>
      </c>
      <c r="FH22" s="20">
        <f t="shared" si="22"/>
        <v>77.63553257203192</v>
      </c>
      <c r="FI22" s="59">
        <f t="shared" si="23"/>
        <v>370.96886590536525</v>
      </c>
      <c r="FJ22" s="59">
        <f ca="1">AVERAGE(OFFSET($FI$3,0,0,'Données projet'!$E$16+1,1))-AVERAGE(OFFSET($H$3,0,0,'Données projet'!$E$16+1,1))</f>
        <v>124.15919323713428</v>
      </c>
      <c r="FK22" s="59">
        <f t="shared" si="48"/>
        <v>157.85954678210715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42</v>
      </c>
      <c r="L23" s="12">
        <f>VLOOKUP(A23,'Données projet'!$A$35:$I$55,9,0)</f>
        <v>2.1</v>
      </c>
      <c r="M23" s="12">
        <f t="array" ref="M23">INDEX(L:L,MIN(IF(ISNUMBER(L23:L219),ROW(L23:L219),"")))</f>
        <v>2.1</v>
      </c>
      <c r="N23" s="13">
        <f>IF('Données projet'!$A$36&gt;35,N22+M23-V22,IF(A23&lt;'Données projet'!$A$36,$K$205^A23,IF(A23='Données projet'!$A$36,'Données projet'!$B$36,N22+M23-V22)))</f>
        <v>42</v>
      </c>
      <c r="O23" s="13">
        <f>N23*VLOOKUP('Données projet'!$B$9,Paramètres!$A$1:$I$89,3,0)*VLOOKUP('Données projet'!$B$9,Paramètres!$A$1:$I$89,5,0)</f>
        <v>38.001600000000003</v>
      </c>
      <c r="P23" s="13">
        <f t="shared" si="33"/>
        <v>11.467401227090512</v>
      </c>
      <c r="Q23" s="20">
        <f t="shared" si="2"/>
        <v>86.158510470515978</v>
      </c>
      <c r="R23" s="59">
        <f t="shared" si="0"/>
        <v>379.49184380384929</v>
      </c>
      <c r="S23" s="59">
        <f ca="1">AVERAGE(OFFSET($R$3,0,0,'Données projet'!$E$9+1,1))-AVERAGE(OFFSET($H$3,0,0,'Données projet'!$E$9+1,1))</f>
        <v>237.22177246688199</v>
      </c>
      <c r="T23" s="59">
        <f t="shared" si="34"/>
        <v>149.27472147904302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105</v>
      </c>
      <c r="AG23" s="12">
        <f>VLOOKUP(A23,'Données projet'!$A$61:$I$81,9,0)</f>
        <v>5.25</v>
      </c>
      <c r="AH23" s="12">
        <f t="array" ref="AH23">INDEX(AG:AG,MIN(IF(ISNUMBER(AG23:AG219),ROW(AG23:AG219),"")))</f>
        <v>5.25</v>
      </c>
      <c r="AI23" s="13">
        <f>IF('Données projet'!$A$62&gt;35,AI22+AH23-AQ22,IF(A23&lt;'Données projet'!$A$62,$AF$205^A23,IF(A23='Données projet'!$A$62,'Données projet'!$B$62,AI22+AH23-AQ22)))</f>
        <v>105</v>
      </c>
      <c r="AJ23" s="13">
        <f>AI23*VLOOKUP('Données projet'!$B$10,Paramètres!$A$1:$I$89,3,0)*VLOOKUP('Données projet'!$B$10,Paramètres!$A$1:$I$89,5,0)</f>
        <v>91.728000000000009</v>
      </c>
      <c r="AK23" s="13">
        <f t="shared" si="35"/>
        <v>24.981514582386563</v>
      </c>
      <c r="AL23" s="20">
        <f t="shared" si="4"/>
        <v>203.26907123098991</v>
      </c>
      <c r="AM23" s="59">
        <f t="shared" si="5"/>
        <v>496.60240456432325</v>
      </c>
      <c r="AN23" s="59">
        <f ca="1">AVERAGE(OFFSET($AM$3,0,0,'Données projet'!$E$10+1,1))-AVERAGE(OFFSET($H$3,0,0,'Données projet'!$E$10+1,1))</f>
        <v>191.94797389630673</v>
      </c>
      <c r="AO23" s="59">
        <f t="shared" si="36"/>
        <v>273.52540822767878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32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0.1075</v>
      </c>
      <c r="AT23" s="16">
        <f>IF(ISNA(VLOOKUP(A23,'Données projet'!$A$61:$I$81,7,0)),0%,VLOOKUP(A23,'Données projet'!$A$61:$I$81,7,0))</f>
        <v>0.25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3.3090613585623756</v>
      </c>
      <c r="AW23" s="21">
        <f>EXP(-LN(2)/2)*AW22+(1-EXP(-LN(2)/2))/(LN(2)/2)*AQ23*AT23*VLOOKUP('Données projet'!$B$10,Paramètres!$A$1:$I$89,3,0)*0.475*44/12</f>
        <v>6.5941209007941382</v>
      </c>
      <c r="AX23" s="21">
        <f t="shared" si="6"/>
        <v>9.9031822593565142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61</v>
      </c>
      <c r="BB23" s="12">
        <f>VLOOKUP(A23,'Données projet'!$A$87:$I$107,9,0)</f>
        <v>6.25</v>
      </c>
      <c r="BC23" s="12">
        <f t="array" ref="BC23">INDEX(BB:BB,MIN(IF(ISNUMBER(BB23:BB219),ROW(BB23:BB219),"")))</f>
        <v>6.25</v>
      </c>
      <c r="BD23" s="12">
        <f>IF('Données projet'!$A$88&gt;35,BD22+BC23-BL22,IF(A23&lt;'Données projet'!$A$88,$BA$205^A23,IF(A23='Données projet'!$A$88,'Données projet'!$B$88,BD22+BC23-BL22)))</f>
        <v>61</v>
      </c>
      <c r="BE23" s="13">
        <f>BD23*VLOOKUP('Données projet'!$B$11,Paramètres!$A$1:$I$89,3,0)*VLOOKUP('Données projet'!$B$11,Paramètres!$A$1:$I$89,5,0)</f>
        <v>36.478000000000002</v>
      </c>
      <c r="BF23" s="13">
        <f t="shared" si="37"/>
        <v>11.06019217991456</v>
      </c>
      <c r="BG23" s="20">
        <f t="shared" si="7"/>
        <v>82.795684713351179</v>
      </c>
      <c r="BH23" s="59">
        <f t="shared" si="8"/>
        <v>376.12901804668451</v>
      </c>
      <c r="BI23" s="59">
        <f ca="1">AVERAGE(OFFSET($BH$3,0,0,'Données projet'!$E$11+1,1))-AVERAGE(OFFSET($H$3,0,0,'Données projet'!$E$11+1,1))</f>
        <v>72.647148358003676</v>
      </c>
      <c r="BJ23" s="59">
        <f t="shared" si="38"/>
        <v>87.231299224620898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5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0.22500000000000001</v>
      </c>
      <c r="BO23" s="16">
        <f>IF(ISNA(VLOOKUP(A23,'Données projet'!$A$87:$I$107,7,0)),0%,VLOOKUP(A23,'Données projet'!$A$87:$I$107,7,0))</f>
        <v>0.5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1.5254257185408444</v>
      </c>
      <c r="BR23" s="21">
        <f>EXP(-LN(2)/2)*BR22+(1-EXP(-LN(2)/2))/(LN(2)/2)*BL23*BO23*VLOOKUP('Données projet'!$B$11,Paramètres!$A$1:$I$89,3,0)*0.475*44/12</f>
        <v>2.0312247417624798</v>
      </c>
      <c r="BS23" s="22">
        <f t="shared" si="9"/>
        <v>3.5566504603033242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62</v>
      </c>
      <c r="BW23" s="12">
        <f>VLOOKUP(A23,'Données projet'!$A$113:$I$133,9,0)</f>
        <v>3.1</v>
      </c>
      <c r="BX23" s="12">
        <f t="array" ref="BX23">INDEX(BW:BW,MIN(IF(ISNUMBER(BW23:BW219),ROW(BW23:BW219),"")))</f>
        <v>3.1</v>
      </c>
      <c r="BY23" s="12">
        <f>IF('Données projet'!$A$114&gt;35,BY22+BX23-CG22,IF(A23&lt;'Données projet'!$A$114,$BV$205^A23,IF(A23='Données projet'!$A$114,'Données projet'!$B$114,BY22+BX23-CG22)))</f>
        <v>62</v>
      </c>
      <c r="BZ23" s="13">
        <f>BY23*VLOOKUP('Données projet'!$B$12,Paramètres!$A$1:$I$89,3,0)*VLOOKUP('Données projet'!$B$12,Paramètres!$A$1:$I$89,5,0)</f>
        <v>37.076000000000001</v>
      </c>
      <c r="CA23" s="13">
        <f t="shared" si="39"/>
        <v>11.220249852136831</v>
      </c>
      <c r="CB23" s="20">
        <f t="shared" si="10"/>
        <v>84.115968492471652</v>
      </c>
      <c r="CC23" s="59">
        <f t="shared" si="11"/>
        <v>377.44930182580498</v>
      </c>
      <c r="CD23" s="59">
        <f ca="1">AVERAGE(OFFSET($CC$3,0,0,'Données projet'!$E$12+1,1))-AVERAGE(OFFSET($H$3,0,0,'Données projet'!$E$12+1,1))</f>
        <v>165.39579887388538</v>
      </c>
      <c r="CE23" s="59">
        <f t="shared" si="40"/>
        <v>155.89639262545802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3.56</v>
      </c>
      <c r="CT23" s="12">
        <f>IF('Données projet'!$A$140&gt;35,CT22+CS23-DB22,IF(A23&lt;'Données projet'!$A$140,$CQ$205^A23,IF(A23='Données projet'!$A$140,'Données projet'!$B$140,CT22+CS23-DB22)))</f>
        <v>36.267031149657967</v>
      </c>
      <c r="CU23" s="17">
        <f>CT23*VLOOKUP('Données projet'!$B$13,Paramètres!$A$1:$I$89,3,0)*VLOOKUP('Données projet'!$B$13,Paramètres!$A$1:$I$89,5,0)</f>
        <v>28.288284296733217</v>
      </c>
      <c r="CV23" s="13">
        <f t="shared" si="41"/>
        <v>8.834697090047662</v>
      </c>
      <c r="CW23" s="20">
        <f t="shared" si="13"/>
        <v>64.655859248643353</v>
      </c>
      <c r="CX23" s="59">
        <f t="shared" si="14"/>
        <v>357.98919258197668</v>
      </c>
      <c r="CY23" s="59">
        <f ca="1">AVERAGE(OFFSET($CX$3,0,0,'Données projet'!$E$13+1,1))-AVERAGE(OFFSET($H$3,0,0,'Données projet'!$E$13+1,1))</f>
        <v>190.06335940156185</v>
      </c>
      <c r="CZ23" s="59">
        <f t="shared" si="42"/>
        <v>166.43663896839928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>
        <f>VLOOKUP(A23,'Données projet'!$A$165:$I$185,2,0)</f>
        <v>42</v>
      </c>
      <c r="DM23" s="12">
        <f>VLOOKUP(A23,'Données projet'!$A$165:$I$185,9,0)</f>
        <v>2.1</v>
      </c>
      <c r="DN23" s="12">
        <f t="array" ref="DN23">INDEX(DM:DM,MIN(IF(ISNUMBER(DM23:DM219),ROW(DM23:DM219),"")))</f>
        <v>2.1</v>
      </c>
      <c r="DO23" s="12">
        <f>IF('Données projet'!$A$166&gt;35,DO22+DN23-DW22,IF(A23&lt;'Données projet'!$A$166,$DL$205^A23,IF(A23='Données projet'!$A$166,'Données projet'!$B$166,DO22+DN23-DW22)))</f>
        <v>42</v>
      </c>
      <c r="DP23" s="17">
        <f>DO23*VLOOKUP('Données projet'!$B$14,Paramètres!$A$1:$I$89,3,0)*VLOOKUP('Données projet'!$B$14,Paramètres!$A$1:$I$89,5,0)</f>
        <v>40.622399999999999</v>
      </c>
      <c r="DQ23" s="13">
        <f t="shared" si="43"/>
        <v>12.163465560290264</v>
      </c>
      <c r="DR23" s="20">
        <f t="shared" si="16"/>
        <v>91.935382517505545</v>
      </c>
      <c r="DS23" s="59">
        <f t="shared" si="17"/>
        <v>385.26871585083887</v>
      </c>
      <c r="DT23" s="59">
        <f ca="1">AVERAGE(OFFSET($DS$3,0,0,'Données projet'!$E$14+1,1))-AVERAGE(OFFSET($H$3,0,0,'Données projet'!$E$14+1,1))</f>
        <v>261.22357949323879</v>
      </c>
      <c r="DU23" s="59">
        <f t="shared" si="44"/>
        <v>163.41029152029387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>
        <f>VLOOKUP(A23,'Données projet'!$A$191:$I$211,2,0)</f>
        <v>115</v>
      </c>
      <c r="EH23" s="12">
        <f>VLOOKUP(A23,'Données projet'!$A$191:$I$211,9,0)</f>
        <v>5.75</v>
      </c>
      <c r="EI23" s="12">
        <f t="array" ref="EI23">INDEX(EH:EH,MIN(IF(ISNUMBER(EH23:EH219),ROW(EH23:EH219),"")))</f>
        <v>5.75</v>
      </c>
      <c r="EJ23" s="12">
        <f>IF('Données projet'!$A$192&gt;35,EJ22+EI23-ER22,IF(A23&lt;'Données projet'!$A$192,$EG$205^A23,IF(A23='Données projet'!$A$192,'Données projet'!$B$192,EJ22+EI23-ER22)))</f>
        <v>115</v>
      </c>
      <c r="EK23" s="17">
        <f>EJ23*VLOOKUP('Données projet'!$B$15,Paramètres!$A$1:$I$89,3,0)*VLOOKUP('Données projet'!$B$15,Paramètres!$A$1:$I$89,5,0)</f>
        <v>53.82</v>
      </c>
      <c r="EL23" s="13">
        <f t="shared" si="45"/>
        <v>15.596024630246266</v>
      </c>
      <c r="EM23" s="20">
        <f t="shared" si="19"/>
        <v>120.89957623101225</v>
      </c>
      <c r="EN23" s="59">
        <f t="shared" si="20"/>
        <v>414.23290956434556</v>
      </c>
      <c r="EO23" s="59">
        <f ca="1">AVERAGE(OFFSET($EN$3,0,0,'Données projet'!$E$15+1,1))-AVERAGE(OFFSET($H$3,0,0,'Données projet'!$E$15+1,1))</f>
        <v>123.60520571614535</v>
      </c>
      <c r="EP23" s="59">
        <f t="shared" si="46"/>
        <v>119.00926870519527</v>
      </c>
      <c r="EQ23" s="15">
        <f>IF(ISNA(VLOOKUP(A23,'Données projet'!$A$191:$I$211,3,0)),0,VLOOKUP(A23,'Données projet'!$A$191:$I$211,3,0))</f>
        <v>1</v>
      </c>
      <c r="ER23" s="15">
        <f>IF(ISNA(VLOOKUP(A23,'Données projet'!$A$191:$I$211,4,0)),0,VLOOKUP(A23,'Données projet'!$A$191:$I$211,4,0))</f>
        <v>6.9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0.27500000000000002</v>
      </c>
      <c r="EU23" s="16">
        <f>IF(ISNA(VLOOKUP(A23,'Données projet'!$A$191:$I$211,7,0)),0%,VLOOKUP(A23,'Données projet'!$A$191:$I$211,7,0))</f>
        <v>0.5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1.173390684195369</v>
      </c>
      <c r="EX23" s="21">
        <f>EXP(-LN(2)/2)*EX22+(1-EXP(-LN(2)/2))/(LN(2)/2)*ER23*EU23*VLOOKUP('Données projet'!$B$15,Paramètres!$A$1:$I$89,3,0)*0.475*44/12</f>
        <v>1.8281022675862317</v>
      </c>
      <c r="EY23" s="22">
        <f t="shared" si="21"/>
        <v>3.0014929517816009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>
        <f>VLOOKUP(A23,'Données projet'!$A$217:$I$237,2,0)</f>
        <v>57</v>
      </c>
      <c r="FC23" s="12">
        <f>VLOOKUP(A23,'Données projet'!$A$217:$I$237,9,0)</f>
        <v>2.85</v>
      </c>
      <c r="FD23" s="12">
        <f t="array" ref="FD23">INDEX(FC:FC,MIN(IF(ISNUMBER(FC23:FC219),ROW(FC23:FC219),"")))</f>
        <v>2.85</v>
      </c>
      <c r="FE23" s="12">
        <f>IF('Données projet'!$A$218&gt;35,FE22+FD23-FM22,IF(A23&lt;'Données projet'!$A$218,$FB$205^A23,IF(A23='Données projet'!$A$218,'Données projet'!$B$218,FE22+FD23-FM22)))</f>
        <v>57</v>
      </c>
      <c r="FF23" s="17">
        <f>FE23*VLOOKUP('Données projet'!$B$16,Paramètres!$A$1:$I$89,3,0)*VLOOKUP('Données projet'!$B$16,Paramètres!$A$1:$I$89,5,0)</f>
        <v>41.792400000000001</v>
      </c>
      <c r="FG23" s="13">
        <f t="shared" si="47"/>
        <v>12.472503937619972</v>
      </c>
      <c r="FH23" s="20">
        <f t="shared" si="22"/>
        <v>94.511374358021442</v>
      </c>
      <c r="FI23" s="59">
        <f t="shared" si="23"/>
        <v>387.84470769135476</v>
      </c>
      <c r="FJ23" s="59">
        <f ca="1">AVERAGE(OFFSET($FI$3,0,0,'Données projet'!$E$16+1,1))-AVERAGE(OFFSET($H$3,0,0,'Données projet'!$E$16+1,1))</f>
        <v>124.15919323713428</v>
      </c>
      <c r="FK23" s="59">
        <f t="shared" si="48"/>
        <v>157.85954678210715</v>
      </c>
      <c r="FL23" s="15">
        <f>IF(ISNA(VLOOKUP(A23,'Données projet'!$A$217:$I$237,3,0)),0,VLOOKUP(A23,'Données projet'!$A$217:$I$237,3,0))</f>
        <v>1</v>
      </c>
      <c r="FM23" s="15">
        <f>IF(ISNA(VLOOKUP(A23,'Données projet'!$A$217:$I$237,4,0)),0,VLOOKUP(A23,'Données projet'!$A$217:$I$237,4,0))</f>
        <v>21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0.1075</v>
      </c>
      <c r="FP23" s="16">
        <f>IF(ISNA(VLOOKUP(A23,'Données projet'!$A$217:$I$237,7,0)),0%,VLOOKUP(A23,'Données projet'!$A$217:$I$237,7,0))</f>
        <v>0.25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1.8225689513956829</v>
      </c>
      <c r="FS23" s="21">
        <f>EXP(-LN(2)/2)*FS22+(1-EXP(-LN(2)/2))/(LN(2)/2)*FM23*FP23*VLOOKUP('Données projet'!$B$16,Paramètres!$A$1:$I$89,3,0)*0.475*44/12</f>
        <v>3.6319181523905204</v>
      </c>
      <c r="FT23" s="22">
        <f t="shared" si="24"/>
        <v>5.4544871037862031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6.3</v>
      </c>
      <c r="N24" s="13">
        <f>IF('Données projet'!$A$36&gt;35,N23+M24-V23,IF(A24&lt;'Données projet'!$A$36,$K$205^A24,IF(A24='Données projet'!$A$36,'Données projet'!$B$36,N23+M24-V23)))</f>
        <v>48.3</v>
      </c>
      <c r="O24" s="13">
        <f>N24*VLOOKUP('Données projet'!$B$9,Paramètres!$A$1:$I$89,3,0)*VLOOKUP('Données projet'!$B$9,Paramètres!$A$1:$I$89,5,0)</f>
        <v>43.701839999999997</v>
      </c>
      <c r="P24" s="13">
        <f t="shared" si="33"/>
        <v>12.974708810432297</v>
      </c>
      <c r="Q24" s="20">
        <f t="shared" si="2"/>
        <v>98.711655844836244</v>
      </c>
      <c r="R24" s="59">
        <f t="shared" si="0"/>
        <v>392.04498917816954</v>
      </c>
      <c r="S24" s="59">
        <f ca="1">AVERAGE(OFFSET($R$3,0,0,'Données projet'!$E$9+1,1))-AVERAGE(OFFSET($H$3,0,0,'Données projet'!$E$9+1,1))</f>
        <v>237.22177246688199</v>
      </c>
      <c r="T24" s="59">
        <f t="shared" si="34"/>
        <v>149.27472147904302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10.199999999999999</v>
      </c>
      <c r="AI24" s="13">
        <f>IF('Données projet'!$A$62&gt;35,AI23+AH24-AQ23,IF(A24&lt;'Données projet'!$A$62,$AF$205^A24,IF(A24='Données projet'!$A$62,'Données projet'!$B$62,AI23+AH24-AQ23)))</f>
        <v>83.2</v>
      </c>
      <c r="AJ24" s="13">
        <f>AI24*VLOOKUP('Données projet'!$B$10,Paramètres!$A$1:$I$89,3,0)*VLOOKUP('Données projet'!$B$10,Paramètres!$A$1:$I$89,5,0)</f>
        <v>72.683520000000016</v>
      </c>
      <c r="AK24" s="13">
        <f t="shared" si="35"/>
        <v>20.338404088189375</v>
      </c>
      <c r="AL24" s="20">
        <f t="shared" si="4"/>
        <v>162.01318445359652</v>
      </c>
      <c r="AM24" s="59">
        <f t="shared" si="5"/>
        <v>455.34651778692984</v>
      </c>
      <c r="AN24" s="59">
        <f ca="1">AVERAGE(OFFSET($AM$3,0,0,'Données projet'!$E$10+1,1))-AVERAGE(OFFSET($H$3,0,0,'Données projet'!$E$10+1,1))</f>
        <v>191.94797389630673</v>
      </c>
      <c r="AO24" s="59">
        <f t="shared" si="36"/>
        <v>273.52540822767878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3.2185749016965137</v>
      </c>
      <c r="AW24" s="21">
        <f>EXP(-LN(2)/2)*AW23+(1-EXP(-LN(2)/2))/(LN(2)/2)*AQ24*AT24*VLOOKUP('Données projet'!$B$10,Paramètres!$A$1:$I$89,3,0)*0.475*44/12</f>
        <v>4.6627476049154808</v>
      </c>
      <c r="AX24" s="21">
        <f t="shared" si="6"/>
        <v>7.8813225066119941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8.25</v>
      </c>
      <c r="BD24" s="12">
        <f>IF('Données projet'!$A$88&gt;35,BD23+BC24-BL23,IF(A24&lt;'Données projet'!$A$88,$BA$205^A24,IF(A24='Données projet'!$A$88,'Données projet'!$B$88,BD23+BC24-BL23)))</f>
        <v>64.25</v>
      </c>
      <c r="BE24" s="13">
        <f>BD24*VLOOKUP('Données projet'!$B$11,Paramètres!$A$1:$I$89,3,0)*VLOOKUP('Données projet'!$B$11,Paramètres!$A$1:$I$89,5,0)</f>
        <v>38.421500000000002</v>
      </c>
      <c r="BF24" s="13">
        <f t="shared" si="37"/>
        <v>11.579289990190409</v>
      </c>
      <c r="BG24" s="20">
        <f t="shared" si="7"/>
        <v>87.08470923291496</v>
      </c>
      <c r="BH24" s="59">
        <f t="shared" si="8"/>
        <v>380.41804256624829</v>
      </c>
      <c r="BI24" s="59">
        <f ca="1">AVERAGE(OFFSET($BH$3,0,0,'Données projet'!$E$11+1,1))-AVERAGE(OFFSET($H$3,0,0,'Données projet'!$E$11+1,1))</f>
        <v>72.647148358003676</v>
      </c>
      <c r="BJ24" s="59">
        <f t="shared" si="38"/>
        <v>87.231299224620898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1.483712872048693</v>
      </c>
      <c r="BR24" s="21">
        <f>EXP(-LN(2)/2)*BR23+(1-EXP(-LN(2)/2))/(LN(2)/2)*BL24*BO24*VLOOKUP('Données projet'!$B$11,Paramètres!$A$1:$I$89,3,0)*0.475*44/12</f>
        <v>1.4362927890141435</v>
      </c>
      <c r="BS24" s="22">
        <f t="shared" si="9"/>
        <v>2.9200056610628362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10.199999999999999</v>
      </c>
      <c r="BY24" s="12">
        <f>IF('Données projet'!$A$114&gt;35,BY23+BX24-CG23,IF(A24&lt;'Données projet'!$A$114,$BV$205^A24,IF(A24='Données projet'!$A$114,'Données projet'!$B$114,BY23+BX24-CG23)))</f>
        <v>72.2</v>
      </c>
      <c r="BZ24" s="13">
        <f>BY24*VLOOKUP('Données projet'!$B$12,Paramètres!$A$1:$I$89,3,0)*VLOOKUP('Données projet'!$B$12,Paramètres!$A$1:$I$89,5,0)</f>
        <v>43.175600000000003</v>
      </c>
      <c r="CA24" s="13">
        <f t="shared" si="39"/>
        <v>12.836561291924522</v>
      </c>
      <c r="CB24" s="20">
        <f t="shared" si="10"/>
        <v>97.554514250101889</v>
      </c>
      <c r="CC24" s="59">
        <f t="shared" si="11"/>
        <v>390.88784758343519</v>
      </c>
      <c r="CD24" s="59">
        <f ca="1">AVERAGE(OFFSET($CC$3,0,0,'Données projet'!$E$12+1,1))-AVERAGE(OFFSET($H$3,0,0,'Données projet'!$E$12+1,1))</f>
        <v>165.39579887388538</v>
      </c>
      <c r="CE24" s="59">
        <f t="shared" si="40"/>
        <v>155.89639262545802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3.56</v>
      </c>
      <c r="CT24" s="12">
        <f>IF('Données projet'!$A$140&gt;35,CT23+CS24-DB23,IF(A24&lt;'Données projet'!$A$140,$CQ$205^A24,IF(A24='Données projet'!$A$140,'Données projet'!$B$140,CT23+CS24-DB23)))</f>
        <v>43.399787751457886</v>
      </c>
      <c r="CU24" s="17">
        <f>CT24*VLOOKUP('Données projet'!$B$13,Paramètres!$A$1:$I$89,3,0)*VLOOKUP('Données projet'!$B$13,Paramètres!$A$1:$I$89,5,0)</f>
        <v>33.851834446137154</v>
      </c>
      <c r="CV24" s="13">
        <f t="shared" si="41"/>
        <v>10.353588595423204</v>
      </c>
      <c r="CW24" s="20">
        <f t="shared" si="13"/>
        <v>76.991111797384278</v>
      </c>
      <c r="CX24" s="59">
        <f t="shared" si="14"/>
        <v>370.32444513071761</v>
      </c>
      <c r="CY24" s="59">
        <f ca="1">AVERAGE(OFFSET($CX$3,0,0,'Données projet'!$E$13+1,1))-AVERAGE(OFFSET($H$3,0,0,'Données projet'!$E$13+1,1))</f>
        <v>190.06335940156185</v>
      </c>
      <c r="CZ24" s="59">
        <f t="shared" si="42"/>
        <v>166.43663896839928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6.3</v>
      </c>
      <c r="DO24" s="12">
        <f>IF('Données projet'!$A$166&gt;35,DO23+DN24-DW23,IF(A24&lt;'Données projet'!$A$166,$DL$205^A24,IF(A24='Données projet'!$A$166,'Données projet'!$B$166,DO23+DN24-DW23)))</f>
        <v>48.3</v>
      </c>
      <c r="DP24" s="17">
        <f>DO24*VLOOKUP('Données projet'!$B$14,Paramètres!$A$1:$I$89,3,0)*VLOOKUP('Données projet'!$B$14,Paramètres!$A$1:$I$89,5,0)</f>
        <v>46.715759999999996</v>
      </c>
      <c r="DQ24" s="13">
        <f t="shared" si="43"/>
        <v>13.762265804187708</v>
      </c>
      <c r="DR24" s="20">
        <f t="shared" si="16"/>
        <v>105.33256160896025</v>
      </c>
      <c r="DS24" s="59">
        <f t="shared" si="17"/>
        <v>398.66589494229356</v>
      </c>
      <c r="DT24" s="59">
        <f ca="1">AVERAGE(OFFSET($DS$3,0,0,'Données projet'!$E$14+1,1))-AVERAGE(OFFSET($H$3,0,0,'Données projet'!$E$14+1,1))</f>
        <v>261.22357949323879</v>
      </c>
      <c r="DU24" s="59">
        <f t="shared" si="44"/>
        <v>163.41029152029387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6.5</v>
      </c>
      <c r="EJ24" s="12">
        <f>IF('Données projet'!$A$192&gt;35,EJ23+EI24-ER23,IF(A24&lt;'Données projet'!$A$192,$EG$205^A24,IF(A24='Données projet'!$A$192,'Données projet'!$B$192,EJ23+EI24-ER23)))</f>
        <v>114.6</v>
      </c>
      <c r="EK24" s="17">
        <f>EJ24*VLOOKUP('Données projet'!$B$15,Paramètres!$A$1:$I$89,3,0)*VLOOKUP('Données projet'!$B$15,Paramètres!$A$1:$I$89,5,0)</f>
        <v>53.632799999999996</v>
      </c>
      <c r="EL24" s="13">
        <f t="shared" si="45"/>
        <v>15.548082227939483</v>
      </c>
      <c r="EM24" s="20">
        <f t="shared" si="19"/>
        <v>120.49003654699459</v>
      </c>
      <c r="EN24" s="59">
        <f t="shared" si="20"/>
        <v>413.8233698803279</v>
      </c>
      <c r="EO24" s="59">
        <f ca="1">AVERAGE(OFFSET($EN$3,0,0,'Données projet'!$E$15+1,1))-AVERAGE(OFFSET($H$3,0,0,'Données projet'!$E$15+1,1))</f>
        <v>123.60520571614535</v>
      </c>
      <c r="EP24" s="59">
        <f t="shared" si="46"/>
        <v>119.00926870519527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1.1413042542301124</v>
      </c>
      <c r="EX24" s="21">
        <f>EXP(-LN(2)/2)*EX23+(1-EXP(-LN(2)/2))/(LN(2)/2)*ER24*EU24*VLOOKUP('Données projet'!$B$15,Paramètres!$A$1:$I$89,3,0)*0.475*44/12</f>
        <v>1.2926635101127291</v>
      </c>
      <c r="EY24" s="22">
        <f t="shared" si="21"/>
        <v>2.4339677643428415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9.9</v>
      </c>
      <c r="FE24" s="12">
        <f>IF('Données projet'!$A$218&gt;35,FE23+FD24-FM23,IF(A24&lt;'Données projet'!$A$218,$FB$205^A24,IF(A24='Données projet'!$A$218,'Données projet'!$B$218,FE23+FD24-FM23)))</f>
        <v>45.900000000000006</v>
      </c>
      <c r="FF24" s="17">
        <f>FE24*VLOOKUP('Données projet'!$B$16,Paramètres!$A$1:$I$89,3,0)*VLOOKUP('Données projet'!$B$16,Paramètres!$A$1:$I$89,5,0)</f>
        <v>33.653880000000001</v>
      </c>
      <c r="FG24" s="13">
        <f t="shared" si="47"/>
        <v>10.300073319810956</v>
      </c>
      <c r="FH24" s="20">
        <f t="shared" si="22"/>
        <v>76.553135365337411</v>
      </c>
      <c r="FI24" s="59">
        <f t="shared" si="23"/>
        <v>369.88646869867074</v>
      </c>
      <c r="FJ24" s="59">
        <f ca="1">AVERAGE(OFFSET($FI$3,0,0,'Données projet'!$E$16+1,1))-AVERAGE(OFFSET($H$3,0,0,'Données projet'!$E$16+1,1))</f>
        <v>124.15919323713428</v>
      </c>
      <c r="FK24" s="59">
        <f t="shared" si="48"/>
        <v>157.85954678210715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1.7727307075750323</v>
      </c>
      <c r="FS24" s="21">
        <f>EXP(-LN(2)/2)*FS23+(1-EXP(-LN(2)/2))/(LN(2)/2)*FM24*FP24*VLOOKUP('Données projet'!$B$16,Paramètres!$A$1:$I$89,3,0)*0.475*44/12</f>
        <v>2.5681539542698539</v>
      </c>
      <c r="FT24" s="22">
        <f t="shared" si="24"/>
        <v>4.3408846618448864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6.3</v>
      </c>
      <c r="N25" s="13">
        <f>IF('Données projet'!$A$36&gt;35,N24+M25-V24,IF(A25&lt;'Données projet'!$A$36,$K$205^A25,IF(A25='Données projet'!$A$36,'Données projet'!$B$36,N24+M25-V24)))</f>
        <v>54.599999999999994</v>
      </c>
      <c r="O25" s="13">
        <f>N25*VLOOKUP('Données projet'!$B$9,Paramètres!$A$1:$I$89,3,0)*VLOOKUP('Données projet'!$B$9,Paramètres!$A$1:$I$89,5,0)</f>
        <v>49.402079999999998</v>
      </c>
      <c r="P25" s="13">
        <f t="shared" si="33"/>
        <v>14.459236264867963</v>
      </c>
      <c r="Q25" s="20">
        <f t="shared" si="2"/>
        <v>111.22512582797835</v>
      </c>
      <c r="R25" s="59">
        <f t="shared" si="0"/>
        <v>404.55845916131165</v>
      </c>
      <c r="S25" s="59">
        <f ca="1">AVERAGE(OFFSET($R$3,0,0,'Données projet'!$E$9+1,1))-AVERAGE(OFFSET($H$3,0,0,'Données projet'!$E$9+1,1))</f>
        <v>237.22177246688199</v>
      </c>
      <c r="T25" s="59">
        <f t="shared" si="34"/>
        <v>149.27472147904302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10.199999999999999</v>
      </c>
      <c r="AI25" s="13">
        <f>IF('Données projet'!$A$62&gt;35,AI24+AH25-AQ24,IF(A25&lt;'Données projet'!$A$62,$AF$205^A25,IF(A25='Données projet'!$A$62,'Données projet'!$B$62,AI24+AH25-AQ24)))</f>
        <v>93.4</v>
      </c>
      <c r="AJ25" s="13">
        <f>AI25*VLOOKUP('Données projet'!$B$10,Paramètres!$A$1:$I$89,3,0)*VLOOKUP('Données projet'!$B$10,Paramètres!$A$1:$I$89,5,0)</f>
        <v>81.594240000000013</v>
      </c>
      <c r="AK25" s="13">
        <f t="shared" si="35"/>
        <v>22.526535320646357</v>
      </c>
      <c r="AL25" s="20">
        <f t="shared" si="4"/>
        <v>181.34368368345909</v>
      </c>
      <c r="AM25" s="59">
        <f t="shared" si="5"/>
        <v>474.67701701679243</v>
      </c>
      <c r="AN25" s="59">
        <f ca="1">AVERAGE(OFFSET($AM$3,0,0,'Données projet'!$E$10+1,1))-AVERAGE(OFFSET($H$3,0,0,'Données projet'!$E$10+1,1))</f>
        <v>191.94797389630673</v>
      </c>
      <c r="AO25" s="59">
        <f t="shared" si="36"/>
        <v>273.52540822767878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3.1305628017521245</v>
      </c>
      <c r="AW25" s="21">
        <f>EXP(-LN(2)/2)*AW24+(1-EXP(-LN(2)/2))/(LN(2)/2)*AQ25*AT25*VLOOKUP('Données projet'!$B$10,Paramètres!$A$1:$I$89,3,0)*0.475*44/12</f>
        <v>3.2970604503970695</v>
      </c>
      <c r="AX25" s="21">
        <f t="shared" si="6"/>
        <v>6.4276232521491945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8.25</v>
      </c>
      <c r="BD25" s="12">
        <f>IF('Données projet'!$A$88&gt;35,BD24+BC25-BL24,IF(A25&lt;'Données projet'!$A$88,$BA$205^A25,IF(A25='Données projet'!$A$88,'Données projet'!$B$88,BD24+BC25-BL24)))</f>
        <v>72.5</v>
      </c>
      <c r="BE25" s="13">
        <f>BD25*VLOOKUP('Données projet'!$B$11,Paramètres!$A$1:$I$89,3,0)*VLOOKUP('Données projet'!$B$11,Paramètres!$A$1:$I$89,5,0)</f>
        <v>43.355000000000004</v>
      </c>
      <c r="BF25" s="13">
        <f t="shared" si="37"/>
        <v>12.883678938241102</v>
      </c>
      <c r="BG25" s="20">
        <f t="shared" si="7"/>
        <v>97.94903248410327</v>
      </c>
      <c r="BH25" s="59">
        <f t="shared" si="8"/>
        <v>391.28236581743658</v>
      </c>
      <c r="BI25" s="59">
        <f ca="1">AVERAGE(OFFSET($BH$3,0,0,'Données projet'!$E$11+1,1))-AVERAGE(OFFSET($H$3,0,0,'Données projet'!$E$11+1,1))</f>
        <v>72.647148358003676</v>
      </c>
      <c r="BJ25" s="59">
        <f t="shared" si="38"/>
        <v>87.231299224620898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1.4431406655374526</v>
      </c>
      <c r="BR25" s="21">
        <f>EXP(-LN(2)/2)*BR24+(1-EXP(-LN(2)/2))/(LN(2)/2)*BL25*BO25*VLOOKUP('Données projet'!$B$11,Paramètres!$A$1:$I$89,3,0)*0.475*44/12</f>
        <v>1.0156123708812401</v>
      </c>
      <c r="BS25" s="22">
        <f t="shared" si="9"/>
        <v>2.4587530364186927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10.199999999999999</v>
      </c>
      <c r="BY25" s="12">
        <f>IF('Données projet'!$A$114&gt;35,BY24+BX25-CG24,IF(A25&lt;'Données projet'!$A$114,$BV$205^A25,IF(A25='Données projet'!$A$114,'Données projet'!$B$114,BY24+BX25-CG24)))</f>
        <v>82.4</v>
      </c>
      <c r="BZ25" s="13">
        <f>BY25*VLOOKUP('Données projet'!$B$12,Paramètres!$A$1:$I$89,3,0)*VLOOKUP('Données projet'!$B$12,Paramètres!$A$1:$I$89,5,0)</f>
        <v>49.275200000000005</v>
      </c>
      <c r="CA25" s="13">
        <f t="shared" si="39"/>
        <v>14.426418124326277</v>
      </c>
      <c r="CB25" s="20">
        <f t="shared" si="10"/>
        <v>110.94698489986827</v>
      </c>
      <c r="CC25" s="59">
        <f t="shared" si="11"/>
        <v>404.28031823320157</v>
      </c>
      <c r="CD25" s="59">
        <f ca="1">AVERAGE(OFFSET($CC$3,0,0,'Données projet'!$E$12+1,1))-AVERAGE(OFFSET($H$3,0,0,'Données projet'!$E$12+1,1))</f>
        <v>165.39579887388538</v>
      </c>
      <c r="CE25" s="59">
        <f t="shared" si="40"/>
        <v>155.89639262545802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3.56</v>
      </c>
      <c r="CT25" s="12">
        <f>IF('Données projet'!$A$140&gt;35,CT24+CS25-DB24,IF(A25&lt;'Données projet'!$A$140,$CQ$205^A25,IF(A25='Données projet'!$A$140,'Données projet'!$B$140,CT24+CS25-DB24)))</f>
        <v>51.935367113427411</v>
      </c>
      <c r="CU25" s="17">
        <f>CT25*VLOOKUP('Données projet'!$B$13,Paramètres!$A$1:$I$89,3,0)*VLOOKUP('Données projet'!$B$13,Paramètres!$A$1:$I$89,5,0)</f>
        <v>40.509586348473384</v>
      </c>
      <c r="CV25" s="13">
        <f t="shared" si="41"/>
        <v>12.133613151721432</v>
      </c>
      <c r="CW25" s="20">
        <f t="shared" si="13"/>
        <v>91.686905796172638</v>
      </c>
      <c r="CX25" s="59">
        <f t="shared" si="14"/>
        <v>385.02023912950597</v>
      </c>
      <c r="CY25" s="59">
        <f ca="1">AVERAGE(OFFSET($CX$3,0,0,'Données projet'!$E$13+1,1))-AVERAGE(OFFSET($H$3,0,0,'Données projet'!$E$13+1,1))</f>
        <v>190.06335940156185</v>
      </c>
      <c r="CZ25" s="59">
        <f t="shared" si="42"/>
        <v>166.43663896839928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6.3</v>
      </c>
      <c r="DO25" s="12">
        <f>IF('Données projet'!$A$166&gt;35,DO24+DN25-DW24,IF(A25&lt;'Données projet'!$A$166,$DL$205^A25,IF(A25='Données projet'!$A$166,'Données projet'!$B$166,DO24+DN25-DW24)))</f>
        <v>54.599999999999994</v>
      </c>
      <c r="DP25" s="17">
        <f>DO25*VLOOKUP('Données projet'!$B$14,Paramètres!$A$1:$I$89,3,0)*VLOOKUP('Données projet'!$B$14,Paramètres!$A$1:$I$89,5,0)</f>
        <v>52.80912</v>
      </c>
      <c r="DQ25" s="13">
        <f t="shared" si="43"/>
        <v>15.336903179103643</v>
      </c>
      <c r="DR25" s="20">
        <f t="shared" si="16"/>
        <v>118.68765703693884</v>
      </c>
      <c r="DS25" s="59">
        <f t="shared" si="17"/>
        <v>412.02099037027216</v>
      </c>
      <c r="DT25" s="59">
        <f ca="1">AVERAGE(OFFSET($DS$3,0,0,'Données projet'!$E$14+1,1))-AVERAGE(OFFSET($H$3,0,0,'Données projet'!$E$14+1,1))</f>
        <v>261.22357949323879</v>
      </c>
      <c r="DU25" s="59">
        <f t="shared" si="44"/>
        <v>163.41029152029387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6.5</v>
      </c>
      <c r="EJ25" s="12">
        <f>IF('Données projet'!$A$192&gt;35,EJ24+EI25-ER24,IF(A25&lt;'Données projet'!$A$192,$EG$205^A25,IF(A25='Données projet'!$A$192,'Données projet'!$B$192,EJ24+EI25-ER24)))</f>
        <v>121.1</v>
      </c>
      <c r="EK25" s="17">
        <f>EJ25*VLOOKUP('Données projet'!$B$15,Paramètres!$A$1:$I$89,3,0)*VLOOKUP('Données projet'!$B$15,Paramètres!$A$1:$I$89,5,0)</f>
        <v>56.674799999999998</v>
      </c>
      <c r="EL25" s="13">
        <f t="shared" si="45"/>
        <v>16.32478482217585</v>
      </c>
      <c r="EM25" s="20">
        <f t="shared" si="19"/>
        <v>127.1409435652896</v>
      </c>
      <c r="EN25" s="59">
        <f t="shared" si="20"/>
        <v>420.47427689862292</v>
      </c>
      <c r="EO25" s="59">
        <f ca="1">AVERAGE(OFFSET($EN$3,0,0,'Données projet'!$E$15+1,1))-AVERAGE(OFFSET($H$3,0,0,'Données projet'!$E$15+1,1))</f>
        <v>123.60520571614535</v>
      </c>
      <c r="EP25" s="59">
        <f t="shared" si="46"/>
        <v>119.00926870519527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1.1100952293796078</v>
      </c>
      <c r="EX25" s="21">
        <f>EXP(-LN(2)/2)*EX24+(1-EXP(-LN(2)/2))/(LN(2)/2)*ER25*EU25*VLOOKUP('Données projet'!$B$15,Paramètres!$A$1:$I$89,3,0)*0.475*44/12</f>
        <v>0.91405113379311609</v>
      </c>
      <c r="EY25" s="22">
        <f t="shared" si="21"/>
        <v>2.0241463631727239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9.9</v>
      </c>
      <c r="FE25" s="12">
        <f>IF('Données projet'!$A$218&gt;35,FE24+FD25-FM24,IF(A25&lt;'Données projet'!$A$218,$FB$205^A25,IF(A25='Données projet'!$A$218,'Données projet'!$B$218,FE24+FD25-FM24)))</f>
        <v>55.800000000000004</v>
      </c>
      <c r="FF25" s="17">
        <f>FE25*VLOOKUP('Données projet'!$B$16,Paramètres!$A$1:$I$89,3,0)*VLOOKUP('Données projet'!$B$16,Paramètres!$A$1:$I$89,5,0)</f>
        <v>40.912559999999999</v>
      </c>
      <c r="FG25" s="13">
        <f t="shared" si="47"/>
        <v>12.240202574960914</v>
      </c>
      <c r="FH25" s="20">
        <f t="shared" si="22"/>
        <v>92.57439481805693</v>
      </c>
      <c r="FI25" s="59">
        <f t="shared" si="23"/>
        <v>385.90772815139024</v>
      </c>
      <c r="FJ25" s="59">
        <f ca="1">AVERAGE(OFFSET($FI$3,0,0,'Données projet'!$E$16+1,1))-AVERAGE(OFFSET($H$3,0,0,'Données projet'!$E$16+1,1))</f>
        <v>124.15919323713428</v>
      </c>
      <c r="FK25" s="59">
        <f t="shared" si="48"/>
        <v>157.85954678210715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1.7242552931525368</v>
      </c>
      <c r="FS25" s="21">
        <f>EXP(-LN(2)/2)*FS24+(1-EXP(-LN(2)/2))/(LN(2)/2)*FM25*FP25*VLOOKUP('Données projet'!$B$16,Paramètres!$A$1:$I$89,3,0)*0.475*44/12</f>
        <v>1.8159590761952604</v>
      </c>
      <c r="FT25" s="22">
        <f t="shared" si="24"/>
        <v>3.5402143693477974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6.3</v>
      </c>
      <c r="N26" s="13">
        <f>IF('Données projet'!$A$36&gt;35,N25+M26-V25,IF(A26&lt;'Données projet'!$A$36,$K$205^A26,IF(A26='Données projet'!$A$36,'Données projet'!$B$36,N25+M26-V25)))</f>
        <v>60.899999999999991</v>
      </c>
      <c r="O26" s="13">
        <f>N26*VLOOKUP('Données projet'!$B$9,Paramètres!$A$1:$I$89,3,0)*VLOOKUP('Données projet'!$B$9,Paramètres!$A$1:$I$89,5,0)</f>
        <v>55.102319999999992</v>
      </c>
      <c r="P26" s="13">
        <f t="shared" si="33"/>
        <v>15.923912218988239</v>
      </c>
      <c r="Q26" s="20">
        <f t="shared" si="2"/>
        <v>123.70402111473783</v>
      </c>
      <c r="R26" s="59">
        <f t="shared" si="0"/>
        <v>417.03735444807114</v>
      </c>
      <c r="S26" s="59">
        <f ca="1">AVERAGE(OFFSET($R$3,0,0,'Données projet'!$E$9+1,1))-AVERAGE(OFFSET($H$3,0,0,'Données projet'!$E$9+1,1))</f>
        <v>237.22177246688199</v>
      </c>
      <c r="T26" s="59">
        <f t="shared" si="34"/>
        <v>149.27472147904302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10.199999999999999</v>
      </c>
      <c r="AI26" s="13">
        <f>IF('Données projet'!$A$62&gt;35,AI25+AH26-AQ25,IF(A26&lt;'Données projet'!$A$62,$AF$205^A26,IF(A26='Données projet'!$A$62,'Données projet'!$B$62,AI25+AH26-AQ25)))</f>
        <v>103.60000000000001</v>
      </c>
      <c r="AJ26" s="13">
        <f>AI26*VLOOKUP('Données projet'!$B$10,Paramètres!$A$1:$I$89,3,0)*VLOOKUP('Données projet'!$B$10,Paramètres!$A$1:$I$89,5,0)</f>
        <v>90.504960000000025</v>
      </c>
      <c r="AK26" s="13">
        <f t="shared" si="35"/>
        <v>24.686969501776463</v>
      </c>
      <c r="AL26" s="20">
        <f t="shared" si="4"/>
        <v>200.62594388226071</v>
      </c>
      <c r="AM26" s="59">
        <f t="shared" si="5"/>
        <v>493.95927721559406</v>
      </c>
      <c r="AN26" s="59">
        <f ca="1">AVERAGE(OFFSET($AM$3,0,0,'Données projet'!$E$10+1,1))-AVERAGE(OFFSET($H$3,0,0,'Données projet'!$E$10+1,1))</f>
        <v>191.94797389630673</v>
      </c>
      <c r="AO26" s="59">
        <f t="shared" si="36"/>
        <v>273.52540822767878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3.0449573973090698</v>
      </c>
      <c r="AW26" s="21">
        <f>EXP(-LN(2)/2)*AW25+(1-EXP(-LN(2)/2))/(LN(2)/2)*AQ26*AT26*VLOOKUP('Données projet'!$B$10,Paramètres!$A$1:$I$89,3,0)*0.475*44/12</f>
        <v>2.3313738024577408</v>
      </c>
      <c r="AX26" s="21">
        <f t="shared" si="6"/>
        <v>5.3763311997668106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8.25</v>
      </c>
      <c r="BD26" s="12">
        <f>IF('Données projet'!$A$88&gt;35,BD25+BC26-BL25,IF(A26&lt;'Données projet'!$A$88,$BA$205^A26,IF(A26='Données projet'!$A$88,'Données projet'!$B$88,BD25+BC26-BL25)))</f>
        <v>80.75</v>
      </c>
      <c r="BE26" s="13">
        <f>BD26*VLOOKUP('Données projet'!$B$11,Paramètres!$A$1:$I$89,3,0)*VLOOKUP('Données projet'!$B$11,Paramètres!$A$1:$I$89,5,0)</f>
        <v>48.288500000000006</v>
      </c>
      <c r="BF26" s="13">
        <f t="shared" si="37"/>
        <v>14.170865349972004</v>
      </c>
      <c r="BG26" s="20">
        <f t="shared" si="7"/>
        <v>108.78339465120125</v>
      </c>
      <c r="BH26" s="59">
        <f t="shared" si="8"/>
        <v>402.11672798453458</v>
      </c>
      <c r="BI26" s="59">
        <f ca="1">AVERAGE(OFFSET($BH$3,0,0,'Données projet'!$E$11+1,1))-AVERAGE(OFFSET($H$3,0,0,'Données projet'!$E$11+1,1))</f>
        <v>72.647148358003676</v>
      </c>
      <c r="BJ26" s="59">
        <f t="shared" si="38"/>
        <v>87.231299224620898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1.4036779081468618</v>
      </c>
      <c r="BR26" s="21">
        <f>EXP(-LN(2)/2)*BR25+(1-EXP(-LN(2)/2))/(LN(2)/2)*BL26*BO26*VLOOKUP('Données projet'!$B$11,Paramètres!$A$1:$I$89,3,0)*0.475*44/12</f>
        <v>0.71814639450707185</v>
      </c>
      <c r="BS26" s="22">
        <f t="shared" si="9"/>
        <v>2.1218243026539336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10.199999999999999</v>
      </c>
      <c r="BY26" s="12">
        <f>IF('Données projet'!$A$114&gt;35,BY25+BX26-CG25,IF(A26&lt;'Données projet'!$A$114,$BV$205^A26,IF(A26='Données projet'!$A$114,'Données projet'!$B$114,BY25+BX26-CG25)))</f>
        <v>92.600000000000009</v>
      </c>
      <c r="BZ26" s="13">
        <f>BY26*VLOOKUP('Données projet'!$B$12,Paramètres!$A$1:$I$89,3,0)*VLOOKUP('Données projet'!$B$12,Paramètres!$A$1:$I$89,5,0)</f>
        <v>55.374800000000008</v>
      </c>
      <c r="CA26" s="13">
        <f t="shared" si="39"/>
        <v>15.99346995700764</v>
      </c>
      <c r="CB26" s="20">
        <f t="shared" si="10"/>
        <v>124.29973684178829</v>
      </c>
      <c r="CC26" s="59">
        <f t="shared" si="11"/>
        <v>417.63307017512159</v>
      </c>
      <c r="CD26" s="59">
        <f ca="1">AVERAGE(OFFSET($CC$3,0,0,'Données projet'!$E$12+1,1))-AVERAGE(OFFSET($H$3,0,0,'Données projet'!$E$12+1,1))</f>
        <v>165.39579887388538</v>
      </c>
      <c r="CE26" s="59">
        <f t="shared" si="40"/>
        <v>155.89639262545802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3.56</v>
      </c>
      <c r="CT26" s="12">
        <f>IF('Données projet'!$A$140&gt;35,CT25+CS26-DB25,IF(A26&lt;'Données projet'!$A$140,$CQ$205^A26,IF(A26='Données projet'!$A$140,'Données projet'!$B$140,CT25+CS26-DB25)))</f>
        <v>62.149667013426139</v>
      </c>
      <c r="CU26" s="17">
        <f>CT26*VLOOKUP('Données projet'!$B$13,Paramètres!$A$1:$I$89,3,0)*VLOOKUP('Données projet'!$B$13,Paramètres!$A$1:$I$89,5,0)</f>
        <v>48.476740270472391</v>
      </c>
      <c r="CV26" s="13">
        <f t="shared" si="41"/>
        <v>14.219665651067873</v>
      </c>
      <c r="CW26" s="20">
        <f t="shared" si="13"/>
        <v>109.19624031334928</v>
      </c>
      <c r="CX26" s="59">
        <f t="shared" si="14"/>
        <v>402.52957364668259</v>
      </c>
      <c r="CY26" s="59">
        <f ca="1">AVERAGE(OFFSET($CX$3,0,0,'Données projet'!$E$13+1,1))-AVERAGE(OFFSET($H$3,0,0,'Données projet'!$E$13+1,1))</f>
        <v>190.06335940156185</v>
      </c>
      <c r="CZ26" s="59">
        <f t="shared" si="42"/>
        <v>166.43663896839928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6.3</v>
      </c>
      <c r="DO26" s="12">
        <f>IF('Données projet'!$A$166&gt;35,DO25+DN26-DW25,IF(A26&lt;'Données projet'!$A$166,$DL$205^A26,IF(A26='Données projet'!$A$166,'Données projet'!$B$166,DO25+DN26-DW25)))</f>
        <v>60.899999999999991</v>
      </c>
      <c r="DP26" s="17">
        <f>DO26*VLOOKUP('Données projet'!$B$14,Paramètres!$A$1:$I$89,3,0)*VLOOKUP('Données projet'!$B$14,Paramètres!$A$1:$I$89,5,0)</f>
        <v>58.902479999999997</v>
      </c>
      <c r="DQ26" s="13">
        <f t="shared" si="43"/>
        <v>16.890484079616659</v>
      </c>
      <c r="DR26" s="20">
        <f t="shared" si="16"/>
        <v>132.00607910533233</v>
      </c>
      <c r="DS26" s="59">
        <f t="shared" si="17"/>
        <v>425.33941243866565</v>
      </c>
      <c r="DT26" s="59">
        <f ca="1">AVERAGE(OFFSET($DS$3,0,0,'Données projet'!$E$14+1,1))-AVERAGE(OFFSET($H$3,0,0,'Données projet'!$E$14+1,1))</f>
        <v>261.22357949323879</v>
      </c>
      <c r="DU26" s="59">
        <f t="shared" si="44"/>
        <v>163.41029152029387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6.5</v>
      </c>
      <c r="EJ26" s="12">
        <f>IF('Données projet'!$A$192&gt;35,EJ25+EI26-ER25,IF(A26&lt;'Données projet'!$A$192,$EG$205^A26,IF(A26='Données projet'!$A$192,'Données projet'!$B$192,EJ25+EI26-ER25)))</f>
        <v>127.6</v>
      </c>
      <c r="EK26" s="17">
        <f>EJ26*VLOOKUP('Données projet'!$B$15,Paramètres!$A$1:$I$89,3,0)*VLOOKUP('Données projet'!$B$15,Paramètres!$A$1:$I$89,5,0)</f>
        <v>59.716799999999992</v>
      </c>
      <c r="EL26" s="13">
        <f t="shared" si="45"/>
        <v>17.096647463151516</v>
      </c>
      <c r="EM26" s="20">
        <f t="shared" si="19"/>
        <v>133.78342099832221</v>
      </c>
      <c r="EN26" s="59">
        <f t="shared" si="20"/>
        <v>427.11675433165556</v>
      </c>
      <c r="EO26" s="59">
        <f ca="1">AVERAGE(OFFSET($EN$3,0,0,'Données projet'!$E$15+1,1))-AVERAGE(OFFSET($H$3,0,0,'Données projet'!$E$15+1,1))</f>
        <v>123.60520571614535</v>
      </c>
      <c r="EP26" s="59">
        <f t="shared" si="46"/>
        <v>119.00926870519527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1.0797396169548514</v>
      </c>
      <c r="EX26" s="21">
        <f>EXP(-LN(2)/2)*EX25+(1-EXP(-LN(2)/2))/(LN(2)/2)*ER26*EU26*VLOOKUP('Données projet'!$B$15,Paramètres!$A$1:$I$89,3,0)*0.475*44/12</f>
        <v>0.64633175505636464</v>
      </c>
      <c r="EY26" s="22">
        <f t="shared" si="21"/>
        <v>1.7260713720112162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9.9</v>
      </c>
      <c r="FE26" s="12">
        <f>IF('Données projet'!$A$218&gt;35,FE25+FD26-FM25,IF(A26&lt;'Données projet'!$A$218,$FB$205^A26,IF(A26='Données projet'!$A$218,'Données projet'!$B$218,FE25+FD26-FM25)))</f>
        <v>65.7</v>
      </c>
      <c r="FF26" s="17">
        <f>FE26*VLOOKUP('Données projet'!$B$16,Paramètres!$A$1:$I$89,3,0)*VLOOKUP('Données projet'!$B$16,Paramètres!$A$1:$I$89,5,0)</f>
        <v>48.171240000000004</v>
      </c>
      <c r="FG26" s="13">
        <f t="shared" si="47"/>
        <v>14.140455121515522</v>
      </c>
      <c r="FH26" s="20">
        <f t="shared" si="22"/>
        <v>108.52620233663954</v>
      </c>
      <c r="FI26" s="59">
        <f t="shared" si="23"/>
        <v>401.85953566997284</v>
      </c>
      <c r="FJ26" s="59">
        <f ca="1">AVERAGE(OFFSET($FI$3,0,0,'Données projet'!$E$16+1,1))-AVERAGE(OFFSET($H$3,0,0,'Données projet'!$E$16+1,1))</f>
        <v>124.15919323713428</v>
      </c>
      <c r="FK26" s="59">
        <f t="shared" si="48"/>
        <v>157.85954678210715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1.6771054414866355</v>
      </c>
      <c r="FS26" s="21">
        <f>EXP(-LN(2)/2)*FS25+(1-EXP(-LN(2)/2))/(LN(2)/2)*FM26*FP26*VLOOKUP('Données projet'!$B$16,Paramètres!$A$1:$I$89,3,0)*0.475*44/12</f>
        <v>1.2840769771349272</v>
      </c>
      <c r="FT26" s="22">
        <f t="shared" si="24"/>
        <v>2.9611824186215627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6.3</v>
      </c>
      <c r="N27" s="13">
        <f>IF('Données projet'!$A$36&gt;35,N26+M27-V26,IF(A27&lt;'Données projet'!$A$36,$K$205^A27,IF(A27='Données projet'!$A$36,'Données projet'!$B$36,N26+M27-V26)))</f>
        <v>67.199999999999989</v>
      </c>
      <c r="O27" s="13">
        <f>N27*VLOOKUP('Données projet'!$B$9,Paramètres!$A$1:$I$89,3,0)*VLOOKUP('Données projet'!$B$9,Paramètres!$A$1:$I$89,5,0)</f>
        <v>60.802559999999993</v>
      </c>
      <c r="P27" s="13">
        <f t="shared" si="33"/>
        <v>17.371024177726472</v>
      </c>
      <c r="Q27" s="20">
        <f t="shared" si="2"/>
        <v>136.15232577620694</v>
      </c>
      <c r="R27" s="59">
        <f t="shared" si="0"/>
        <v>429.48565910954028</v>
      </c>
      <c r="S27" s="59">
        <f ca="1">AVERAGE(OFFSET($R$3,0,0,'Données projet'!$E$9+1,1))-AVERAGE(OFFSET($H$3,0,0,'Données projet'!$E$9+1,1))</f>
        <v>237.22177246688199</v>
      </c>
      <c r="T27" s="59">
        <f t="shared" si="34"/>
        <v>149.27472147904302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10.199999999999999</v>
      </c>
      <c r="AI27" s="13">
        <f>IF('Données projet'!$A$62&gt;35,AI26+AH27-AQ26,IF(A27&lt;'Données projet'!$A$62,$AF$205^A27,IF(A27='Données projet'!$A$62,'Données projet'!$B$62,AI26+AH27-AQ26)))</f>
        <v>113.80000000000001</v>
      </c>
      <c r="AJ27" s="13">
        <f>AI27*VLOOKUP('Données projet'!$B$10,Paramètres!$A$1:$I$89,3,0)*VLOOKUP('Données projet'!$B$10,Paramètres!$A$1:$I$89,5,0)</f>
        <v>99.415680000000023</v>
      </c>
      <c r="AK27" s="13">
        <f t="shared" si="35"/>
        <v>26.822743922231254</v>
      </c>
      <c r="AL27" s="20">
        <f t="shared" si="4"/>
        <v>219.86525499788613</v>
      </c>
      <c r="AM27" s="59">
        <f t="shared" si="5"/>
        <v>513.19858833121941</v>
      </c>
      <c r="AN27" s="59">
        <f ca="1">AVERAGE(OFFSET($AM$3,0,0,'Données projet'!$E$10+1,1))-AVERAGE(OFFSET($H$3,0,0,'Données projet'!$E$10+1,1))</f>
        <v>191.94797389630673</v>
      </c>
      <c r="AO27" s="59">
        <f t="shared" si="36"/>
        <v>273.52540822767878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2.961692877152303</v>
      </c>
      <c r="AW27" s="21">
        <f>EXP(-LN(2)/2)*AW26+(1-EXP(-LN(2)/2))/(LN(2)/2)*AQ27*AT27*VLOOKUP('Données projet'!$B$10,Paramètres!$A$1:$I$89,3,0)*0.475*44/12</f>
        <v>1.6485302251985352</v>
      </c>
      <c r="AX27" s="21">
        <f t="shared" si="6"/>
        <v>4.6102231023508384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>
        <f>VLOOKUP(A27,'Données projet'!$A$87:$I$107,2,0)</f>
        <v>89</v>
      </c>
      <c r="BB27" s="12">
        <f>VLOOKUP(A27,'Données projet'!$A$87:$I$107,9,0)</f>
        <v>8.25</v>
      </c>
      <c r="BC27" s="12">
        <f t="array" ref="BC27">INDEX(BB:BB,MIN(IF(ISNUMBER(BB27:BB223),ROW(BB27:BB223),"")))</f>
        <v>8.25</v>
      </c>
      <c r="BD27" s="12">
        <f>IF('Données projet'!$A$88&gt;35,BD26+BC27-BL26,IF(A27&lt;'Données projet'!$A$88,$BA$205^A27,IF(A27='Données projet'!$A$88,'Données projet'!$B$88,BD26+BC27-BL26)))</f>
        <v>89</v>
      </c>
      <c r="BE27" s="13">
        <f>BD27*VLOOKUP('Données projet'!$B$11,Paramètres!$A$1:$I$89,3,0)*VLOOKUP('Données projet'!$B$11,Paramètres!$A$1:$I$89,5,0)</f>
        <v>53.222000000000008</v>
      </c>
      <c r="BF27" s="13">
        <f t="shared" si="37"/>
        <v>15.442806897867877</v>
      </c>
      <c r="BG27" s="20">
        <f t="shared" si="7"/>
        <v>119.59120534711991</v>
      </c>
      <c r="BH27" s="59">
        <f t="shared" si="8"/>
        <v>412.92453868045322</v>
      </c>
      <c r="BI27" s="59">
        <f ca="1">AVERAGE(OFFSET($BH$3,0,0,'Données projet'!$E$11+1,1))-AVERAGE(OFFSET($H$3,0,0,'Données projet'!$E$11+1,1))</f>
        <v>72.647148358003676</v>
      </c>
      <c r="BJ27" s="59">
        <f t="shared" si="38"/>
        <v>87.231299224620898</v>
      </c>
      <c r="BK27" s="15">
        <f>IF(ISNA(VLOOKUP(A27,'Données projet'!$A$87:$I$107,3,0)),0,VLOOKUP(A27,'Données projet'!$A$87:$I$107,3,0))</f>
        <v>3</v>
      </c>
      <c r="BL27" s="15">
        <f>IF(ISNA(VLOOKUP(A27,'Données projet'!$A$87:$I$107,4,0)),0,VLOOKUP(A27,'Données projet'!$A$87:$I$107,4,0))</f>
        <v>12</v>
      </c>
      <c r="BM27" s="16">
        <f>IF(ISNA(VLOOKUP(A27,'Données projet'!$A$87:$I$107,5,0)),0%,VLOOKUP(A27,'Données projet'!$A$87:$I$107,5,0)*VLOOKUP('Données projet'!$B$11,Paramètres!$A$1:$I$89,7,0))</f>
        <v>4.5000000000000005E-2</v>
      </c>
      <c r="BN27" s="16">
        <f>IF(ISNA(VLOOKUP(A27,'Données projet'!$A$87:$I$107,6,0)),0%,VLOOKUP(A27,'Données projet'!$A$87:$I$107,6,0)*VLOOKUP('Données projet'!$B$11,Paramètres!$A$1:$I$89,7,0))</f>
        <v>0.20250000000000001</v>
      </c>
      <c r="BO27" s="16">
        <f>IF(ISNA(VLOOKUP(A27,'Données projet'!$A$87:$I$107,7,0)),0%,VLOOKUP(A27,'Données projet'!$A$87:$I$107,7,0))</f>
        <v>0.45</v>
      </c>
      <c r="BP27" s="21">
        <f>EXP(-LN(2)/35)*BP26+(1-EXP(-LN(2)/35))/(LN(2)/35)*BL27*BM27*VLOOKUP('Données projet'!$B$11,Paramètres!$A$1:$I$89,3,0)*0.475*44/12</f>
        <v>0.42837419395053639</v>
      </c>
      <c r="BQ27" s="21">
        <f>EXP(-LN(2)/25)*BQ26+(1-EXP(-LN(2)/25))/(LN(2)/25)*Calculateur!BL27*Calculateur!BN27*VLOOKUP('Données projet'!$B$11,Paramètres!$A$1:$I$89,3,0)*0.475*44/12</f>
        <v>3.2853881087975223</v>
      </c>
      <c r="BR27" s="21">
        <f>EXP(-LN(2)/2)*BR26+(1-EXP(-LN(2)/2))/(LN(2)/2)*BL27*BO27*VLOOKUP('Données projet'!$B$11,Paramètres!$A$1:$I$89,3,0)*0.475*44/12</f>
        <v>4.1640107206130832</v>
      </c>
      <c r="BS27" s="22">
        <f t="shared" si="9"/>
        <v>7.8777730233611418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10.199999999999999</v>
      </c>
      <c r="BY27" s="12">
        <f>IF('Données projet'!$A$114&gt;35,BY26+BX27-CG26,IF(A27&lt;'Données projet'!$A$114,$BV$205^A27,IF(A27='Données projet'!$A$114,'Données projet'!$B$114,BY26+BX27-CG26)))</f>
        <v>102.80000000000001</v>
      </c>
      <c r="BZ27" s="13">
        <f>BY27*VLOOKUP('Données projet'!$B$12,Paramètres!$A$1:$I$89,3,0)*VLOOKUP('Données projet'!$B$12,Paramètres!$A$1:$I$89,5,0)</f>
        <v>61.47440000000001</v>
      </c>
      <c r="CA27" s="13">
        <f t="shared" si="39"/>
        <v>17.540515274317094</v>
      </c>
      <c r="CB27" s="20">
        <f t="shared" si="10"/>
        <v>137.61764410276893</v>
      </c>
      <c r="CC27" s="59">
        <f t="shared" si="11"/>
        <v>430.95097743610222</v>
      </c>
      <c r="CD27" s="59">
        <f ca="1">AVERAGE(OFFSET($CC$3,0,0,'Données projet'!$E$12+1,1))-AVERAGE(OFFSET($H$3,0,0,'Données projet'!$E$12+1,1))</f>
        <v>165.39579887388538</v>
      </c>
      <c r="CE27" s="59">
        <f t="shared" si="40"/>
        <v>155.89639262545802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3.56</v>
      </c>
      <c r="CT27" s="12">
        <f>IF('Données projet'!$A$140&gt;35,CT26+CS27-DB26,IF(A27&lt;'Données projet'!$A$140,$CQ$205^A27,IF(A27='Données projet'!$A$140,'Données projet'!$B$140,CT26+CS27-DB26)))</f>
        <v>74.372846955020648</v>
      </c>
      <c r="CU27" s="17">
        <f>CT27*VLOOKUP('Données projet'!$B$13,Paramètres!$A$1:$I$89,3,0)*VLOOKUP('Données projet'!$B$13,Paramètres!$A$1:$I$89,5,0)</f>
        <v>58.010820624916107</v>
      </c>
      <c r="CV27" s="13">
        <f t="shared" si="41"/>
        <v>16.664359469831368</v>
      </c>
      <c r="CW27" s="20">
        <f t="shared" si="13"/>
        <v>130.05927199835185</v>
      </c>
      <c r="CX27" s="59">
        <f t="shared" si="14"/>
        <v>423.39260533168516</v>
      </c>
      <c r="CY27" s="59">
        <f ca="1">AVERAGE(OFFSET($CX$3,0,0,'Données projet'!$E$13+1,1))-AVERAGE(OFFSET($H$3,0,0,'Données projet'!$E$13+1,1))</f>
        <v>190.06335940156185</v>
      </c>
      <c r="CZ27" s="59">
        <f t="shared" si="42"/>
        <v>166.43663896839928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6.3</v>
      </c>
      <c r="DO27" s="12">
        <f>IF('Données projet'!$A$166&gt;35,DO26+DN27-DW26,IF(A27&lt;'Données projet'!$A$166,$DL$205^A27,IF(A27='Données projet'!$A$166,'Données projet'!$B$166,DO26+DN27-DW26)))</f>
        <v>67.199999999999989</v>
      </c>
      <c r="DP27" s="17">
        <f>DO27*VLOOKUP('Données projet'!$B$14,Paramètres!$A$1:$I$89,3,0)*VLOOKUP('Données projet'!$B$14,Paramètres!$A$1:$I$89,5,0)</f>
        <v>64.995839999999987</v>
      </c>
      <c r="DQ27" s="13">
        <f t="shared" si="43"/>
        <v>18.425434860828894</v>
      </c>
      <c r="DR27" s="20">
        <f t="shared" si="16"/>
        <v>145.29205371594364</v>
      </c>
      <c r="DS27" s="59">
        <f t="shared" si="17"/>
        <v>438.62538704927692</v>
      </c>
      <c r="DT27" s="59">
        <f ca="1">AVERAGE(OFFSET($DS$3,0,0,'Données projet'!$E$14+1,1))-AVERAGE(OFFSET($H$3,0,0,'Données projet'!$E$14+1,1))</f>
        <v>261.22357949323879</v>
      </c>
      <c r="DU27" s="59">
        <f t="shared" si="44"/>
        <v>163.41029152029387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6.5</v>
      </c>
      <c r="EJ27" s="12">
        <f>IF('Données projet'!$A$192&gt;35,EJ26+EI27-ER26,IF(A27&lt;'Données projet'!$A$192,$EG$205^A27,IF(A27='Données projet'!$A$192,'Données projet'!$B$192,EJ26+EI27-ER26)))</f>
        <v>134.1</v>
      </c>
      <c r="EK27" s="17">
        <f>EJ27*VLOOKUP('Données projet'!$B$15,Paramètres!$A$1:$I$89,3,0)*VLOOKUP('Données projet'!$B$15,Paramètres!$A$1:$I$89,5,0)</f>
        <v>62.758800000000001</v>
      </c>
      <c r="EL27" s="13">
        <f t="shared" si="45"/>
        <v>17.863944827559084</v>
      </c>
      <c r="EM27" s="20">
        <f t="shared" si="19"/>
        <v>140.41794724133206</v>
      </c>
      <c r="EN27" s="59">
        <f t="shared" si="20"/>
        <v>433.75128057466537</v>
      </c>
      <c r="EO27" s="59">
        <f ca="1">AVERAGE(OFFSET($EN$3,0,0,'Données projet'!$E$15+1,1))-AVERAGE(OFFSET($H$3,0,0,'Données projet'!$E$15+1,1))</f>
        <v>123.60520571614535</v>
      </c>
      <c r="EP27" s="59">
        <f t="shared" si="46"/>
        <v>119.00926870519527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1.0502140803481823</v>
      </c>
      <c r="EX27" s="21">
        <f>EXP(-LN(2)/2)*EX26+(1-EXP(-LN(2)/2))/(LN(2)/2)*ER27*EU27*VLOOKUP('Données projet'!$B$15,Paramètres!$A$1:$I$89,3,0)*0.475*44/12</f>
        <v>0.4570255668965581</v>
      </c>
      <c r="EY27" s="22">
        <f t="shared" si="21"/>
        <v>1.5072396472447405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9.9</v>
      </c>
      <c r="FE27" s="12">
        <f>IF('Données projet'!$A$218&gt;35,FE26+FD27-FM26,IF(A27&lt;'Données projet'!$A$218,$FB$205^A27,IF(A27='Données projet'!$A$218,'Données projet'!$B$218,FE26+FD27-FM26)))</f>
        <v>75.600000000000009</v>
      </c>
      <c r="FF27" s="17">
        <f>FE27*VLOOKUP('Données projet'!$B$16,Paramètres!$A$1:$I$89,3,0)*VLOOKUP('Données projet'!$B$16,Paramètres!$A$1:$I$89,5,0)</f>
        <v>55.42992000000001</v>
      </c>
      <c r="FG27" s="13">
        <f t="shared" si="47"/>
        <v>16.007535946649163</v>
      </c>
      <c r="FH27" s="20">
        <f t="shared" si="22"/>
        <v>124.42023577374732</v>
      </c>
      <c r="FI27" s="59">
        <f t="shared" si="23"/>
        <v>417.75356910708064</v>
      </c>
      <c r="FJ27" s="59">
        <f ca="1">AVERAGE(OFFSET($FI$3,0,0,'Données projet'!$E$16+1,1))-AVERAGE(OFFSET($H$3,0,0,'Données projet'!$E$16+1,1))</f>
        <v>124.15919323713428</v>
      </c>
      <c r="FK27" s="59">
        <f t="shared" si="48"/>
        <v>157.85954678210715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1.6312449049940414</v>
      </c>
      <c r="FS27" s="21">
        <f>EXP(-LN(2)/2)*FS26+(1-EXP(-LN(2)/2))/(LN(2)/2)*FM27*FP27*VLOOKUP('Données projet'!$B$16,Paramètres!$A$1:$I$89,3,0)*0.475*44/12</f>
        <v>0.90797953809763043</v>
      </c>
      <c r="FT27" s="22">
        <f t="shared" si="24"/>
        <v>2.5392244430916717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6.3</v>
      </c>
      <c r="N28" s="13">
        <f>IF('Données projet'!$A$36&gt;35,N27+M28-V27,IF(A28&lt;'Données projet'!$A$36,$K$205^A28,IF(A28='Données projet'!$A$36,'Données projet'!$B$36,N27+M28-V27)))</f>
        <v>73.499999999999986</v>
      </c>
      <c r="O28" s="13">
        <f>N28*VLOOKUP('Données projet'!$B$9,Paramètres!$A$1:$I$89,3,0)*VLOOKUP('Données projet'!$B$9,Paramètres!$A$1:$I$89,5,0)</f>
        <v>66.502799999999979</v>
      </c>
      <c r="P28" s="13">
        <f t="shared" si="33"/>
        <v>18.802406075407909</v>
      </c>
      <c r="Q28" s="20">
        <f t="shared" si="2"/>
        <v>148.57323391466869</v>
      </c>
      <c r="R28" s="59">
        <f t="shared" si="0"/>
        <v>441.90656724800203</v>
      </c>
      <c r="S28" s="59">
        <f ca="1">AVERAGE(OFFSET($R$3,0,0,'Données projet'!$E$9+1,1))-AVERAGE(OFFSET($H$3,0,0,'Données projet'!$E$9+1,1))</f>
        <v>237.22177246688199</v>
      </c>
      <c r="T28" s="59">
        <f t="shared" si="34"/>
        <v>149.27472147904302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10.199999999999999</v>
      </c>
      <c r="AI28" s="13">
        <f>IF('Données projet'!$A$62&gt;35,AI27+AH28-AQ27,IF(A28&lt;'Données projet'!$A$62,$AF$205^A28,IF(A28='Données projet'!$A$62,'Données projet'!$B$62,AI27+AH28-AQ27)))</f>
        <v>124.00000000000001</v>
      </c>
      <c r="AJ28" s="13">
        <f>AI28*VLOOKUP('Données projet'!$B$10,Paramètres!$A$1:$I$89,3,0)*VLOOKUP('Données projet'!$B$10,Paramètres!$A$1:$I$89,5,0)</f>
        <v>108.32640000000002</v>
      </c>
      <c r="AK28" s="13">
        <f t="shared" si="35"/>
        <v>28.936320206966883</v>
      </c>
      <c r="AL28" s="20">
        <f t="shared" si="4"/>
        <v>239.06590436046736</v>
      </c>
      <c r="AM28" s="59">
        <f t="shared" si="5"/>
        <v>532.39923769380061</v>
      </c>
      <c r="AN28" s="59">
        <f ca="1">AVERAGE(OFFSET($AM$3,0,0,'Données projet'!$E$10+1,1))-AVERAGE(OFFSET($H$3,0,0,'Données projet'!$E$10+1,1))</f>
        <v>191.94797389630673</v>
      </c>
      <c r="AO28" s="59">
        <f t="shared" si="36"/>
        <v>273.52540822767878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2.8807052296779139</v>
      </c>
      <c r="AW28" s="21">
        <f>EXP(-LN(2)/2)*AW27+(1-EXP(-LN(2)/2))/(LN(2)/2)*AQ28*AT28*VLOOKUP('Données projet'!$B$10,Paramètres!$A$1:$I$89,3,0)*0.475*44/12</f>
        <v>1.1656869012288706</v>
      </c>
      <c r="AX28" s="21">
        <f t="shared" si="6"/>
        <v>4.046392130906785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7.75</v>
      </c>
      <c r="BD28" s="12">
        <f>IF('Données projet'!$A$88&gt;35,BD27+BC28-BL27,IF(A28&lt;'Données projet'!$A$88,$BA$205^A28,IF(A28='Données projet'!$A$88,'Données projet'!$B$88,BD27+BC28-BL27)))</f>
        <v>84.75</v>
      </c>
      <c r="BE28" s="13">
        <f>BD28*VLOOKUP('Données projet'!$B$11,Paramètres!$A$1:$I$89,3,0)*VLOOKUP('Données projet'!$B$11,Paramètres!$A$1:$I$89,5,0)</f>
        <v>50.680500000000002</v>
      </c>
      <c r="BF28" s="13">
        <f t="shared" si="37"/>
        <v>14.789363250301948</v>
      </c>
      <c r="BG28" s="20">
        <f t="shared" si="7"/>
        <v>114.02667849427588</v>
      </c>
      <c r="BH28" s="59">
        <f t="shared" si="8"/>
        <v>407.36001182760918</v>
      </c>
      <c r="BI28" s="59">
        <f ca="1">AVERAGE(OFFSET($BH$3,0,0,'Données projet'!$E$11+1,1))-AVERAGE(OFFSET($H$3,0,0,'Données projet'!$E$11+1,1))</f>
        <v>72.647148358003676</v>
      </c>
      <c r="BJ28" s="59">
        <f t="shared" si="38"/>
        <v>87.231299224620898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0.41997403728962518</v>
      </c>
      <c r="BQ28" s="21">
        <f>EXP(-LN(2)/25)*BQ27+(1-EXP(-LN(2)/25))/(LN(2)/25)*Calculateur!BL28*Calculateur!BN28*VLOOKUP('Données projet'!$B$11,Paramètres!$A$1:$I$89,3,0)*0.475*44/12</f>
        <v>3.1955489981914025</v>
      </c>
      <c r="BR28" s="21">
        <f>EXP(-LN(2)/2)*BR27+(1-EXP(-LN(2)/2))/(LN(2)/2)*BL28*BO28*VLOOKUP('Données projet'!$B$11,Paramètres!$A$1:$I$89,3,0)*0.475*44/12</f>
        <v>2.9444002174789938</v>
      </c>
      <c r="BS28" s="22">
        <f t="shared" si="9"/>
        <v>6.5599232529600213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10.199999999999999</v>
      </c>
      <c r="BY28" s="12">
        <f>IF('Données projet'!$A$114&gt;35,BY27+BX28-CG27,IF(A28&lt;'Données projet'!$A$114,$BV$205^A28,IF(A28='Données projet'!$A$114,'Données projet'!$B$114,BY27+BX28-CG27)))</f>
        <v>113.00000000000001</v>
      </c>
      <c r="BZ28" s="13">
        <f>BY28*VLOOKUP('Données projet'!$B$12,Paramètres!$A$1:$I$89,3,0)*VLOOKUP('Données projet'!$B$12,Paramètres!$A$1:$I$89,5,0)</f>
        <v>67.574000000000012</v>
      </c>
      <c r="CA28" s="13">
        <f t="shared" si="39"/>
        <v>19.069765110231607</v>
      </c>
      <c r="CB28" s="20">
        <f t="shared" si="10"/>
        <v>150.90455756698671</v>
      </c>
      <c r="CC28" s="59">
        <f t="shared" si="11"/>
        <v>444.23789090032005</v>
      </c>
      <c r="CD28" s="59">
        <f ca="1">AVERAGE(OFFSET($CC$3,0,0,'Données projet'!$E$12+1,1))-AVERAGE(OFFSET($H$3,0,0,'Données projet'!$E$12+1,1))</f>
        <v>165.39579887388538</v>
      </c>
      <c r="CE28" s="59">
        <f t="shared" si="40"/>
        <v>155.89639262545802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>
        <f>VLOOKUP(A28,'Données projet'!$A$139:$I$159,2,0)</f>
        <v>89</v>
      </c>
      <c r="CR28" s="12">
        <f>VLOOKUP(A28,'Données projet'!$A$139:$I$159,9,0)</f>
        <v>3.56</v>
      </c>
      <c r="CS28" s="12">
        <f t="array" ref="CS28">INDEX(CR:CR,MIN(IF(ISNUMBER(CR28:CR224),ROW(CR28:CR224),"")))</f>
        <v>3.56</v>
      </c>
      <c r="CT28" s="12">
        <f>IF('Données projet'!$A$140&gt;35,CT27+CS28-DB27,IF(A28&lt;'Données projet'!$A$140,$CQ$205^A28,IF(A28='Données projet'!$A$140,'Données projet'!$B$140,CT27+CS28-DB27)))</f>
        <v>89</v>
      </c>
      <c r="CU28" s="17">
        <f>CT28*VLOOKUP('Données projet'!$B$13,Paramètres!$A$1:$I$89,3,0)*VLOOKUP('Données projet'!$B$13,Paramètres!$A$1:$I$89,5,0)</f>
        <v>69.42</v>
      </c>
      <c r="CV28" s="13">
        <f t="shared" si="41"/>
        <v>19.529353456978352</v>
      </c>
      <c r="CW28" s="20">
        <f t="shared" si="13"/>
        <v>154.92012393757065</v>
      </c>
      <c r="CX28" s="59">
        <f t="shared" si="14"/>
        <v>448.25345727090394</v>
      </c>
      <c r="CY28" s="59">
        <f ca="1">AVERAGE(OFFSET($CX$3,0,0,'Données projet'!$E$13+1,1))-AVERAGE(OFFSET($H$3,0,0,'Données projet'!$E$13+1,1))</f>
        <v>190.06335940156185</v>
      </c>
      <c r="CZ28" s="59">
        <f t="shared" si="42"/>
        <v>166.43663896839928</v>
      </c>
      <c r="DA28" s="15">
        <f>IF(ISNA(VLOOKUP(A28,'Données projet'!$A$139:$I$159,3,0)),0,VLOOKUP(A28,'Données projet'!$A$139:$I$159,3,0))</f>
        <v>1</v>
      </c>
      <c r="DB28" s="15">
        <f>IF(ISNA(VLOOKUP(A28,'Données projet'!$A$139:$I$159,4,0)),0,VLOOKUP(A28,'Données projet'!$A$139:$I$159,4,0))</f>
        <v>28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0.1075</v>
      </c>
      <c r="DE28" s="16">
        <f>IF(ISNA(VLOOKUP(A28,'Données projet'!$A$139:$I$159,7,0)),0%,VLOOKUP(A28,'Données projet'!$A$139:$I$159,7,0))</f>
        <v>0.25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2.5852041863768558</v>
      </c>
      <c r="DH28" s="21">
        <f>EXP(-LN(2)/2)*DH27+(1-EXP(-LN(2)/2))/(LN(2)/2)*DB28*DE28*VLOOKUP('Données projet'!$B$13,Paramètres!$A$1:$I$89,3,0)*0.475*44/12</f>
        <v>5.1516569537454204</v>
      </c>
      <c r="DI28" s="22">
        <f t="shared" si="15"/>
        <v>7.7368611401222758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6.3</v>
      </c>
      <c r="DO28" s="12">
        <f>IF('Données projet'!$A$166&gt;35,DO27+DN28-DW27,IF(A28&lt;'Données projet'!$A$166,$DL$205^A28,IF(A28='Données projet'!$A$166,'Données projet'!$B$166,DO27+DN28-DW27)))</f>
        <v>73.499999999999986</v>
      </c>
      <c r="DP28" s="17">
        <f>DO28*VLOOKUP('Données projet'!$B$14,Paramètres!$A$1:$I$89,3,0)*VLOOKUP('Données projet'!$B$14,Paramètres!$A$1:$I$89,5,0)</f>
        <v>71.089199999999991</v>
      </c>
      <c r="DQ28" s="13">
        <f t="shared" si="43"/>
        <v>19.943700775772243</v>
      </c>
      <c r="DR28" s="20">
        <f t="shared" si="16"/>
        <v>158.54896885113661</v>
      </c>
      <c r="DS28" s="59">
        <f t="shared" si="17"/>
        <v>451.88230218446995</v>
      </c>
      <c r="DT28" s="59">
        <f ca="1">AVERAGE(OFFSET($DS$3,0,0,'Données projet'!$E$14+1,1))-AVERAGE(OFFSET($H$3,0,0,'Données projet'!$E$14+1,1))</f>
        <v>261.22357949323879</v>
      </c>
      <c r="DU28" s="59">
        <f t="shared" si="44"/>
        <v>163.41029152029387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6.5</v>
      </c>
      <c r="EJ28" s="12">
        <f>IF('Données projet'!$A$192&gt;35,EJ27+EI28-ER27,IF(A28&lt;'Données projet'!$A$192,$EG$205^A28,IF(A28='Données projet'!$A$192,'Données projet'!$B$192,EJ27+EI28-ER27)))</f>
        <v>140.6</v>
      </c>
      <c r="EK28" s="17">
        <f>EJ28*VLOOKUP('Données projet'!$B$15,Paramètres!$A$1:$I$89,3,0)*VLOOKUP('Données projet'!$B$15,Paramètres!$A$1:$I$89,5,0)</f>
        <v>65.800799999999995</v>
      </c>
      <c r="EL28" s="13">
        <f t="shared" si="45"/>
        <v>18.626923459774289</v>
      </c>
      <c r="EM28" s="20">
        <f t="shared" si="19"/>
        <v>147.04495169244021</v>
      </c>
      <c r="EN28" s="59">
        <f t="shared" si="20"/>
        <v>440.37828502577349</v>
      </c>
      <c r="EO28" s="59">
        <f ca="1">AVERAGE(OFFSET($EN$3,0,0,'Données projet'!$E$15+1,1))-AVERAGE(OFFSET($H$3,0,0,'Données projet'!$E$15+1,1))</f>
        <v>123.60520571614535</v>
      </c>
      <c r="EP28" s="59">
        <f t="shared" si="46"/>
        <v>119.00926870519527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1.021495921092703</v>
      </c>
      <c r="EX28" s="21">
        <f>EXP(-LN(2)/2)*EX27+(1-EXP(-LN(2)/2))/(LN(2)/2)*ER28*EU28*VLOOKUP('Données projet'!$B$15,Paramètres!$A$1:$I$89,3,0)*0.475*44/12</f>
        <v>0.32316587752818238</v>
      </c>
      <c r="EY28" s="22">
        <f t="shared" si="21"/>
        <v>1.3446617986208853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9.9</v>
      </c>
      <c r="FE28" s="12">
        <f>IF('Données projet'!$A$218&gt;35,FE27+FD28-FM27,IF(A28&lt;'Données projet'!$A$218,$FB$205^A28,IF(A28='Données projet'!$A$218,'Données projet'!$B$218,FE27+FD28-FM27)))</f>
        <v>85.500000000000014</v>
      </c>
      <c r="FF28" s="17">
        <f>FE28*VLOOKUP('Données projet'!$B$16,Paramètres!$A$1:$I$89,3,0)*VLOOKUP('Données projet'!$B$16,Paramètres!$A$1:$I$89,5,0)</f>
        <v>62.688600000000008</v>
      </c>
      <c r="FG28" s="13">
        <f t="shared" si="47"/>
        <v>17.846287546055187</v>
      </c>
      <c r="FH28" s="20">
        <f t="shared" si="22"/>
        <v>140.26492914271279</v>
      </c>
      <c r="FI28" s="59">
        <f t="shared" si="23"/>
        <v>433.5982624760461</v>
      </c>
      <c r="FJ28" s="59">
        <f ca="1">AVERAGE(OFFSET($FI$3,0,0,'Données projet'!$E$16+1,1))-AVERAGE(OFFSET($H$3,0,0,'Données projet'!$E$16+1,1))</f>
        <v>124.15919323713428</v>
      </c>
      <c r="FK28" s="59">
        <f t="shared" si="48"/>
        <v>157.85954678210715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1.5866384272835381</v>
      </c>
      <c r="FS28" s="21">
        <f>EXP(-LN(2)/2)*FS27+(1-EXP(-LN(2)/2))/(LN(2)/2)*FM28*FP28*VLOOKUP('Données projet'!$B$16,Paramètres!$A$1:$I$89,3,0)*0.475*44/12</f>
        <v>0.64203848856746371</v>
      </c>
      <c r="FT28" s="22">
        <f t="shared" si="24"/>
        <v>2.2286769158510018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6.3</v>
      </c>
      <c r="N29" s="13">
        <f>IF('Données projet'!$A$36&gt;35,N28+M29-V28,IF(A29&lt;'Données projet'!$A$36,$K$205^A29,IF(A29='Données projet'!$A$36,'Données projet'!$B$36,N28+M29-V28)))</f>
        <v>79.799999999999983</v>
      </c>
      <c r="O29" s="13">
        <f>N29*VLOOKUP('Données projet'!$B$9,Paramètres!$A$1:$I$89,3,0)*VLOOKUP('Données projet'!$B$9,Paramètres!$A$1:$I$89,5,0)</f>
        <v>72.203039999999973</v>
      </c>
      <c r="P29" s="13">
        <f t="shared" si="33"/>
        <v>20.219559499787128</v>
      </c>
      <c r="Q29" s="20">
        <f t="shared" si="2"/>
        <v>160.96936079546251</v>
      </c>
      <c r="R29" s="59">
        <f t="shared" si="0"/>
        <v>454.30269412879579</v>
      </c>
      <c r="S29" s="59">
        <f ca="1">AVERAGE(OFFSET($R$3,0,0,'Données projet'!$E$9+1,1))-AVERAGE(OFFSET($H$3,0,0,'Données projet'!$E$9+1,1))</f>
        <v>237.22177246688199</v>
      </c>
      <c r="T29" s="59">
        <f t="shared" si="34"/>
        <v>149.27472147904302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10.199999999999999</v>
      </c>
      <c r="AI29" s="13">
        <f>IF('Données projet'!$A$62&gt;35,AI28+AH29-AQ28,IF(A29&lt;'Données projet'!$A$62,$AF$205^A29,IF(A29='Données projet'!$A$62,'Données projet'!$B$62,AI28+AH29-AQ28)))</f>
        <v>134.20000000000002</v>
      </c>
      <c r="AJ29" s="13">
        <f>AI29*VLOOKUP('Données projet'!$B$10,Paramètres!$A$1:$I$89,3,0)*VLOOKUP('Données projet'!$B$10,Paramètres!$A$1:$I$89,5,0)</f>
        <v>117.23712000000003</v>
      </c>
      <c r="AK29" s="13">
        <f t="shared" si="35"/>
        <v>31.029731926851252</v>
      </c>
      <c r="AL29" s="20">
        <f t="shared" si="4"/>
        <v>258.2314337725993</v>
      </c>
      <c r="AM29" s="59">
        <f t="shared" si="5"/>
        <v>551.56476710593256</v>
      </c>
      <c r="AN29" s="59">
        <f ca="1">AVERAGE(OFFSET($AM$3,0,0,'Données projet'!$E$10+1,1))-AVERAGE(OFFSET($H$3,0,0,'Données projet'!$E$10+1,1))</f>
        <v>191.94797389630673</v>
      </c>
      <c r="AO29" s="59">
        <f t="shared" si="36"/>
        <v>273.52540822767878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2.8019321936826671</v>
      </c>
      <c r="AW29" s="21">
        <f>EXP(-LN(2)/2)*AW28+(1-EXP(-LN(2)/2))/(LN(2)/2)*AQ29*AT29*VLOOKUP('Données projet'!$B$10,Paramètres!$A$1:$I$89,3,0)*0.475*44/12</f>
        <v>0.82426511259926771</v>
      </c>
      <c r="AX29" s="21">
        <f t="shared" si="6"/>
        <v>3.6261973062819348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7.75</v>
      </c>
      <c r="BD29" s="12">
        <f>IF('Données projet'!$A$88&gt;35,BD28+BC29-BL28,IF(A29&lt;'Données projet'!$A$88,$BA$205^A29,IF(A29='Données projet'!$A$88,'Données projet'!$B$88,BD28+BC29-BL28)))</f>
        <v>92.5</v>
      </c>
      <c r="BE29" s="13">
        <f>BD29*VLOOKUP('Données projet'!$B$11,Paramètres!$A$1:$I$89,3,0)*VLOOKUP('Données projet'!$B$11,Paramètres!$A$1:$I$89,5,0)</f>
        <v>55.315000000000005</v>
      </c>
      <c r="BF29" s="13">
        <f t="shared" si="37"/>
        <v>15.978207841877614</v>
      </c>
      <c r="BG29" s="20">
        <f t="shared" si="7"/>
        <v>124.16900365793684</v>
      </c>
      <c r="BH29" s="59">
        <f t="shared" si="8"/>
        <v>417.50233699127017</v>
      </c>
      <c r="BI29" s="59">
        <f ca="1">AVERAGE(OFFSET($BH$3,0,0,'Données projet'!$E$11+1,1))-AVERAGE(OFFSET($H$3,0,0,'Données projet'!$E$11+1,1))</f>
        <v>72.647148358003676</v>
      </c>
      <c r="BJ29" s="59">
        <f t="shared" si="38"/>
        <v>87.231299224620898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0.41173860257724482</v>
      </c>
      <c r="BQ29" s="21">
        <f>EXP(-LN(2)/25)*BQ28+(1-EXP(-LN(2)/25))/(LN(2)/25)*Calculateur!BL29*Calculateur!BN29*VLOOKUP('Données projet'!$B$11,Paramètres!$A$1:$I$89,3,0)*0.475*44/12</f>
        <v>3.1081665427892404</v>
      </c>
      <c r="BR29" s="21">
        <f>EXP(-LN(2)/2)*BR28+(1-EXP(-LN(2)/2))/(LN(2)/2)*BL29*BO29*VLOOKUP('Données projet'!$B$11,Paramètres!$A$1:$I$89,3,0)*0.475*44/12</f>
        <v>2.082005360306542</v>
      </c>
      <c r="BS29" s="22">
        <f t="shared" si="9"/>
        <v>5.6019105056730272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10.199999999999999</v>
      </c>
      <c r="BY29" s="12">
        <f>IF('Données projet'!$A$114&gt;35,BY28+BX29-CG28,IF(A29&lt;'Données projet'!$A$114,$BV$205^A29,IF(A29='Données projet'!$A$114,'Données projet'!$B$114,BY28+BX29-CG28)))</f>
        <v>123.20000000000002</v>
      </c>
      <c r="BZ29" s="13">
        <f>BY29*VLOOKUP('Données projet'!$B$12,Paramètres!$A$1:$I$89,3,0)*VLOOKUP('Données projet'!$B$12,Paramètres!$A$1:$I$89,5,0)</f>
        <v>73.673600000000022</v>
      </c>
      <c r="CA29" s="13">
        <f t="shared" si="39"/>
        <v>20.583008456666128</v>
      </c>
      <c r="CB29" s="20">
        <f t="shared" si="10"/>
        <v>164.16359306202688</v>
      </c>
      <c r="CC29" s="59">
        <f t="shared" si="11"/>
        <v>457.49692639536022</v>
      </c>
      <c r="CD29" s="59">
        <f ca="1">AVERAGE(OFFSET($CC$3,0,0,'Données projet'!$E$12+1,1))-AVERAGE(OFFSET($H$3,0,0,'Données projet'!$E$12+1,1))</f>
        <v>165.39579887388538</v>
      </c>
      <c r="CE29" s="59">
        <f t="shared" si="40"/>
        <v>155.89639262545802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14.2</v>
      </c>
      <c r="CT29" s="12">
        <f>IF('Données projet'!$A$140&gt;35,CT28+CS29-DB28,IF(A29&lt;'Données projet'!$A$140,$CQ$205^A29,IF(A29='Données projet'!$A$140,'Données projet'!$B$140,CT28+CS29-DB28)))</f>
        <v>75.2</v>
      </c>
      <c r="CU29" s="17">
        <f>CT29*VLOOKUP('Données projet'!$B$13,Paramètres!$A$1:$I$89,3,0)*VLOOKUP('Données projet'!$B$13,Paramètres!$A$1:$I$89,5,0)</f>
        <v>58.656000000000006</v>
      </c>
      <c r="CV29" s="13">
        <f t="shared" si="41"/>
        <v>16.828016909929076</v>
      </c>
      <c r="CW29" s="20">
        <f t="shared" si="13"/>
        <v>131.46799611812648</v>
      </c>
      <c r="CX29" s="59">
        <f t="shared" si="14"/>
        <v>424.80132945145976</v>
      </c>
      <c r="CY29" s="59">
        <f ca="1">AVERAGE(OFFSET($CX$3,0,0,'Données projet'!$E$13+1,1))-AVERAGE(OFFSET($H$3,0,0,'Données projet'!$E$13+1,1))</f>
        <v>190.06335940156185</v>
      </c>
      <c r="CZ29" s="59">
        <f t="shared" si="42"/>
        <v>166.43663896839928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2.514511641950401</v>
      </c>
      <c r="DH29" s="21">
        <f>EXP(-LN(2)/2)*DH28+(1-EXP(-LN(2)/2))/(LN(2)/2)*DB29*DE29*VLOOKUP('Données projet'!$B$13,Paramètres!$A$1:$I$89,3,0)*0.475*44/12</f>
        <v>3.6427715663402194</v>
      </c>
      <c r="DI29" s="22">
        <f t="shared" si="15"/>
        <v>6.1572832082906199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6.3</v>
      </c>
      <c r="DO29" s="12">
        <f>IF('Données projet'!$A$166&gt;35,DO28+DN29-DW28,IF(A29&lt;'Données projet'!$A$166,$DL$205^A29,IF(A29='Données projet'!$A$166,'Données projet'!$B$166,DO28+DN29-DW28)))</f>
        <v>79.799999999999983</v>
      </c>
      <c r="DP29" s="17">
        <f>DO29*VLOOKUP('Données projet'!$B$14,Paramètres!$A$1:$I$89,3,0)*VLOOKUP('Données projet'!$B$14,Paramètres!$A$1:$I$89,5,0)</f>
        <v>77.182559999999995</v>
      </c>
      <c r="DQ29" s="13">
        <f t="shared" si="43"/>
        <v>21.446874557671695</v>
      </c>
      <c r="DR29" s="20">
        <f t="shared" si="16"/>
        <v>171.77959852127819</v>
      </c>
      <c r="DS29" s="59">
        <f t="shared" si="17"/>
        <v>465.11293185461147</v>
      </c>
      <c r="DT29" s="59">
        <f ca="1">AVERAGE(OFFSET($DS$3,0,0,'Données projet'!$E$14+1,1))-AVERAGE(OFFSET($H$3,0,0,'Données projet'!$E$14+1,1))</f>
        <v>261.22357949323879</v>
      </c>
      <c r="DU29" s="59">
        <f t="shared" si="44"/>
        <v>163.41029152029387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6.5</v>
      </c>
      <c r="EJ29" s="12">
        <f>IF('Données projet'!$A$192&gt;35,EJ28+EI29-ER28,IF(A29&lt;'Données projet'!$A$192,$EG$205^A29,IF(A29='Données projet'!$A$192,'Données projet'!$B$192,EJ28+EI29-ER28)))</f>
        <v>147.1</v>
      </c>
      <c r="EK29" s="17">
        <f>EJ29*VLOOKUP('Données projet'!$B$15,Paramètres!$A$1:$I$89,3,0)*VLOOKUP('Données projet'!$B$15,Paramètres!$A$1:$I$89,5,0)</f>
        <v>68.842799999999997</v>
      </c>
      <c r="EL29" s="13">
        <f t="shared" si="45"/>
        <v>19.385805820089459</v>
      </c>
      <c r="EM29" s="20">
        <f t="shared" si="19"/>
        <v>153.66482180332244</v>
      </c>
      <c r="EN29" s="59">
        <f t="shared" si="20"/>
        <v>446.99815513665578</v>
      </c>
      <c r="EO29" s="59">
        <f ca="1">AVERAGE(OFFSET($EN$3,0,0,'Données projet'!$E$15+1,1))-AVERAGE(OFFSET($H$3,0,0,'Données projet'!$E$15+1,1))</f>
        <v>123.60520571614535</v>
      </c>
      <c r="EP29" s="59">
        <f t="shared" si="46"/>
        <v>119.00926870519527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0.99356306141228723</v>
      </c>
      <c r="EX29" s="21">
        <f>EXP(-LN(2)/2)*EX28+(1-EXP(-LN(2)/2))/(LN(2)/2)*ER29*EU29*VLOOKUP('Données projet'!$B$15,Paramètres!$A$1:$I$89,3,0)*0.475*44/12</f>
        <v>0.22851278344827908</v>
      </c>
      <c r="EY29" s="22">
        <f t="shared" si="21"/>
        <v>1.2220758448605662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9.9</v>
      </c>
      <c r="FE29" s="12">
        <f>IF('Données projet'!$A$218&gt;35,FE28+FD29-FM28,IF(A29&lt;'Données projet'!$A$218,$FB$205^A29,IF(A29='Données projet'!$A$218,'Données projet'!$B$218,FE28+FD29-FM28)))</f>
        <v>95.40000000000002</v>
      </c>
      <c r="FF29" s="17">
        <f>FE29*VLOOKUP('Données projet'!$B$16,Paramètres!$A$1:$I$89,3,0)*VLOOKUP('Données projet'!$B$16,Paramètres!$A$1:$I$89,5,0)</f>
        <v>69.947280000000021</v>
      </c>
      <c r="FG29" s="13">
        <f t="shared" si="47"/>
        <v>19.660364763261025</v>
      </c>
      <c r="FH29" s="20">
        <f t="shared" si="22"/>
        <v>156.06664796267964</v>
      </c>
      <c r="FI29" s="59">
        <f t="shared" si="23"/>
        <v>449.39998129601292</v>
      </c>
      <c r="FJ29" s="59">
        <f ca="1">AVERAGE(OFFSET($FI$3,0,0,'Données projet'!$E$16+1,1))-AVERAGE(OFFSET($H$3,0,0,'Données projet'!$E$16+1,1))</f>
        <v>124.15919323713428</v>
      </c>
      <c r="FK29" s="59">
        <f t="shared" si="48"/>
        <v>157.85954678210715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1.5432517160517811</v>
      </c>
      <c r="FS29" s="21">
        <f>EXP(-LN(2)/2)*FS28+(1-EXP(-LN(2)/2))/(LN(2)/2)*FM29*FP29*VLOOKUP('Données projet'!$B$16,Paramètres!$A$1:$I$89,3,0)*0.475*44/12</f>
        <v>0.45398976904881527</v>
      </c>
      <c r="FT29" s="22">
        <f t="shared" si="24"/>
        <v>1.9972414851005964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6.3</v>
      </c>
      <c r="N30" s="13">
        <f>IF('Données projet'!$A$36&gt;35,N29+M30-V29,IF(A30&lt;'Données projet'!$A$36,$K$205^A30,IF(A30='Données projet'!$A$36,'Données projet'!$B$36,N29+M30-V29)))</f>
        <v>86.09999999999998</v>
      </c>
      <c r="O30" s="13">
        <f>N30*VLOOKUP('Données projet'!$B$9,Paramètres!$A$1:$I$89,3,0)*VLOOKUP('Données projet'!$B$9,Paramètres!$A$1:$I$89,5,0)</f>
        <v>77.903279999999981</v>
      </c>
      <c r="P30" s="13">
        <f t="shared" si="33"/>
        <v>21.623735462576285</v>
      </c>
      <c r="Q30" s="20">
        <f t="shared" si="2"/>
        <v>173.342885263987</v>
      </c>
      <c r="R30" s="59">
        <f t="shared" si="0"/>
        <v>466.67621859732031</v>
      </c>
      <c r="S30" s="59">
        <f ca="1">AVERAGE(OFFSET($R$3,0,0,'Données projet'!$E$9+1,1))-AVERAGE(OFFSET($H$3,0,0,'Données projet'!$E$9+1,1))</f>
        <v>237.22177246688199</v>
      </c>
      <c r="T30" s="59">
        <f t="shared" si="34"/>
        <v>149.27472147904302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10.199999999999999</v>
      </c>
      <c r="AI30" s="13">
        <f>IF('Données projet'!$A$62&gt;35,AI29+AH30-AQ29,IF(A30&lt;'Données projet'!$A$62,$AF$205^A30,IF(A30='Données projet'!$A$62,'Données projet'!$B$62,AI29+AH30-AQ29)))</f>
        <v>144.4</v>
      </c>
      <c r="AJ30" s="13">
        <f>AI30*VLOOKUP('Données projet'!$B$10,Paramètres!$A$1:$I$89,3,0)*VLOOKUP('Données projet'!$B$10,Paramètres!$A$1:$I$89,5,0)</f>
        <v>126.14784000000002</v>
      </c>
      <c r="AK30" s="13">
        <f t="shared" si="35"/>
        <v>33.10468597352537</v>
      </c>
      <c r="AL30" s="20">
        <f t="shared" si="4"/>
        <v>277.36481607055674</v>
      </c>
      <c r="AM30" s="59">
        <f t="shared" si="5"/>
        <v>570.69814940389006</v>
      </c>
      <c r="AN30" s="59">
        <f ca="1">AVERAGE(OFFSET($AM$3,0,0,'Données projet'!$E$10+1,1))-AVERAGE(OFFSET($H$3,0,0,'Données projet'!$E$10+1,1))</f>
        <v>191.94797389630673</v>
      </c>
      <c r="AO30" s="59">
        <f t="shared" si="36"/>
        <v>273.52540822767878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2.7253132104992046</v>
      </c>
      <c r="AW30" s="21">
        <f>EXP(-LN(2)/2)*AW29+(1-EXP(-LN(2)/2))/(LN(2)/2)*AQ30*AT30*VLOOKUP('Données projet'!$B$10,Paramètres!$A$1:$I$89,3,0)*0.475*44/12</f>
        <v>0.58284345061443543</v>
      </c>
      <c r="AX30" s="21">
        <f t="shared" si="6"/>
        <v>3.3081566611136402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7.75</v>
      </c>
      <c r="BD30" s="12">
        <f>IF('Données projet'!$A$88&gt;35,BD29+BC30-BL29,IF(A30&lt;'Données projet'!$A$88,$BA$205^A30,IF(A30='Données projet'!$A$88,'Données projet'!$B$88,BD29+BC30-BL29)))</f>
        <v>100.25</v>
      </c>
      <c r="BE30" s="13">
        <f>BD30*VLOOKUP('Données projet'!$B$11,Paramètres!$A$1:$I$89,3,0)*VLOOKUP('Données projet'!$B$11,Paramètres!$A$1:$I$89,5,0)</f>
        <v>59.949500000000008</v>
      </c>
      <c r="BF30" s="13">
        <f t="shared" si="37"/>
        <v>17.155500402424575</v>
      </c>
      <c r="BG30" s="20">
        <f t="shared" si="7"/>
        <v>134.29120903422282</v>
      </c>
      <c r="BH30" s="59">
        <f t="shared" si="8"/>
        <v>427.62454236755616</v>
      </c>
      <c r="BI30" s="59">
        <f ca="1">AVERAGE(OFFSET($BH$3,0,0,'Données projet'!$E$11+1,1))-AVERAGE(OFFSET($H$3,0,0,'Données projet'!$E$11+1,1))</f>
        <v>72.647148358003676</v>
      </c>
      <c r="BJ30" s="59">
        <f t="shared" si="38"/>
        <v>87.231299224620898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0.40366465971645504</v>
      </c>
      <c r="BQ30" s="21">
        <f>EXP(-LN(2)/25)*BQ29+(1-EXP(-LN(2)/25))/(LN(2)/25)*Calculateur!BL30*Calculateur!BN30*VLOOKUP('Données projet'!$B$11,Paramètres!$A$1:$I$89,3,0)*0.475*44/12</f>
        <v>3.023173565225294</v>
      </c>
      <c r="BR30" s="21">
        <f>EXP(-LN(2)/2)*BR29+(1-EXP(-LN(2)/2))/(LN(2)/2)*BL30*BO30*VLOOKUP('Données projet'!$B$11,Paramètres!$A$1:$I$89,3,0)*0.475*44/12</f>
        <v>1.4722001087394971</v>
      </c>
      <c r="BS30" s="22">
        <f t="shared" si="9"/>
        <v>4.8990383336812462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10.199999999999999</v>
      </c>
      <c r="BY30" s="12">
        <f>IF('Données projet'!$A$114&gt;35,BY29+BX30-CG29,IF(A30&lt;'Données projet'!$A$114,$BV$205^A30,IF(A30='Données projet'!$A$114,'Données projet'!$B$114,BY29+BX30-CG29)))</f>
        <v>133.4</v>
      </c>
      <c r="BZ30" s="13">
        <f>BY30*VLOOKUP('Données projet'!$B$12,Paramètres!$A$1:$I$89,3,0)*VLOOKUP('Données projet'!$B$12,Paramètres!$A$1:$I$89,5,0)</f>
        <v>79.773200000000003</v>
      </c>
      <c r="CA30" s="13">
        <f t="shared" si="39"/>
        <v>22.081721190221341</v>
      </c>
      <c r="CB30" s="20">
        <f t="shared" si="10"/>
        <v>177.39732107296882</v>
      </c>
      <c r="CC30" s="59">
        <f t="shared" si="11"/>
        <v>470.73065440630216</v>
      </c>
      <c r="CD30" s="59">
        <f ca="1">AVERAGE(OFFSET($CC$3,0,0,'Données projet'!$E$12+1,1))-AVERAGE(OFFSET($H$3,0,0,'Données projet'!$E$12+1,1))</f>
        <v>165.39579887388538</v>
      </c>
      <c r="CE30" s="59">
        <f t="shared" si="40"/>
        <v>155.89639262545802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14.2</v>
      </c>
      <c r="CT30" s="12">
        <f>IF('Données projet'!$A$140&gt;35,CT29+CS30-DB29,IF(A30&lt;'Données projet'!$A$140,$CQ$205^A30,IF(A30='Données projet'!$A$140,'Données projet'!$B$140,CT29+CS30-DB29)))</f>
        <v>89.4</v>
      </c>
      <c r="CU30" s="17">
        <f>CT30*VLOOKUP('Données projet'!$B$13,Paramètres!$A$1:$I$89,3,0)*VLOOKUP('Données projet'!$B$13,Paramètres!$A$1:$I$89,5,0)</f>
        <v>69.732000000000014</v>
      </c>
      <c r="CV30" s="13">
        <f t="shared" si="41"/>
        <v>19.606888874982506</v>
      </c>
      <c r="CW30" s="20">
        <f t="shared" si="13"/>
        <v>155.59856479059454</v>
      </c>
      <c r="CX30" s="59">
        <f t="shared" si="14"/>
        <v>448.93189812392785</v>
      </c>
      <c r="CY30" s="59">
        <f ca="1">AVERAGE(OFFSET($CX$3,0,0,'Données projet'!$E$13+1,1))-AVERAGE(OFFSET($H$3,0,0,'Données projet'!$E$13+1,1))</f>
        <v>190.06335940156185</v>
      </c>
      <c r="CZ30" s="59">
        <f t="shared" si="42"/>
        <v>166.43663896839928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2.4457521888688469</v>
      </c>
      <c r="DH30" s="21">
        <f>EXP(-LN(2)/2)*DH29+(1-EXP(-LN(2)/2))/(LN(2)/2)*DB30*DE30*VLOOKUP('Données projet'!$B$13,Paramètres!$A$1:$I$89,3,0)*0.475*44/12</f>
        <v>2.5758284768727107</v>
      </c>
      <c r="DI30" s="22">
        <f t="shared" si="15"/>
        <v>5.021580665741558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6.3</v>
      </c>
      <c r="DO30" s="12">
        <f>IF('Données projet'!$A$166&gt;35,DO29+DN30-DW29,IF(A30&lt;'Données projet'!$A$166,$DL$205^A30,IF(A30='Données projet'!$A$166,'Données projet'!$B$166,DO29+DN30-DW29)))</f>
        <v>86.09999999999998</v>
      </c>
      <c r="DP30" s="17">
        <f>DO30*VLOOKUP('Données projet'!$B$14,Paramètres!$A$1:$I$89,3,0)*VLOOKUP('Données projet'!$B$14,Paramètres!$A$1:$I$89,5,0)</f>
        <v>83.275919999999985</v>
      </c>
      <c r="DQ30" s="13">
        <f t="shared" si="43"/>
        <v>22.936283153895268</v>
      </c>
      <c r="DR30" s="20">
        <f t="shared" si="16"/>
        <v>184.98625382636752</v>
      </c>
      <c r="DS30" s="59">
        <f t="shared" si="17"/>
        <v>478.31958715970086</v>
      </c>
      <c r="DT30" s="59">
        <f ca="1">AVERAGE(OFFSET($DS$3,0,0,'Données projet'!$E$14+1,1))-AVERAGE(OFFSET($H$3,0,0,'Données projet'!$E$14+1,1))</f>
        <v>261.22357949323879</v>
      </c>
      <c r="DU30" s="59">
        <f t="shared" si="44"/>
        <v>163.41029152029387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6.5</v>
      </c>
      <c r="EJ30" s="12">
        <f>IF('Données projet'!$A$192&gt;35,EJ29+EI30-ER29,IF(A30&lt;'Données projet'!$A$192,$EG$205^A30,IF(A30='Données projet'!$A$192,'Données projet'!$B$192,EJ29+EI30-ER29)))</f>
        <v>153.6</v>
      </c>
      <c r="EK30" s="17">
        <f>EJ30*VLOOKUP('Données projet'!$B$15,Paramètres!$A$1:$I$89,3,0)*VLOOKUP('Données projet'!$B$15,Paramètres!$A$1:$I$89,5,0)</f>
        <v>71.884799999999998</v>
      </c>
      <c r="EL30" s="13">
        <f t="shared" si="45"/>
        <v>20.140793597217179</v>
      </c>
      <c r="EM30" s="20">
        <f t="shared" si="19"/>
        <v>160.27790884848659</v>
      </c>
      <c r="EN30" s="59">
        <f t="shared" si="20"/>
        <v>453.61124218181988</v>
      </c>
      <c r="EO30" s="59">
        <f ca="1">AVERAGE(OFFSET($EN$3,0,0,'Données projet'!$E$15+1,1))-AVERAGE(OFFSET($H$3,0,0,'Données projet'!$E$15+1,1))</f>
        <v>123.60520571614535</v>
      </c>
      <c r="EP30" s="59">
        <f t="shared" si="46"/>
        <v>119.00926870519527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0.96639402724875767</v>
      </c>
      <c r="EX30" s="21">
        <f>EXP(-LN(2)/2)*EX29+(1-EXP(-LN(2)/2))/(LN(2)/2)*ER30*EU30*VLOOKUP('Données projet'!$B$15,Paramètres!$A$1:$I$89,3,0)*0.475*44/12</f>
        <v>0.16158293876409122</v>
      </c>
      <c r="EY30" s="22">
        <f t="shared" si="21"/>
        <v>1.1279769660128489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9.9</v>
      </c>
      <c r="FE30" s="12">
        <f>IF('Données projet'!$A$218&gt;35,FE29+FD30-FM29,IF(A30&lt;'Données projet'!$A$218,$FB$205^A30,IF(A30='Données projet'!$A$218,'Données projet'!$B$218,FE29+FD30-FM29)))</f>
        <v>105.30000000000003</v>
      </c>
      <c r="FF30" s="17">
        <f>FE30*VLOOKUP('Données projet'!$B$16,Paramètres!$A$1:$I$89,3,0)*VLOOKUP('Données projet'!$B$16,Paramètres!$A$1:$I$89,5,0)</f>
        <v>77.205960000000019</v>
      </c>
      <c r="FG30" s="13">
        <f t="shared" si="47"/>
        <v>21.452619805069709</v>
      </c>
      <c r="FH30" s="20">
        <f t="shared" si="22"/>
        <v>171.83035982716311</v>
      </c>
      <c r="FI30" s="59">
        <f t="shared" si="23"/>
        <v>465.16369316049645</v>
      </c>
      <c r="FJ30" s="59">
        <f ca="1">AVERAGE(OFFSET($FI$3,0,0,'Données projet'!$E$16+1,1))-AVERAGE(OFFSET($H$3,0,0,'Données projet'!$E$16+1,1))</f>
        <v>124.15919323713428</v>
      </c>
      <c r="FK30" s="59">
        <f t="shared" si="48"/>
        <v>157.85954678210715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1.5010514167202647</v>
      </c>
      <c r="FS30" s="21">
        <f>EXP(-LN(2)/2)*FS29+(1-EXP(-LN(2)/2))/(LN(2)/2)*FM30*FP30*VLOOKUP('Données projet'!$B$16,Paramètres!$A$1:$I$89,3,0)*0.475*44/12</f>
        <v>0.32101924428373191</v>
      </c>
      <c r="FT30" s="22">
        <f t="shared" si="24"/>
        <v>1.8220706610039965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6.3</v>
      </c>
      <c r="N31" s="13">
        <f>IF('Données projet'!$A$36&gt;35,N30+M31-V30,IF(A31&lt;'Données projet'!$A$36,$K$205^A31,IF(A31='Données projet'!$A$36,'Données projet'!$B$36,N30+M31-V30)))</f>
        <v>92.399999999999977</v>
      </c>
      <c r="O31" s="13">
        <f>N31*VLOOKUP('Données projet'!$B$9,Paramètres!$A$1:$I$89,3,0)*VLOOKUP('Données projet'!$B$9,Paramètres!$A$1:$I$89,5,0)</f>
        <v>83.603519999999975</v>
      </c>
      <c r="P31" s="13">
        <f t="shared" si="33"/>
        <v>23.015991519299678</v>
      </c>
      <c r="Q31" s="20">
        <f t="shared" si="2"/>
        <v>185.69564922944687</v>
      </c>
      <c r="R31" s="59">
        <f t="shared" si="0"/>
        <v>479.02898256278019</v>
      </c>
      <c r="S31" s="59">
        <f ca="1">AVERAGE(OFFSET($R$3,0,0,'Données projet'!$E$9+1,1))-AVERAGE(OFFSET($H$3,0,0,'Données projet'!$E$9+1,1))</f>
        <v>237.22177246688199</v>
      </c>
      <c r="T31" s="59">
        <f t="shared" si="34"/>
        <v>149.27472147904302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10.199999999999999</v>
      </c>
      <c r="AI31" s="13">
        <f>IF('Données projet'!$A$62&gt;35,AI30+AH31-AQ30,IF(A31&lt;'Données projet'!$A$62,$AF$205^A31,IF(A31='Données projet'!$A$62,'Données projet'!$B$62,AI30+AH31-AQ30)))</f>
        <v>154.6</v>
      </c>
      <c r="AJ31" s="13">
        <f>AI31*VLOOKUP('Données projet'!$B$10,Paramètres!$A$1:$I$89,3,0)*VLOOKUP('Données projet'!$B$10,Paramètres!$A$1:$I$89,5,0)</f>
        <v>135.05856000000003</v>
      </c>
      <c r="AK31" s="13">
        <f t="shared" si="35"/>
        <v>35.16263443880888</v>
      </c>
      <c r="AL31" s="20">
        <f t="shared" si="4"/>
        <v>296.46858031425882</v>
      </c>
      <c r="AM31" s="59">
        <f t="shared" si="5"/>
        <v>589.80191364759207</v>
      </c>
      <c r="AN31" s="59">
        <f ca="1">AVERAGE(OFFSET($AM$3,0,0,'Données projet'!$E$10+1,1))-AVERAGE(OFFSET($H$3,0,0,'Données projet'!$E$10+1,1))</f>
        <v>191.94797389630673</v>
      </c>
      <c r="AO31" s="59">
        <f t="shared" si="36"/>
        <v>273.52540822767878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2.6507893774401108</v>
      </c>
      <c r="AW31" s="21">
        <f>EXP(-LN(2)/2)*AW30+(1-EXP(-LN(2)/2))/(LN(2)/2)*AQ31*AT31*VLOOKUP('Données projet'!$B$10,Paramètres!$A$1:$I$89,3,0)*0.475*44/12</f>
        <v>0.41213255629963397</v>
      </c>
      <c r="AX31" s="21">
        <f t="shared" si="6"/>
        <v>3.0629219337397449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>
        <f>VLOOKUP(A31,'Données projet'!$A$87:$I$107,2,0)</f>
        <v>108</v>
      </c>
      <c r="BB31" s="12">
        <f>VLOOKUP(A31,'Données projet'!$A$87:$I$107,9,0)</f>
        <v>7.75</v>
      </c>
      <c r="BC31" s="12">
        <f t="array" ref="BC31">INDEX(BB:BB,MIN(IF(ISNUMBER(BB31:BB227),ROW(BB31:BB227),"")))</f>
        <v>7.75</v>
      </c>
      <c r="BD31" s="12">
        <f>IF('Données projet'!$A$88&gt;35,BD30+BC31-BL30,IF(A31&lt;'Données projet'!$A$88,$BA$205^A31,IF(A31='Données projet'!$A$88,'Données projet'!$B$88,BD30+BC31-BL30)))</f>
        <v>108</v>
      </c>
      <c r="BE31" s="13">
        <f>BD31*VLOOKUP('Données projet'!$B$11,Paramètres!$A$1:$I$89,3,0)*VLOOKUP('Données projet'!$B$11,Paramètres!$A$1:$I$89,5,0)</f>
        <v>64.584000000000003</v>
      </c>
      <c r="BF31" s="13">
        <f t="shared" si="37"/>
        <v>18.322235519392734</v>
      </c>
      <c r="BG31" s="20">
        <f t="shared" si="7"/>
        <v>144.39502686294233</v>
      </c>
      <c r="BH31" s="59">
        <f t="shared" si="8"/>
        <v>437.72836019627562</v>
      </c>
      <c r="BI31" s="59">
        <f ca="1">AVERAGE(OFFSET($BH$3,0,0,'Données projet'!$E$11+1,1))-AVERAGE(OFFSET($H$3,0,0,'Données projet'!$E$11+1,1))</f>
        <v>72.647148358003676</v>
      </c>
      <c r="BJ31" s="59">
        <f t="shared" si="38"/>
        <v>87.231299224620898</v>
      </c>
      <c r="BK31" s="15">
        <f>IF(ISNA(VLOOKUP(A31,'Données projet'!$A$87:$I$107,3,0)),0,VLOOKUP(A31,'Données projet'!$A$87:$I$107,3,0))</f>
        <v>4</v>
      </c>
      <c r="BL31" s="15">
        <f>IF(ISNA(VLOOKUP(A31,'Données projet'!$A$87:$I$107,4,0)),0,VLOOKUP(A31,'Données projet'!$A$87:$I$107,4,0))</f>
        <v>13</v>
      </c>
      <c r="BM31" s="16">
        <f>IF(ISNA(VLOOKUP(A31,'Données projet'!$A$87:$I$107,5,0)),0%,VLOOKUP(A31,'Données projet'!$A$87:$I$107,5,0)*VLOOKUP('Données projet'!$B$11,Paramètres!$A$1:$I$89,7,0))</f>
        <v>9.0000000000000011E-2</v>
      </c>
      <c r="BN31" s="16">
        <f>IF(ISNA(VLOOKUP(A31,'Données projet'!$A$87:$I$107,6,0)),0%,VLOOKUP(A31,'Données projet'!$A$87:$I$107,6,0)*VLOOKUP('Données projet'!$B$11,Paramètres!$A$1:$I$89,7,0))</f>
        <v>0.18000000000000002</v>
      </c>
      <c r="BO31" s="16">
        <f>IF(ISNA(VLOOKUP(A31,'Données projet'!$A$87:$I$107,7,0)),0%,VLOOKUP(A31,'Données projet'!$A$87:$I$107,7,0))</f>
        <v>0.4</v>
      </c>
      <c r="BP31" s="21">
        <f>EXP(-LN(2)/35)*BP30+(1-EXP(-LN(2)/35))/(LN(2)/35)*BL31*BM31*VLOOKUP('Données projet'!$B$11,Paramètres!$A$1:$I$89,3,0)*0.475*44/12</f>
        <v>1.3238931288433753</v>
      </c>
      <c r="BQ31" s="21">
        <f>EXP(-LN(2)/25)*BQ30+(1-EXP(-LN(2)/25))/(LN(2)/25)*Calculateur!BL31*Calculateur!BN31*VLOOKUP('Données projet'!$B$11,Paramètres!$A$1:$I$89,3,0)*0.475*44/12</f>
        <v>4.7894839850466369</v>
      </c>
      <c r="BR31" s="21">
        <f>EXP(-LN(2)/2)*BR30+(1-EXP(-LN(2)/2))/(LN(2)/2)*BL31*BO31*VLOOKUP('Données projet'!$B$11,Paramètres!$A$1:$I$89,3,0)*0.475*44/12</f>
        <v>4.5617922325415687</v>
      </c>
      <c r="BS31" s="22">
        <f t="shared" si="9"/>
        <v>10.675169346431581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10.199999999999999</v>
      </c>
      <c r="BY31" s="12">
        <f>IF('Données projet'!$A$114&gt;35,BY30+BX31-CG30,IF(A31&lt;'Données projet'!$A$114,$BV$205^A31,IF(A31='Données projet'!$A$114,'Données projet'!$B$114,BY30+BX31-CG30)))</f>
        <v>143.6</v>
      </c>
      <c r="BZ31" s="13">
        <f>BY31*VLOOKUP('Données projet'!$B$12,Paramètres!$A$1:$I$89,3,0)*VLOOKUP('Données projet'!$B$12,Paramètres!$A$1:$I$89,5,0)</f>
        <v>85.872799999999998</v>
      </c>
      <c r="CA31" s="13">
        <f t="shared" si="39"/>
        <v>23.567140673267303</v>
      </c>
      <c r="CB31" s="20">
        <f t="shared" si="10"/>
        <v>190.60789667260721</v>
      </c>
      <c r="CC31" s="59">
        <f t="shared" si="11"/>
        <v>483.9412300059405</v>
      </c>
      <c r="CD31" s="59">
        <f ca="1">AVERAGE(OFFSET($CC$3,0,0,'Données projet'!$E$12+1,1))-AVERAGE(OFFSET($H$3,0,0,'Données projet'!$E$12+1,1))</f>
        <v>165.39579887388538</v>
      </c>
      <c r="CE31" s="59">
        <f t="shared" si="40"/>
        <v>155.89639262545802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14.2</v>
      </c>
      <c r="CT31" s="12">
        <f>IF('Données projet'!$A$140&gt;35,CT30+CS31-DB30,IF(A31&lt;'Données projet'!$A$140,$CQ$205^A31,IF(A31='Données projet'!$A$140,'Données projet'!$B$140,CT30+CS31-DB30)))</f>
        <v>103.60000000000001</v>
      </c>
      <c r="CU31" s="17">
        <f>CT31*VLOOKUP('Données projet'!$B$13,Paramètres!$A$1:$I$89,3,0)*VLOOKUP('Données projet'!$B$13,Paramètres!$A$1:$I$89,5,0)</f>
        <v>80.808000000000007</v>
      </c>
      <c r="CV31" s="13">
        <f t="shared" si="41"/>
        <v>22.334628633536209</v>
      </c>
      <c r="CW31" s="20">
        <f t="shared" si="13"/>
        <v>179.64007820340893</v>
      </c>
      <c r="CX31" s="59">
        <f t="shared" si="14"/>
        <v>472.97341153674222</v>
      </c>
      <c r="CY31" s="59">
        <f ca="1">AVERAGE(OFFSET($CX$3,0,0,'Données projet'!$E$13+1,1))-AVERAGE(OFFSET($H$3,0,0,'Données projet'!$E$13+1,1))</f>
        <v>190.06335940156185</v>
      </c>
      <c r="CZ31" s="59">
        <f t="shared" si="42"/>
        <v>166.43663896839928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2.3788729666477106</v>
      </c>
      <c r="DH31" s="21">
        <f>EXP(-LN(2)/2)*DH30+(1-EXP(-LN(2)/2))/(LN(2)/2)*DB31*DE31*VLOOKUP('Données projet'!$B$13,Paramètres!$A$1:$I$89,3,0)*0.475*44/12</f>
        <v>1.8213857831701099</v>
      </c>
      <c r="DI31" s="22">
        <f t="shared" si="15"/>
        <v>4.2002587498178201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6.3</v>
      </c>
      <c r="DO31" s="12">
        <f>IF('Données projet'!$A$166&gt;35,DO30+DN31-DW30,IF(A31&lt;'Données projet'!$A$166,$DL$205^A31,IF(A31='Données projet'!$A$166,'Données projet'!$B$166,DO30+DN31-DW30)))</f>
        <v>92.399999999999977</v>
      </c>
      <c r="DP31" s="17">
        <f>DO31*VLOOKUP('Données projet'!$B$14,Paramètres!$A$1:$I$89,3,0)*VLOOKUP('Données projet'!$B$14,Paramètres!$A$1:$I$89,5,0)</f>
        <v>89.369279999999975</v>
      </c>
      <c r="DQ31" s="13">
        <f t="shared" si="43"/>
        <v>24.413048312949282</v>
      </c>
      <c r="DR31" s="20">
        <f t="shared" si="16"/>
        <v>198.17088847838662</v>
      </c>
      <c r="DS31" s="59">
        <f t="shared" si="17"/>
        <v>491.50422181171996</v>
      </c>
      <c r="DT31" s="59">
        <f ca="1">AVERAGE(OFFSET($DS$3,0,0,'Données projet'!$E$14+1,1))-AVERAGE(OFFSET($H$3,0,0,'Données projet'!$E$14+1,1))</f>
        <v>261.22357949323879</v>
      </c>
      <c r="DU31" s="59">
        <f t="shared" si="44"/>
        <v>163.41029152029387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6.5</v>
      </c>
      <c r="EJ31" s="12">
        <f>IF('Données projet'!$A$192&gt;35,EJ30+EI31-ER30,IF(A31&lt;'Données projet'!$A$192,$EG$205^A31,IF(A31='Données projet'!$A$192,'Données projet'!$B$192,EJ30+EI31-ER30)))</f>
        <v>160.1</v>
      </c>
      <c r="EK31" s="17">
        <f>EJ31*VLOOKUP('Données projet'!$B$15,Paramètres!$A$1:$I$89,3,0)*VLOOKUP('Données projet'!$B$15,Paramètres!$A$1:$I$89,5,0)</f>
        <v>74.9268</v>
      </c>
      <c r="EL31" s="13">
        <f t="shared" si="45"/>
        <v>20.892070444276687</v>
      </c>
      <c r="EM31" s="20">
        <f t="shared" si="19"/>
        <v>166.88453269044854</v>
      </c>
      <c r="EN31" s="59">
        <f t="shared" si="20"/>
        <v>460.21786602378188</v>
      </c>
      <c r="EO31" s="59">
        <f ca="1">AVERAGE(OFFSET($EN$3,0,0,'Données projet'!$E$15+1,1))-AVERAGE(OFFSET($H$3,0,0,'Données projet'!$E$15+1,1))</f>
        <v>123.60520571614535</v>
      </c>
      <c r="EP31" s="59">
        <f t="shared" si="46"/>
        <v>119.00926870519527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0.93996793175318727</v>
      </c>
      <c r="EX31" s="21">
        <f>EXP(-LN(2)/2)*EX30+(1-EXP(-LN(2)/2))/(LN(2)/2)*ER31*EU31*VLOOKUP('Données projet'!$B$15,Paramètres!$A$1:$I$89,3,0)*0.475*44/12</f>
        <v>0.11425639172413957</v>
      </c>
      <c r="EY31" s="22">
        <f t="shared" si="21"/>
        <v>1.0542243234773268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9.9</v>
      </c>
      <c r="FE31" s="12">
        <f>IF('Données projet'!$A$218&gt;35,FE30+FD31-FM30,IF(A31&lt;'Données projet'!$A$218,$FB$205^A31,IF(A31='Données projet'!$A$218,'Données projet'!$B$218,FE30+FD31-FM30)))</f>
        <v>115.20000000000003</v>
      </c>
      <c r="FF31" s="17">
        <f>FE31*VLOOKUP('Données projet'!$B$16,Paramètres!$A$1:$I$89,3,0)*VLOOKUP('Données projet'!$B$16,Paramètres!$A$1:$I$89,5,0)</f>
        <v>84.464640000000017</v>
      </c>
      <c r="FG31" s="13">
        <f t="shared" si="47"/>
        <v>23.225337718637984</v>
      </c>
      <c r="FH31" s="20">
        <f t="shared" si="22"/>
        <v>187.56004452662785</v>
      </c>
      <c r="FI31" s="59">
        <f t="shared" si="23"/>
        <v>480.89337785996116</v>
      </c>
      <c r="FJ31" s="59">
        <f ca="1">AVERAGE(OFFSET($FI$3,0,0,'Données projet'!$E$16+1,1))-AVERAGE(OFFSET($H$3,0,0,'Données projet'!$E$16+1,1))</f>
        <v>124.15919323713428</v>
      </c>
      <c r="FK31" s="59">
        <f t="shared" si="48"/>
        <v>157.85954678210715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1.4600050867931857</v>
      </c>
      <c r="FS31" s="21">
        <f>EXP(-LN(2)/2)*FS30+(1-EXP(-LN(2)/2))/(LN(2)/2)*FM31*FP31*VLOOKUP('Données projet'!$B$16,Paramètres!$A$1:$I$89,3,0)*0.475*44/12</f>
        <v>0.22699488452440769</v>
      </c>
      <c r="FT31" s="22">
        <f t="shared" si="24"/>
        <v>1.6869999713175934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6.3</v>
      </c>
      <c r="N32" s="13">
        <f>IF('Données projet'!$A$36&gt;35,N31+M32-V31,IF(A32&lt;'Données projet'!$A$36,$K$205^A32,IF(A32='Données projet'!$A$36,'Données projet'!$B$36,N31+M32-V31)))</f>
        <v>98.699999999999974</v>
      </c>
      <c r="O32" s="13">
        <f>N32*VLOOKUP('Données projet'!$B$9,Paramètres!$A$1:$I$89,3,0)*VLOOKUP('Données projet'!$B$9,Paramètres!$A$1:$I$89,5,0)</f>
        <v>89.303759999999968</v>
      </c>
      <c r="P32" s="13">
        <f t="shared" si="33"/>
        <v>24.397232850954325</v>
      </c>
      <c r="Q32" s="20">
        <f t="shared" si="2"/>
        <v>198.02922921541202</v>
      </c>
      <c r="R32" s="59">
        <f t="shared" si="0"/>
        <v>491.36256254874536</v>
      </c>
      <c r="S32" s="59">
        <f ca="1">AVERAGE(OFFSET($R$3,0,0,'Données projet'!$E$9+1,1))-AVERAGE(OFFSET($H$3,0,0,'Données projet'!$E$9+1,1))</f>
        <v>237.22177246688199</v>
      </c>
      <c r="T32" s="59">
        <f t="shared" si="34"/>
        <v>149.27472147904302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10.199999999999999</v>
      </c>
      <c r="AI32" s="13">
        <f>IF('Données projet'!$A$62&gt;35,AI31+AH32-AQ31,IF(A32&lt;'Données projet'!$A$62,$AF$205^A32,IF(A32='Données projet'!$A$62,'Données projet'!$B$62,AI31+AH32-AQ31)))</f>
        <v>164.79999999999998</v>
      </c>
      <c r="AJ32" s="13">
        <f>AI32*VLOOKUP('Données projet'!$B$10,Paramètres!$A$1:$I$89,3,0)*VLOOKUP('Données projet'!$B$10,Paramètres!$A$1:$I$89,5,0)</f>
        <v>143.96928</v>
      </c>
      <c r="AK32" s="13">
        <f t="shared" si="35"/>
        <v>37.20482696787677</v>
      </c>
      <c r="AL32" s="20">
        <f t="shared" si="4"/>
        <v>315.54490296905198</v>
      </c>
      <c r="AM32" s="59">
        <f t="shared" si="5"/>
        <v>608.87823630238529</v>
      </c>
      <c r="AN32" s="59">
        <f ca="1">AVERAGE(OFFSET($AM$3,0,0,'Données projet'!$E$10+1,1))-AVERAGE(OFFSET($H$3,0,0,'Données projet'!$E$10+1,1))</f>
        <v>191.94797389630673</v>
      </c>
      <c r="AO32" s="59">
        <f t="shared" si="36"/>
        <v>273.52540822767878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2.578303402515056</v>
      </c>
      <c r="AW32" s="21">
        <f>EXP(-LN(2)/2)*AW31+(1-EXP(-LN(2)/2))/(LN(2)/2)*AQ32*AT32*VLOOKUP('Données projet'!$B$10,Paramètres!$A$1:$I$89,3,0)*0.475*44/12</f>
        <v>0.29142172530721777</v>
      </c>
      <c r="AX32" s="21">
        <f t="shared" si="6"/>
        <v>2.8697251278222735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8</v>
      </c>
      <c r="BD32" s="12">
        <f>IF('Données projet'!$A$88&gt;35,BD31+BC32-BL31,IF(A32&lt;'Données projet'!$A$88,$BA$205^A32,IF(A32='Données projet'!$A$88,'Données projet'!$B$88,BD31+BC32-BL31)))</f>
        <v>103</v>
      </c>
      <c r="BE32" s="13">
        <f>BD32*VLOOKUP('Données projet'!$B$11,Paramètres!$A$1:$I$89,3,0)*VLOOKUP('Données projet'!$B$11,Paramètres!$A$1:$I$89,5,0)</f>
        <v>61.594000000000008</v>
      </c>
      <c r="BF32" s="13">
        <f t="shared" si="37"/>
        <v>17.570665168564613</v>
      </c>
      <c r="BG32" s="20">
        <f t="shared" si="7"/>
        <v>137.8784585019167</v>
      </c>
      <c r="BH32" s="59">
        <f t="shared" si="8"/>
        <v>431.21179183524998</v>
      </c>
      <c r="BI32" s="59">
        <f ca="1">AVERAGE(OFFSET($BH$3,0,0,'Données projet'!$E$11+1,1))-AVERAGE(OFFSET($H$3,0,0,'Données projet'!$E$11+1,1))</f>
        <v>72.647148358003676</v>
      </c>
      <c r="BJ32" s="59">
        <f t="shared" si="38"/>
        <v>87.231299224620898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1.2979323920818318</v>
      </c>
      <c r="BQ32" s="21">
        <f>EXP(-LN(2)/25)*BQ31+(1-EXP(-LN(2)/25))/(LN(2)/25)*Calculateur!BL32*Calculateur!BN32*VLOOKUP('Données projet'!$B$11,Paramètres!$A$1:$I$89,3,0)*0.475*44/12</f>
        <v>4.65851529360752</v>
      </c>
      <c r="BR32" s="21">
        <f>EXP(-LN(2)/2)*BR31+(1-EXP(-LN(2)/2))/(LN(2)/2)*BL32*BO32*VLOOKUP('Données projet'!$B$11,Paramètres!$A$1:$I$89,3,0)*0.475*44/12</f>
        <v>3.2256742219942636</v>
      </c>
      <c r="BS32" s="22">
        <f t="shared" si="9"/>
        <v>9.1821219076836158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10.199999999999999</v>
      </c>
      <c r="BY32" s="12">
        <f>IF('Données projet'!$A$114&gt;35,BY31+BX32-CG31,IF(A32&lt;'Données projet'!$A$114,$BV$205^A32,IF(A32='Données projet'!$A$114,'Données projet'!$B$114,BY31+BX32-CG31)))</f>
        <v>153.79999999999998</v>
      </c>
      <c r="BZ32" s="13">
        <f>BY32*VLOOKUP('Données projet'!$B$12,Paramètres!$A$1:$I$89,3,0)*VLOOKUP('Données projet'!$B$12,Paramètres!$A$1:$I$89,5,0)</f>
        <v>91.972399999999993</v>
      </c>
      <c r="CA32" s="13">
        <f t="shared" si="39"/>
        <v>25.040318527820091</v>
      </c>
      <c r="CB32" s="20">
        <f t="shared" si="10"/>
        <v>203.79715143595331</v>
      </c>
      <c r="CC32" s="59">
        <f t="shared" si="11"/>
        <v>497.13048476928662</v>
      </c>
      <c r="CD32" s="59">
        <f ca="1">AVERAGE(OFFSET($CC$3,0,0,'Données projet'!$E$12+1,1))-AVERAGE(OFFSET($H$3,0,0,'Données projet'!$E$12+1,1))</f>
        <v>165.39579887388538</v>
      </c>
      <c r="CE32" s="59">
        <f t="shared" si="40"/>
        <v>155.89639262545802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14.2</v>
      </c>
      <c r="CT32" s="12">
        <f>IF('Données projet'!$A$140&gt;35,CT31+CS32-DB31,IF(A32&lt;'Données projet'!$A$140,$CQ$205^A32,IF(A32='Données projet'!$A$140,'Données projet'!$B$140,CT31+CS32-DB31)))</f>
        <v>117.80000000000001</v>
      </c>
      <c r="CU32" s="17">
        <f>CT32*VLOOKUP('Données projet'!$B$13,Paramètres!$A$1:$I$89,3,0)*VLOOKUP('Données projet'!$B$13,Paramètres!$A$1:$I$89,5,0)</f>
        <v>91.884000000000015</v>
      </c>
      <c r="CV32" s="13">
        <f t="shared" si="41"/>
        <v>25.019051117801563</v>
      </c>
      <c r="CW32" s="20">
        <f t="shared" si="13"/>
        <v>203.60614736350442</v>
      </c>
      <c r="CX32" s="59">
        <f t="shared" si="14"/>
        <v>496.93948069683773</v>
      </c>
      <c r="CY32" s="59">
        <f ca="1">AVERAGE(OFFSET($CX$3,0,0,'Données projet'!$E$13+1,1))-AVERAGE(OFFSET($H$3,0,0,'Données projet'!$E$13+1,1))</f>
        <v>190.06335940156185</v>
      </c>
      <c r="CZ32" s="59">
        <f t="shared" si="42"/>
        <v>166.43663896839928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2.3138225602752365</v>
      </c>
      <c r="DH32" s="21">
        <f>EXP(-LN(2)/2)*DH31+(1-EXP(-LN(2)/2))/(LN(2)/2)*DB32*DE32*VLOOKUP('Données projet'!$B$13,Paramètres!$A$1:$I$89,3,0)*0.475*44/12</f>
        <v>1.2879142384363556</v>
      </c>
      <c r="DI32" s="22">
        <f t="shared" si="15"/>
        <v>3.6017367987115918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6.3</v>
      </c>
      <c r="DO32" s="12">
        <f>IF('Données projet'!$A$166&gt;35,DO31+DN32-DW31,IF(A32&lt;'Données projet'!$A$166,$DL$205^A32,IF(A32='Données projet'!$A$166,'Données projet'!$B$166,DO31+DN32-DW31)))</f>
        <v>98.699999999999974</v>
      </c>
      <c r="DP32" s="17">
        <f>DO32*VLOOKUP('Données projet'!$B$14,Paramètres!$A$1:$I$89,3,0)*VLOOKUP('Données projet'!$B$14,Paramètres!$A$1:$I$89,5,0)</f>
        <v>95.462639999999979</v>
      </c>
      <c r="DQ32" s="13">
        <f t="shared" si="43"/>
        <v>25.878130159770908</v>
      </c>
      <c r="DR32" s="20">
        <f t="shared" si="16"/>
        <v>211.33517469493427</v>
      </c>
      <c r="DS32" s="59">
        <f t="shared" si="17"/>
        <v>504.66850802826758</v>
      </c>
      <c r="DT32" s="59">
        <f ca="1">AVERAGE(OFFSET($DS$3,0,0,'Données projet'!$E$14+1,1))-AVERAGE(OFFSET($H$3,0,0,'Données projet'!$E$14+1,1))</f>
        <v>261.22357949323879</v>
      </c>
      <c r="DU32" s="59">
        <f t="shared" si="44"/>
        <v>163.41029152029387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6.5</v>
      </c>
      <c r="EJ32" s="12">
        <f>IF('Données projet'!$A$192&gt;35,EJ31+EI32-ER31,IF(A32&lt;'Données projet'!$A$192,$EG$205^A32,IF(A32='Données projet'!$A$192,'Données projet'!$B$192,EJ31+EI32-ER31)))</f>
        <v>166.6</v>
      </c>
      <c r="EK32" s="17">
        <f>EJ32*VLOOKUP('Données projet'!$B$15,Paramètres!$A$1:$I$89,3,0)*VLOOKUP('Données projet'!$B$15,Paramètres!$A$1:$I$89,5,0)</f>
        <v>77.968800000000002</v>
      </c>
      <c r="EL32" s="13">
        <f t="shared" si="45"/>
        <v>21.63980425794859</v>
      </c>
      <c r="EM32" s="20">
        <f t="shared" si="19"/>
        <v>173.48498574926046</v>
      </c>
      <c r="EN32" s="59">
        <f t="shared" si="20"/>
        <v>466.8183190825938</v>
      </c>
      <c r="EO32" s="59">
        <f ca="1">AVERAGE(OFFSET($EN$3,0,0,'Données projet'!$E$15+1,1))-AVERAGE(OFFSET($H$3,0,0,'Données projet'!$E$15+1,1))</f>
        <v>123.60520571614535</v>
      </c>
      <c r="EP32" s="59">
        <f t="shared" si="46"/>
        <v>119.00926870519527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0.9142644592286312</v>
      </c>
      <c r="EX32" s="21">
        <f>EXP(-LN(2)/2)*EX31+(1-EXP(-LN(2)/2))/(LN(2)/2)*ER32*EU32*VLOOKUP('Données projet'!$B$15,Paramètres!$A$1:$I$89,3,0)*0.475*44/12</f>
        <v>8.0791469382045622E-2</v>
      </c>
      <c r="EY32" s="22">
        <f t="shared" si="21"/>
        <v>0.99505592861067682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9.9</v>
      </c>
      <c r="FE32" s="12">
        <f>IF('Données projet'!$A$218&gt;35,FE31+FD32-FM31,IF(A32&lt;'Données projet'!$A$218,$FB$205^A32,IF(A32='Données projet'!$A$218,'Données projet'!$B$218,FE31+FD32-FM31)))</f>
        <v>125.10000000000004</v>
      </c>
      <c r="FF32" s="17">
        <f>FE32*VLOOKUP('Données projet'!$B$16,Paramètres!$A$1:$I$89,3,0)*VLOOKUP('Données projet'!$B$16,Paramètres!$A$1:$I$89,5,0)</f>
        <v>91.723320000000015</v>
      </c>
      <c r="FG32" s="13">
        <f t="shared" si="47"/>
        <v>24.980388371578837</v>
      </c>
      <c r="FH32" s="20">
        <f t="shared" si="22"/>
        <v>203.2589587471665</v>
      </c>
      <c r="FI32" s="59">
        <f t="shared" si="23"/>
        <v>496.59229208049982</v>
      </c>
      <c r="FJ32" s="59">
        <f ca="1">AVERAGE(OFFSET($FI$3,0,0,'Données projet'!$E$16+1,1))-AVERAGE(OFFSET($H$3,0,0,'Données projet'!$E$16+1,1))</f>
        <v>124.15919323713428</v>
      </c>
      <c r="FK32" s="59">
        <f t="shared" si="48"/>
        <v>157.85954678210715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1.4200811709164955</v>
      </c>
      <c r="FS32" s="21">
        <f>EXP(-LN(2)/2)*FS31+(1-EXP(-LN(2)/2))/(LN(2)/2)*FM32*FP32*VLOOKUP('Données projet'!$B$16,Paramètres!$A$1:$I$89,3,0)*0.475*44/12</f>
        <v>0.16050962214186598</v>
      </c>
      <c r="FT32" s="22">
        <f t="shared" si="24"/>
        <v>1.5805907930583616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105</v>
      </c>
      <c r="L33" s="12">
        <f>VLOOKUP(A33,'Données projet'!$A$35:$I$55,9,0)</f>
        <v>6.3</v>
      </c>
      <c r="M33" s="12">
        <f t="array" ref="M33">INDEX(L:L,MIN(IF(ISNUMBER(L33:L229),ROW(L33:L229),"")))</f>
        <v>6.3</v>
      </c>
      <c r="N33" s="13">
        <f>IF('Données projet'!$A$36&gt;35,N32+M33-V32,IF(A33&lt;'Données projet'!$A$36,$K$205^A33,IF(A33='Données projet'!$A$36,'Données projet'!$B$36,N32+M33-V32)))</f>
        <v>104.99999999999997</v>
      </c>
      <c r="O33" s="13">
        <f>N33*VLOOKUP('Données projet'!$B$9,Paramètres!$A$1:$I$89,3,0)*VLOOKUP('Données projet'!$B$9,Paramètres!$A$1:$I$89,5,0)</f>
        <v>95.003999999999962</v>
      </c>
      <c r="P33" s="13">
        <f t="shared" si="33"/>
        <v>25.768242550600764</v>
      </c>
      <c r="Q33" s="20">
        <f t="shared" si="2"/>
        <v>210.34498910896289</v>
      </c>
      <c r="R33" s="59">
        <f t="shared" si="0"/>
        <v>503.67832244229623</v>
      </c>
      <c r="S33" s="59">
        <f ca="1">AVERAGE(OFFSET($R$3,0,0,'Données projet'!$E$9+1,1))-AVERAGE(OFFSET($H$3,0,0,'Données projet'!$E$9+1,1))</f>
        <v>237.22177246688199</v>
      </c>
      <c r="T33" s="59">
        <f t="shared" si="34"/>
        <v>149.27472147904302</v>
      </c>
      <c r="U33" s="15">
        <f>IF(ISNA(VLOOKUP(A33,'Données projet'!$A$35:$I$55,3,0)),0,VLOOKUP(A33,'Données projet'!$A$35:$I$55,3,0))</f>
        <v>1</v>
      </c>
      <c r="V33" s="15">
        <f>IF(ISNA(VLOOKUP(A33,'Données projet'!$A$35:$I$55,4,0)),0,VLOOKUP(A33,'Données projet'!$A$35:$I$55,4,0))</f>
        <v>29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0.1075</v>
      </c>
      <c r="Y33" s="16">
        <f>IF(ISNA(VLOOKUP(A33,'Données projet'!$A$35:$I$55,7,0)),0%,VLOOKUP(A33,'Données projet'!$A$35:$I$55,7,0))</f>
        <v>0.25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3.1059381724899082</v>
      </c>
      <c r="AB33" s="21">
        <f>EXP(-LN(2)/2)*AB32+(1-EXP(-LN(2)/2))/(LN(2)/2)*V33*Y33*VLOOKUP('Données projet'!$B$9,Paramètres!$A$1:$I$89,3,0)*0.475*44/12</f>
        <v>6.1893478544284255</v>
      </c>
      <c r="AC33" s="22">
        <f t="shared" si="3"/>
        <v>9.2952860269183333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175</v>
      </c>
      <c r="AG33" s="12">
        <f>VLOOKUP(A33,'Données projet'!$A$61:$I$81,9,0)</f>
        <v>10.199999999999999</v>
      </c>
      <c r="AH33" s="12">
        <f t="array" ref="AH33">INDEX(AG:AG,MIN(IF(ISNUMBER(AG33:AG229),ROW(AG33:AG229),"")))</f>
        <v>10.199999999999999</v>
      </c>
      <c r="AI33" s="13">
        <f>IF('Données projet'!$A$62&gt;35,AI32+AH33-AQ32,IF(A33&lt;'Données projet'!$A$62,$AF$205^A33,IF(A33='Données projet'!$A$62,'Données projet'!$B$62,AI32+AH33-AQ32)))</f>
        <v>174.99999999999997</v>
      </c>
      <c r="AJ33" s="13">
        <f>AI33*VLOOKUP('Données projet'!$B$10,Paramètres!$A$1:$I$89,3,0)*VLOOKUP('Données projet'!$B$10,Paramètres!$A$1:$I$89,5,0)</f>
        <v>152.88</v>
      </c>
      <c r="AK33" s="13">
        <f t="shared" si="35"/>
        <v>39.232349774697852</v>
      </c>
      <c r="AL33" s="20">
        <f t="shared" si="4"/>
        <v>334.59567585759874</v>
      </c>
      <c r="AM33" s="59">
        <f t="shared" si="5"/>
        <v>627.92900919093199</v>
      </c>
      <c r="AN33" s="59">
        <f ca="1">AVERAGE(OFFSET($AM$3,0,0,'Données projet'!$E$10+1,1))-AVERAGE(OFFSET($H$3,0,0,'Données projet'!$E$10+1,1))</f>
        <v>191.94797389630673</v>
      </c>
      <c r="AO33" s="59">
        <f t="shared" si="36"/>
        <v>273.52540822767878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62</v>
      </c>
      <c r="AR33" s="16">
        <f>IF(ISNA(VLOOKUP(A33,'Données projet'!$A$61:$I$81,5,0)),0%,VLOOKUP(A33,'Données projet'!$A$61:$I$81,5,0)*VLOOKUP('Données projet'!$B$10,Paramètres!$A$1:$I$89,7,0))</f>
        <v>4.3000000000000003E-2</v>
      </c>
      <c r="AS33" s="16">
        <f>IF(ISNA(VLOOKUP(A33,'Données projet'!$A$61:$I$81,6,0)),0%,VLOOKUP(A33,'Données projet'!$A$61:$I$81,6,0)*VLOOKUP('Données projet'!$B$10,Paramètres!$A$1:$I$89,7,0))</f>
        <v>0.19350000000000001</v>
      </c>
      <c r="AT33" s="16">
        <f>IF(ISNA(VLOOKUP(A33,'Données projet'!$A$61:$I$81,7,0)),0%,VLOOKUP(A33,'Données projet'!$A$61:$I$81,7,0))</f>
        <v>0.45</v>
      </c>
      <c r="AU33" s="21">
        <f>EXP(-LN(2)/35)*AU32+(1-EXP(-LN(2)/35))/(LN(2)/35)*AQ33*AR33*VLOOKUP('Données projet'!$B$10,Paramètres!$A$1:$I$89,3,0)*0.475*44/12</f>
        <v>2.5746599702109214</v>
      </c>
      <c r="AV33" s="21">
        <f>EXP(-LN(2)/25)*AV32+(1-EXP(-LN(2)/25))/(LN(2)/25)*Calculateur!AQ33*Calculateur!AS33*VLOOKUP('Données projet'!$B$10,Paramètres!$A$1:$I$89,3,0)*0.475*44/12</f>
        <v>14.048151048372484</v>
      </c>
      <c r="AW33" s="21">
        <f>EXP(-LN(2)/2)*AW32+(1-EXP(-LN(2)/2))/(LN(2)/2)*AQ33*AT33*VLOOKUP('Données projet'!$B$10,Paramètres!$A$1:$I$89,3,0)*0.475*44/12</f>
        <v>23.203062919669375</v>
      </c>
      <c r="AX33" s="21">
        <f t="shared" si="6"/>
        <v>39.825873938252784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8</v>
      </c>
      <c r="BD33" s="12">
        <f>IF('Données projet'!$A$88&gt;35,BD32+BC33-BL32,IF(A33&lt;'Données projet'!$A$88,$BA$205^A33,IF(A33='Données projet'!$A$88,'Données projet'!$B$88,BD32+BC33-BL32)))</f>
        <v>111</v>
      </c>
      <c r="BE33" s="13">
        <f>BD33*VLOOKUP('Données projet'!$B$11,Paramètres!$A$1:$I$89,3,0)*VLOOKUP('Données projet'!$B$11,Paramètres!$A$1:$I$89,5,0)</f>
        <v>66.378</v>
      </c>
      <c r="BF33" s="13">
        <f t="shared" si="37"/>
        <v>18.771224988253085</v>
      </c>
      <c r="BG33" s="20">
        <f t="shared" si="7"/>
        <v>148.30156685454077</v>
      </c>
      <c r="BH33" s="59">
        <f t="shared" si="8"/>
        <v>441.63490018787411</v>
      </c>
      <c r="BI33" s="59">
        <f ca="1">AVERAGE(OFFSET($BH$3,0,0,'Données projet'!$E$11+1,1))-AVERAGE(OFFSET($H$3,0,0,'Données projet'!$E$11+1,1))</f>
        <v>72.647148358003676</v>
      </c>
      <c r="BJ33" s="59">
        <f t="shared" si="38"/>
        <v>87.231299224620898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1.2724807295336962</v>
      </c>
      <c r="BQ33" s="21">
        <f>EXP(-LN(2)/25)*BQ32+(1-EXP(-LN(2)/25))/(LN(2)/25)*Calculateur!BL33*Calculateur!BN33*VLOOKUP('Données projet'!$B$11,Paramètres!$A$1:$I$89,3,0)*0.475*44/12</f>
        <v>4.5311279479231503</v>
      </c>
      <c r="BR33" s="21">
        <f>EXP(-LN(2)/2)*BR32+(1-EXP(-LN(2)/2))/(LN(2)/2)*BL33*BO33*VLOOKUP('Données projet'!$B$11,Paramètres!$A$1:$I$89,3,0)*0.475*44/12</f>
        <v>2.2808961162707848</v>
      </c>
      <c r="BS33" s="22">
        <f t="shared" si="9"/>
        <v>8.084504793727632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164</v>
      </c>
      <c r="BW33" s="12">
        <f>VLOOKUP(A33,'Données projet'!$A$113:$I$133,9,0)</f>
        <v>10.199999999999999</v>
      </c>
      <c r="BX33" s="12">
        <f t="array" ref="BX33">INDEX(BW:BW,MIN(IF(ISNUMBER(BW33:BW229),ROW(BW33:BW229),"")))</f>
        <v>10.199999999999999</v>
      </c>
      <c r="BY33" s="12">
        <f>IF('Données projet'!$A$114&gt;35,BY32+BX33-CG32,IF(A33&lt;'Données projet'!$A$114,$BV$205^A33,IF(A33='Données projet'!$A$114,'Données projet'!$B$114,BY32+BX33-CG32)))</f>
        <v>163.99999999999997</v>
      </c>
      <c r="BZ33" s="13">
        <f>BY33*VLOOKUP('Données projet'!$B$12,Paramètres!$A$1:$I$89,3,0)*VLOOKUP('Données projet'!$B$12,Paramètres!$A$1:$I$89,5,0)</f>
        <v>98.071999999999989</v>
      </c>
      <c r="CA33" s="13">
        <f t="shared" si="39"/>
        <v>26.50215899830313</v>
      </c>
      <c r="CB33" s="20">
        <f t="shared" si="10"/>
        <v>216.96666025537795</v>
      </c>
      <c r="CC33" s="59">
        <f t="shared" si="11"/>
        <v>510.29999358871123</v>
      </c>
      <c r="CD33" s="59">
        <f ca="1">AVERAGE(OFFSET($CC$3,0,0,'Données projet'!$E$12+1,1))-AVERAGE(OFFSET($H$3,0,0,'Données projet'!$E$12+1,1))</f>
        <v>165.39579887388538</v>
      </c>
      <c r="CE33" s="59">
        <f t="shared" si="40"/>
        <v>155.89639262545802</v>
      </c>
      <c r="CF33" s="15">
        <f>IF(ISNA(VLOOKUP(A33,'Données projet'!$A$113:$I$133,3,0)),0,VLOOKUP(A33,'Données projet'!$A$113:$I$133,3,0))</f>
        <v>1</v>
      </c>
      <c r="CG33" s="15">
        <f>IF(ISNA(VLOOKUP(A33,'Données projet'!$A$113:$I$133,4,0)),0,VLOOKUP(A33,'Données projet'!$A$113:$I$133,4,0))</f>
        <v>41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0.22500000000000001</v>
      </c>
      <c r="CJ33" s="16">
        <f>IF(ISNA(VLOOKUP(A33,'Données projet'!$A$113:$I$133,7,0)),0%,VLOOKUP(A33,'Données projet'!$A$113:$I$133,7,0))</f>
        <v>0.5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7.2892451593954739</v>
      </c>
      <c r="CM33" s="21">
        <f>EXP(-LN(2)/2)*CM32+(1-EXP(-LN(2)/2))/(LN(2)/2)*CG33*CJ33*VLOOKUP('Données projet'!$B$12,Paramètres!$A$1:$I$89,3,0)*0.475*44/12</f>
        <v>13.880035735376948</v>
      </c>
      <c r="CN33" s="22">
        <f t="shared" si="12"/>
        <v>21.16928089477242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132</v>
      </c>
      <c r="CR33" s="12">
        <f>VLOOKUP(A33,'Données projet'!$A$139:$I$159,9,0)</f>
        <v>14.2</v>
      </c>
      <c r="CS33" s="12">
        <f t="array" ref="CS33">INDEX(CR:CR,MIN(IF(ISNUMBER(CR33:CR229),ROW(CR33:CR229),"")))</f>
        <v>14.2</v>
      </c>
      <c r="CT33" s="12">
        <f>IF('Données projet'!$A$140&gt;35,CT32+CS33-DB32,IF(A33&lt;'Données projet'!$A$140,$CQ$205^A33,IF(A33='Données projet'!$A$140,'Données projet'!$B$140,CT32+CS33-DB32)))</f>
        <v>132</v>
      </c>
      <c r="CU33" s="17">
        <f>CT33*VLOOKUP('Données projet'!$B$13,Paramètres!$A$1:$I$89,3,0)*VLOOKUP('Données projet'!$B$13,Paramètres!$A$1:$I$89,5,0)</f>
        <v>102.96000000000001</v>
      </c>
      <c r="CV33" s="13">
        <f t="shared" si="41"/>
        <v>27.665975080374633</v>
      </c>
      <c r="CW33" s="20">
        <f t="shared" si="13"/>
        <v>227.50690659831915</v>
      </c>
      <c r="CX33" s="59">
        <f t="shared" si="14"/>
        <v>520.84023993165249</v>
      </c>
      <c r="CY33" s="59">
        <f ca="1">AVERAGE(OFFSET($CX$3,0,0,'Données projet'!$E$13+1,1))-AVERAGE(OFFSET($H$3,0,0,'Données projet'!$E$13+1,1))</f>
        <v>190.06335940156185</v>
      </c>
      <c r="CZ33" s="59">
        <f t="shared" si="42"/>
        <v>166.43663896839928</v>
      </c>
      <c r="DA33" s="15">
        <f>IF(ISNA(VLOOKUP(A33,'Données projet'!$A$139:$I$159,3,0)),0,VLOOKUP(A33,'Données projet'!$A$139:$I$159,3,0))</f>
        <v>2</v>
      </c>
      <c r="DB33" s="15">
        <f>IF(ISNA(VLOOKUP(A33,'Données projet'!$A$139:$I$159,4,0)),0,VLOOKUP(A33,'Données projet'!$A$139:$I$159,4,0))</f>
        <v>24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0.1075</v>
      </c>
      <c r="DE33" s="16">
        <f>IF(ISNA(VLOOKUP(A33,'Données projet'!$A$139:$I$159,7,0)),0%,VLOOKUP(A33,'Données projet'!$A$139:$I$159,7,0))</f>
        <v>0.25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4.4664402632946043</v>
      </c>
      <c r="DH33" s="21">
        <f>EXP(-LN(2)/2)*DH32+(1-EXP(-LN(2)/2))/(LN(2)/2)*DB33*DE33*VLOOKUP('Données projet'!$B$13,Paramètres!$A$1:$I$89,3,0)*0.475*44/12</f>
        <v>5.3263988519382721</v>
      </c>
      <c r="DI33" s="22">
        <f t="shared" si="15"/>
        <v>9.7928391152328764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105</v>
      </c>
      <c r="DM33" s="12">
        <f>VLOOKUP(A33,'Données projet'!$A$165:$I$185,9,0)</f>
        <v>6.3</v>
      </c>
      <c r="DN33" s="12">
        <f t="array" ref="DN33">INDEX(DM:DM,MIN(IF(ISNUMBER(DM33:DM229),ROW(DM33:DM229),"")))</f>
        <v>6.3</v>
      </c>
      <c r="DO33" s="12">
        <f>IF('Données projet'!$A$166&gt;35,DO32+DN33-DW32,IF(A33&lt;'Données projet'!$A$166,$DL$205^A33,IF(A33='Données projet'!$A$166,'Données projet'!$B$166,DO32+DN33-DW32)))</f>
        <v>104.99999999999997</v>
      </c>
      <c r="DP33" s="17">
        <f>DO33*VLOOKUP('Données projet'!$B$14,Paramètres!$A$1:$I$89,3,0)*VLOOKUP('Données projet'!$B$14,Paramètres!$A$1:$I$89,5,0)</f>
        <v>101.55599999999997</v>
      </c>
      <c r="DQ33" s="13">
        <f t="shared" si="43"/>
        <v>27.332359320696909</v>
      </c>
      <c r="DR33" s="20">
        <f t="shared" si="16"/>
        <v>224.48055915021371</v>
      </c>
      <c r="DS33" s="59">
        <f t="shared" si="17"/>
        <v>517.81389248354708</v>
      </c>
      <c r="DT33" s="59">
        <f ca="1">AVERAGE(OFFSET($DS$3,0,0,'Données projet'!$E$14+1,1))-AVERAGE(OFFSET($H$3,0,0,'Données projet'!$E$14+1,1))</f>
        <v>261.22357949323879</v>
      </c>
      <c r="DU33" s="59">
        <f t="shared" si="44"/>
        <v>163.41029152029387</v>
      </c>
      <c r="DV33" s="15">
        <f>IF(ISNA(VLOOKUP(A33,'Données projet'!$A$165:$I$185,3,0)),0,VLOOKUP(A33,'Données projet'!$A$165:$I$185,3,0))</f>
        <v>1</v>
      </c>
      <c r="DW33" s="15">
        <f>IF(ISNA(VLOOKUP(A33,'Données projet'!$A$165:$I$185,4,0)),0,VLOOKUP(A33,'Données projet'!$A$165:$I$185,4,0))</f>
        <v>29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0.1075</v>
      </c>
      <c r="DZ33" s="16">
        <f>IF(ISNA(VLOOKUP(A33,'Données projet'!$A$165:$I$185,7,0)),0%,VLOOKUP(A33,'Données projet'!$A$165:$I$185,7,0))</f>
        <v>0.25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3.3201408050754195</v>
      </c>
      <c r="EC33" s="21">
        <f>EXP(-LN(2)/2)*EC32+(1-EXP(-LN(2)/2))/(LN(2)/2)*DW33*DZ33*VLOOKUP('Données projet'!$B$14,Paramètres!$A$1:$I$89,3,0)*0.475*44/12</f>
        <v>6.6161994305959029</v>
      </c>
      <c r="ED33" s="22">
        <f t="shared" si="18"/>
        <v>9.936340235671322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173.1</v>
      </c>
      <c r="EH33" s="12">
        <f>VLOOKUP(A33,'Données projet'!$A$191:$I$211,9,0)</f>
        <v>6.5</v>
      </c>
      <c r="EI33" s="12">
        <f t="array" ref="EI33">INDEX(EH:EH,MIN(IF(ISNUMBER(EH33:EH229),ROW(EH33:EH229),"")))</f>
        <v>6.5</v>
      </c>
      <c r="EJ33" s="12">
        <f>IF('Données projet'!$A$192&gt;35,EJ32+EI33-ER32,IF(A33&lt;'Données projet'!$A$192,$EG$205^A33,IF(A33='Données projet'!$A$192,'Données projet'!$B$192,EJ32+EI33-ER32)))</f>
        <v>173.1</v>
      </c>
      <c r="EK33" s="17">
        <f>EJ33*VLOOKUP('Données projet'!$B$15,Paramètres!$A$1:$I$89,3,0)*VLOOKUP('Données projet'!$B$15,Paramètres!$A$1:$I$89,5,0)</f>
        <v>81.010800000000003</v>
      </c>
      <c r="EL33" s="13">
        <f t="shared" si="45"/>
        <v>22.384149091932141</v>
      </c>
      <c r="EM33" s="20">
        <f t="shared" si="19"/>
        <v>180.07953633511514</v>
      </c>
      <c r="EN33" s="59">
        <f t="shared" si="20"/>
        <v>473.41286966844848</v>
      </c>
      <c r="EO33" s="59">
        <f ca="1">AVERAGE(OFFSET($EN$3,0,0,'Données projet'!$E$15+1,1))-AVERAGE(OFFSET($H$3,0,0,'Données projet'!$E$15+1,1))</f>
        <v>123.60520571614535</v>
      </c>
      <c r="EP33" s="59">
        <f t="shared" si="46"/>
        <v>119.00926870519527</v>
      </c>
      <c r="EQ33" s="15">
        <f>IF(ISNA(VLOOKUP(A33,'Données projet'!$A$191:$I$211,3,0)),0,VLOOKUP(A33,'Données projet'!$A$191:$I$211,3,0))</f>
        <v>2</v>
      </c>
      <c r="ER33" s="15">
        <f>IF(ISNA(VLOOKUP(A33,'Données projet'!$A$191:$I$211,4,0)),0,VLOOKUP(A33,'Données projet'!$A$191:$I$211,4,0))</f>
        <v>25.4</v>
      </c>
      <c r="ES33" s="16">
        <f>IF(ISNA(VLOOKUP(A33,'Données projet'!$A$191:$I$211,5,0)),0%,VLOOKUP(A33,'Données projet'!$A$191:$I$211,5,0)*VLOOKUP('Données projet'!$B$15,Paramètres!$A$1:$I$89,7,0))</f>
        <v>5.5000000000000007E-2</v>
      </c>
      <c r="ET33" s="16">
        <f>IF(ISNA(VLOOKUP(A33,'Données projet'!$A$191:$I$211,6,0)),0%,VLOOKUP(A33,'Données projet'!$A$191:$I$211,6,0)*VLOOKUP('Données projet'!$B$15,Paramètres!$A$1:$I$89,7,0))</f>
        <v>0.24750000000000003</v>
      </c>
      <c r="EU33" s="16">
        <f>IF(ISNA(VLOOKUP(A33,'Données projet'!$A$191:$I$211,7,0)),0%,VLOOKUP(A33,'Données projet'!$A$191:$I$211,7,0))</f>
        <v>0.45</v>
      </c>
      <c r="EV33" s="21">
        <f>EXP(-LN(2)/35)*EV32+(1-EXP(-LN(2)/35))/(LN(2)/35)*ER33*ES33*VLOOKUP('Données projet'!$B$15,Paramètres!$A$1:$I$89,3,0)*0.475*44/12</f>
        <v>0.86730253470854979</v>
      </c>
      <c r="EW33" s="21">
        <f>EXP(-LN(2)/25)*EW32+(1-EXP(-LN(2)/25))/(LN(2)/25)*Calculateur!ER33*Calculateur!ET33*VLOOKUP('Données projet'!$B$15,Paramètres!$A$1:$I$89,3,0)*0.475*44/12</f>
        <v>4.7767582032374722</v>
      </c>
      <c r="EX33" s="21">
        <f>EXP(-LN(2)/2)*EX32+(1-EXP(-LN(2)/2))/(LN(2)/2)*ER33*EU33*VLOOKUP('Données projet'!$B$15,Paramètres!$A$1:$I$89,3,0)*0.475*44/12</f>
        <v>6.1137104910825419</v>
      </c>
      <c r="EY33" s="22">
        <f t="shared" si="21"/>
        <v>11.757771229028563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135</v>
      </c>
      <c r="FC33" s="12">
        <f>VLOOKUP(A33,'Données projet'!$A$217:$I$237,9,0)</f>
        <v>9.9</v>
      </c>
      <c r="FD33" s="12">
        <f t="array" ref="FD33">INDEX(FC:FC,MIN(IF(ISNUMBER(FC33:FC229),ROW(FC33:FC229),"")))</f>
        <v>9.9</v>
      </c>
      <c r="FE33" s="12">
        <f>IF('Données projet'!$A$218&gt;35,FE32+FD33-FM32,IF(A33&lt;'Données projet'!$A$218,$FB$205^A33,IF(A33='Données projet'!$A$218,'Données projet'!$B$218,FE32+FD33-FM32)))</f>
        <v>135.00000000000003</v>
      </c>
      <c r="FF33" s="17">
        <f>FE33*VLOOKUP('Données projet'!$B$16,Paramètres!$A$1:$I$89,3,0)*VLOOKUP('Données projet'!$B$16,Paramètres!$A$1:$I$89,5,0)</f>
        <v>98.982000000000014</v>
      </c>
      <c r="FG33" s="13">
        <f t="shared" si="47"/>
        <v>26.719328849010743</v>
      </c>
      <c r="FH33" s="20">
        <f t="shared" si="22"/>
        <v>218.92981441202707</v>
      </c>
      <c r="FI33" s="59">
        <f t="shared" si="23"/>
        <v>512.26314774536036</v>
      </c>
      <c r="FJ33" s="59">
        <f ca="1">AVERAGE(OFFSET($FI$3,0,0,'Données projet'!$E$16+1,1))-AVERAGE(OFFSET($H$3,0,0,'Données projet'!$E$16+1,1))</f>
        <v>124.15919323713428</v>
      </c>
      <c r="FK33" s="59">
        <f t="shared" si="48"/>
        <v>157.85954678210715</v>
      </c>
      <c r="FL33" s="15">
        <f>IF(ISNA(VLOOKUP(A33,'Données projet'!$A$217:$I$237,3,0)),0,VLOOKUP(A33,'Données projet'!$A$217:$I$237,3,0))</f>
        <v>2</v>
      </c>
      <c r="FM33" s="15">
        <f>IF(ISNA(VLOOKUP(A33,'Données projet'!$A$217:$I$237,4,0)),0,VLOOKUP(A33,'Données projet'!$A$217:$I$237,4,0))</f>
        <v>42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0.1075</v>
      </c>
      <c r="FP33" s="16">
        <f>IF(ISNA(VLOOKUP(A33,'Données projet'!$A$217:$I$237,7,0)),0%,VLOOKUP(A33,'Données projet'!$A$217:$I$237,7,0))</f>
        <v>0.25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5.0263868794103264</v>
      </c>
      <c r="FS33" s="21">
        <f>EXP(-LN(2)/2)*FS32+(1-EXP(-LN(2)/2))/(LN(2)/2)*FM33*FP33*VLOOKUP('Données projet'!$B$16,Paramètres!$A$1:$I$89,3,0)*0.475*44/12</f>
        <v>7.3773337470432443</v>
      </c>
      <c r="FT33" s="22">
        <f t="shared" si="24"/>
        <v>12.40372062645357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8.1999999999999993</v>
      </c>
      <c r="N34" s="13">
        <f>IF('Données projet'!$A$36&gt;35,N33+M34-V33,IF(A34&lt;'Données projet'!$A$36,$K$205^A34,IF(A34='Données projet'!$A$36,'Données projet'!$B$36,N33+M34-V33)))</f>
        <v>84.199999999999974</v>
      </c>
      <c r="O34" s="13">
        <f>N34*VLOOKUP('Données projet'!$B$9,Paramètres!$A$1:$I$89,3,0)*VLOOKUP('Données projet'!$B$9,Paramètres!$A$1:$I$89,5,0)</f>
        <v>76.184159999999977</v>
      </c>
      <c r="P34" s="13">
        <f t="shared" si="33"/>
        <v>21.201554232857205</v>
      </c>
      <c r="Q34" s="20">
        <f t="shared" si="2"/>
        <v>169.61345228889294</v>
      </c>
      <c r="R34" s="59">
        <f t="shared" si="0"/>
        <v>462.94678562222623</v>
      </c>
      <c r="S34" s="59">
        <f ca="1">AVERAGE(OFFSET($R$3,0,0,'Données projet'!$E$9+1,1))-AVERAGE(OFFSET($H$3,0,0,'Données projet'!$E$9+1,1))</f>
        <v>237.22177246688199</v>
      </c>
      <c r="T34" s="59">
        <f t="shared" si="34"/>
        <v>149.27472147904302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3.0210061298289821</v>
      </c>
      <c r="AB34" s="21">
        <f>EXP(-LN(2)/2)*AB33+(1-EXP(-LN(2)/2))/(LN(2)/2)*V34*Y34*VLOOKUP('Données projet'!$B$9,Paramètres!$A$1:$I$89,3,0)*0.475*44/12</f>
        <v>4.3765298389887484</v>
      </c>
      <c r="AC34" s="22">
        <f t="shared" si="3"/>
        <v>7.3975359688177305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8.6999999999999993</v>
      </c>
      <c r="AI34" s="13">
        <f>IF('Données projet'!$A$62&gt;35,AI33+AH34-AQ33,IF(A34&lt;'Données projet'!$A$62,$AF$205^A34,IF(A34='Données projet'!$A$62,'Données projet'!$B$62,AI33+AH34-AQ33)))</f>
        <v>121.69999999999996</v>
      </c>
      <c r="AJ34" s="13">
        <f>AI34*VLOOKUP('Données projet'!$B$10,Paramètres!$A$1:$I$89,3,0)*VLOOKUP('Données projet'!$B$10,Paramètres!$A$1:$I$89,5,0)</f>
        <v>106.31711999999999</v>
      </c>
      <c r="AK34" s="13">
        <f t="shared" si="35"/>
        <v>28.461557060551435</v>
      </c>
      <c r="AL34" s="20">
        <f t="shared" si="4"/>
        <v>234.7395292137937</v>
      </c>
      <c r="AM34" s="59">
        <f t="shared" si="5"/>
        <v>528.07286254712699</v>
      </c>
      <c r="AN34" s="59">
        <f ca="1">AVERAGE(OFFSET($AM$3,0,0,'Données projet'!$E$10+1,1))-AVERAGE(OFFSET($H$3,0,0,'Données projet'!$E$10+1,1))</f>
        <v>191.94797389630673</v>
      </c>
      <c r="AO34" s="59">
        <f t="shared" si="36"/>
        <v>273.52540822767878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2.524172458582604</v>
      </c>
      <c r="AV34" s="21">
        <f>EXP(-LN(2)/25)*AV33+(1-EXP(-LN(2)/25))/(LN(2)/25)*Calculateur!AQ34*Calculateur!AS34*VLOOKUP('Données projet'!$B$10,Paramètres!$A$1:$I$89,3,0)*0.475*44/12</f>
        <v>13.664003619194581</v>
      </c>
      <c r="AW34" s="21">
        <f>EXP(-LN(2)/2)*AW33+(1-EXP(-LN(2)/2))/(LN(2)/2)*AQ34*AT34*VLOOKUP('Données projet'!$B$10,Paramètres!$A$1:$I$89,3,0)*0.475*44/12</f>
        <v>16.407043134796346</v>
      </c>
      <c r="AX34" s="21">
        <f t="shared" si="6"/>
        <v>32.595219212573532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8</v>
      </c>
      <c r="BD34" s="12">
        <f>IF('Données projet'!$A$88&gt;35,BD33+BC34-BL33,IF(A34&lt;'Données projet'!$A$88,$BA$205^A34,IF(A34='Données projet'!$A$88,'Données projet'!$B$88,BD33+BC34-BL33)))</f>
        <v>119</v>
      </c>
      <c r="BE34" s="13">
        <f>BD34*VLOOKUP('Données projet'!$B$11,Paramètres!$A$1:$I$89,3,0)*VLOOKUP('Données projet'!$B$11,Paramètres!$A$1:$I$89,5,0)</f>
        <v>71.162000000000006</v>
      </c>
      <c r="BF34" s="13">
        <f t="shared" si="37"/>
        <v>19.961746043676346</v>
      </c>
      <c r="BG34" s="20">
        <f t="shared" si="7"/>
        <v>158.70719102606964</v>
      </c>
      <c r="BH34" s="59">
        <f t="shared" si="8"/>
        <v>452.04052435940298</v>
      </c>
      <c r="BI34" s="59">
        <f ca="1">AVERAGE(OFFSET($BH$3,0,0,'Données projet'!$E$11+1,1))-AVERAGE(OFFSET($H$3,0,0,'Données projet'!$E$11+1,1))</f>
        <v>72.647148358003676</v>
      </c>
      <c r="BJ34" s="59">
        <f t="shared" si="38"/>
        <v>87.231299224620898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1.2475281585641482</v>
      </c>
      <c r="BQ34" s="21">
        <f>EXP(-LN(2)/25)*BQ33+(1-EXP(-LN(2)/25))/(LN(2)/25)*Calculateur!BL34*Calculateur!BN34*VLOOKUP('Données projet'!$B$11,Paramètres!$A$1:$I$89,3,0)*0.475*44/12</f>
        <v>4.4072240159055287</v>
      </c>
      <c r="BR34" s="21">
        <f>EXP(-LN(2)/2)*BR33+(1-EXP(-LN(2)/2))/(LN(2)/2)*BL34*BO34*VLOOKUP('Données projet'!$B$11,Paramètres!$A$1:$I$89,3,0)*0.475*44/12</f>
        <v>1.612837110997132</v>
      </c>
      <c r="BS34" s="22">
        <f t="shared" si="9"/>
        <v>7.2675892854668094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11</v>
      </c>
      <c r="BY34" s="12">
        <f>IF('Données projet'!$A$114&gt;35,BY33+BX34-CG33,IF(A34&lt;'Données projet'!$A$114,$BV$205^A34,IF(A34='Données projet'!$A$114,'Données projet'!$B$114,BY33+BX34-CG33)))</f>
        <v>133.99999999999997</v>
      </c>
      <c r="BZ34" s="13">
        <f>BY34*VLOOKUP('Données projet'!$B$12,Paramètres!$A$1:$I$89,3,0)*VLOOKUP('Données projet'!$B$12,Paramètres!$A$1:$I$89,5,0)</f>
        <v>80.131999999999991</v>
      </c>
      <c r="CA34" s="13">
        <f t="shared" si="39"/>
        <v>22.169455717453161</v>
      </c>
      <c r="CB34" s="20">
        <f t="shared" si="10"/>
        <v>178.17503537456423</v>
      </c>
      <c r="CC34" s="59">
        <f t="shared" si="11"/>
        <v>471.50836870789755</v>
      </c>
      <c r="CD34" s="59">
        <f ca="1">AVERAGE(OFFSET($CC$3,0,0,'Données projet'!$E$12+1,1))-AVERAGE(OFFSET($H$3,0,0,'Données projet'!$E$12+1,1))</f>
        <v>165.39579887388538</v>
      </c>
      <c r="CE34" s="59">
        <f t="shared" si="40"/>
        <v>155.89639262545802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7.0899203671870614</v>
      </c>
      <c r="CM34" s="21">
        <f>EXP(-LN(2)/2)*CM33+(1-EXP(-LN(2)/2))/(LN(2)/2)*CG34*CJ34*VLOOKUP('Données projet'!$B$12,Paramètres!$A$1:$I$89,3,0)*0.475*44/12</f>
        <v>9.8146673915966485</v>
      </c>
      <c r="CN34" s="22">
        <f t="shared" si="12"/>
        <v>16.904587758783709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13</v>
      </c>
      <c r="CT34" s="12">
        <f>IF('Données projet'!$A$140&gt;35,CT33+CS34-DB33,IF(A34&lt;'Données projet'!$A$140,$CQ$205^A34,IF(A34='Données projet'!$A$140,'Données projet'!$B$140,CT33+CS34-DB33)))</f>
        <v>121</v>
      </c>
      <c r="CU34" s="17">
        <f>CT34*VLOOKUP('Données projet'!$B$13,Paramètres!$A$1:$I$89,3,0)*VLOOKUP('Données projet'!$B$13,Paramètres!$A$1:$I$89,5,0)</f>
        <v>94.38000000000001</v>
      </c>
      <c r="CV34" s="13">
        <f t="shared" si="41"/>
        <v>25.618636348883211</v>
      </c>
      <c r="CW34" s="20">
        <f t="shared" si="13"/>
        <v>208.99762497430493</v>
      </c>
      <c r="CX34" s="59">
        <f t="shared" si="14"/>
        <v>502.33095830763824</v>
      </c>
      <c r="CY34" s="59">
        <f ca="1">AVERAGE(OFFSET($CX$3,0,0,'Données projet'!$E$13+1,1))-AVERAGE(OFFSET($H$3,0,0,'Données projet'!$E$13+1,1))</f>
        <v>190.06335940156185</v>
      </c>
      <c r="CZ34" s="59">
        <f t="shared" si="42"/>
        <v>166.43663896839928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4.3443052194149283</v>
      </c>
      <c r="DH34" s="21">
        <f>EXP(-LN(2)/2)*DH33+(1-EXP(-LN(2)/2))/(LN(2)/2)*DB34*DE34*VLOOKUP('Données projet'!$B$13,Paramètres!$A$1:$I$89,3,0)*0.475*44/12</f>
        <v>3.7663327475097939</v>
      </c>
      <c r="DI34" s="22">
        <f t="shared" si="15"/>
        <v>8.1106379669247222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8.1999999999999993</v>
      </c>
      <c r="DO34" s="12">
        <f>IF('Données projet'!$A$166&gt;35,DO33+DN34-DW33,IF(A34&lt;'Données projet'!$A$166,$DL$205^A34,IF(A34='Données projet'!$A$166,'Données projet'!$B$166,DO33+DN34-DW33)))</f>
        <v>84.199999999999974</v>
      </c>
      <c r="DP34" s="17">
        <f>DO34*VLOOKUP('Données projet'!$B$14,Paramètres!$A$1:$I$89,3,0)*VLOOKUP('Données projet'!$B$14,Paramètres!$A$1:$I$89,5,0)</f>
        <v>81.438239999999979</v>
      </c>
      <c r="DQ34" s="13">
        <f t="shared" si="43"/>
        <v>22.488475778344675</v>
      </c>
      <c r="DR34" s="20">
        <f t="shared" si="16"/>
        <v>181.0056966472836</v>
      </c>
      <c r="DS34" s="59">
        <f t="shared" si="17"/>
        <v>474.33902998061694</v>
      </c>
      <c r="DT34" s="59">
        <f ca="1">AVERAGE(OFFSET($DS$3,0,0,'Données projet'!$E$14+1,1))-AVERAGE(OFFSET($H$3,0,0,'Données projet'!$E$14+1,1))</f>
        <v>261.22357949323879</v>
      </c>
      <c r="DU34" s="59">
        <f t="shared" si="44"/>
        <v>163.41029152029387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3.2293513801620155</v>
      </c>
      <c r="EC34" s="21">
        <f>EXP(-LN(2)/2)*EC33+(1-EXP(-LN(2)/2))/(LN(2)/2)*DW34*DZ34*VLOOKUP('Données projet'!$B$14,Paramètres!$A$1:$I$89,3,0)*0.475*44/12</f>
        <v>4.6783594830569379</v>
      </c>
      <c r="ED34" s="22">
        <f t="shared" si="18"/>
        <v>7.9077108632189539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7</v>
      </c>
      <c r="EJ34" s="12">
        <f>IF('Données projet'!$A$192&gt;35,EJ33+EI34-ER33,IF(A34&lt;'Données projet'!$A$192,$EG$205^A34,IF(A34='Données projet'!$A$192,'Données projet'!$B$192,EJ33+EI34-ER33)))</f>
        <v>154.69999999999999</v>
      </c>
      <c r="EK34" s="17">
        <f>EJ34*VLOOKUP('Données projet'!$B$15,Paramètres!$A$1:$I$89,3,0)*VLOOKUP('Données projet'!$B$15,Paramètres!$A$1:$I$89,5,0)</f>
        <v>72.399599999999992</v>
      </c>
      <c r="EL34" s="13">
        <f t="shared" si="45"/>
        <v>20.268188832715463</v>
      </c>
      <c r="EM34" s="20">
        <f t="shared" si="19"/>
        <v>161.3963988836461</v>
      </c>
      <c r="EN34" s="59">
        <f t="shared" si="20"/>
        <v>454.72973221697941</v>
      </c>
      <c r="EO34" s="59">
        <f ca="1">AVERAGE(OFFSET($EN$3,0,0,'Données projet'!$E$15+1,1))-AVERAGE(OFFSET($H$3,0,0,'Données projet'!$E$15+1,1))</f>
        <v>123.60520571614535</v>
      </c>
      <c r="EP34" s="59">
        <f t="shared" si="46"/>
        <v>119.00926870519527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0.85029526100522668</v>
      </c>
      <c r="EW34" s="21">
        <f>EXP(-LN(2)/25)*EW33+(1-EXP(-LN(2)/25))/(LN(2)/25)*Calculateur!ER34*Calculateur!ET34*VLOOKUP('Données projet'!$B$15,Paramètres!$A$1:$I$89,3,0)*0.475*44/12</f>
        <v>4.6461374989711475</v>
      </c>
      <c r="EX34" s="21">
        <f>EXP(-LN(2)/2)*EX33+(1-EXP(-LN(2)/2))/(LN(2)/2)*ER34*EU34*VLOOKUP('Données projet'!$B$15,Paramètres!$A$1:$I$89,3,0)*0.475*44/12</f>
        <v>4.3230461464558037</v>
      </c>
      <c r="EY34" s="22">
        <f t="shared" si="21"/>
        <v>9.8194789064321775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8.1</v>
      </c>
      <c r="FE34" s="12">
        <f>IF('Données projet'!$A$218&gt;35,FE33+FD34-FM33,IF(A34&lt;'Données projet'!$A$218,$FB$205^A34,IF(A34='Données projet'!$A$218,'Données projet'!$B$218,FE33+FD34-FM33)))</f>
        <v>101.10000000000002</v>
      </c>
      <c r="FF34" s="17">
        <f>FE34*VLOOKUP('Données projet'!$B$16,Paramètres!$A$1:$I$89,3,0)*VLOOKUP('Données projet'!$B$16,Paramètres!$A$1:$I$89,5,0)</f>
        <v>74.126520000000014</v>
      </c>
      <c r="FG34" s="13">
        <f t="shared" si="47"/>
        <v>20.694776875055368</v>
      </c>
      <c r="FH34" s="20">
        <f t="shared" si="22"/>
        <v>165.14709205738814</v>
      </c>
      <c r="FI34" s="59">
        <f t="shared" si="23"/>
        <v>458.48042539072145</v>
      </c>
      <c r="FJ34" s="59">
        <f ca="1">AVERAGE(OFFSET($FI$3,0,0,'Données projet'!$E$16+1,1))-AVERAGE(OFFSET($H$3,0,0,'Données projet'!$E$16+1,1))</f>
        <v>124.15919323713428</v>
      </c>
      <c r="FK34" s="59">
        <f t="shared" si="48"/>
        <v>157.85954678210715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4.8889400658666533</v>
      </c>
      <c r="FS34" s="21">
        <f>EXP(-LN(2)/2)*FS33+(1-EXP(-LN(2)/2))/(LN(2)/2)*FM34*FP34*VLOOKUP('Données projet'!$B$16,Paramètres!$A$1:$I$89,3,0)*0.475*44/12</f>
        <v>5.2165627196106401</v>
      </c>
      <c r="FT34" s="22">
        <f t="shared" si="24"/>
        <v>10.105502785477293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8.1999999999999993</v>
      </c>
      <c r="N35" s="13">
        <f>IF('Données projet'!$A$36&gt;35,N34+M35-V34,IF(A35&lt;'Données projet'!$A$36,$K$205^A35,IF(A35='Données projet'!$A$36,'Données projet'!$B$36,N34+M35-V34)))</f>
        <v>92.399999999999977</v>
      </c>
      <c r="O35" s="13">
        <f>N35*VLOOKUP('Données projet'!$B$9,Paramètres!$A$1:$I$89,3,0)*VLOOKUP('Données projet'!$B$9,Paramètres!$A$1:$I$89,5,0)</f>
        <v>83.603519999999975</v>
      </c>
      <c r="P35" s="13">
        <f t="shared" si="33"/>
        <v>23.015991519299678</v>
      </c>
      <c r="Q35" s="20">
        <f t="shared" ref="Q35:Q66" si="53">(O35+P35)*0.475*44/12</f>
        <v>185.69564922944687</v>
      </c>
      <c r="R35" s="59">
        <f t="shared" si="0"/>
        <v>479.02898256278019</v>
      </c>
      <c r="S35" s="59">
        <f ca="1">AVERAGE(OFFSET($R$3,0,0,'Données projet'!$E$9+1,1))-AVERAGE(OFFSET($H$3,0,0,'Données projet'!$E$9+1,1))</f>
        <v>237.22177246688199</v>
      </c>
      <c r="T35" s="59">
        <f t="shared" si="34"/>
        <v>149.27472147904302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2.938396558341001</v>
      </c>
      <c r="AB35" s="21">
        <f>EXP(-LN(2)/2)*AB34+(1-EXP(-LN(2)/2))/(LN(2)/2)*V35*Y35*VLOOKUP('Données projet'!$B$9,Paramètres!$A$1:$I$89,3,0)*0.475*44/12</f>
        <v>3.0946739272142132</v>
      </c>
      <c r="AC35" s="22">
        <f t="shared" si="3"/>
        <v>6.0330704855552142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8.6999999999999993</v>
      </c>
      <c r="AI35" s="13">
        <f>IF('Données projet'!$A$62&gt;35,AI34+AH35-AQ34,IF(A35&lt;'Données projet'!$A$62,$AF$205^A35,IF(A35='Données projet'!$A$62,'Données projet'!$B$62,AI34+AH35-AQ34)))</f>
        <v>130.39999999999995</v>
      </c>
      <c r="AJ35" s="13">
        <f>AI35*VLOOKUP('Données projet'!$B$10,Paramètres!$A$1:$I$89,3,0)*VLOOKUP('Données projet'!$B$10,Paramètres!$A$1:$I$89,5,0)</f>
        <v>113.91743999999996</v>
      </c>
      <c r="AK35" s="13">
        <f t="shared" si="35"/>
        <v>30.252075834566813</v>
      </c>
      <c r="AL35" s="20">
        <f t="shared" si="4"/>
        <v>251.0952400785371</v>
      </c>
      <c r="AM35" s="59">
        <f t="shared" si="5"/>
        <v>544.42857341187039</v>
      </c>
      <c r="AN35" s="59">
        <f ca="1">AVERAGE(OFFSET($AM$3,0,0,'Données projet'!$E$10+1,1))-AVERAGE(OFFSET($H$3,0,0,'Données projet'!$E$10+1,1))</f>
        <v>191.94797389630673</v>
      </c>
      <c r="AO35" s="59">
        <f t="shared" si="36"/>
        <v>273.52540822767878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2.4746749762629765</v>
      </c>
      <c r="AV35" s="21">
        <f>EXP(-LN(2)/25)*AV34+(1-EXP(-LN(2)/25))/(LN(2)/25)*Calculateur!AQ35*Calculateur!AS35*VLOOKUP('Données projet'!$B$10,Paramètres!$A$1:$I$89,3,0)*0.475*44/12</f>
        <v>13.290360721668984</v>
      </c>
      <c r="AW35" s="21">
        <f>EXP(-LN(2)/2)*AW34+(1-EXP(-LN(2)/2))/(LN(2)/2)*AQ35*AT35*VLOOKUP('Données projet'!$B$10,Paramètres!$A$1:$I$89,3,0)*0.475*44/12</f>
        <v>11.601531459834687</v>
      </c>
      <c r="AX35" s="21">
        <f t="shared" si="6"/>
        <v>27.366567157766646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8</v>
      </c>
      <c r="BD35" s="12">
        <f>IF('Données projet'!$A$88&gt;35,BD34+BC35-BL34,IF(A35&lt;'Données projet'!$A$88,$BA$205^A35,IF(A35='Données projet'!$A$88,'Données projet'!$B$88,BD34+BC35-BL34)))</f>
        <v>127</v>
      </c>
      <c r="BE35" s="13">
        <f>BD35*VLOOKUP('Données projet'!$B$11,Paramètres!$A$1:$I$89,3,0)*VLOOKUP('Données projet'!$B$11,Paramètres!$A$1:$I$89,5,0)</f>
        <v>75.945999999999998</v>
      </c>
      <c r="BF35" s="13">
        <f t="shared" si="37"/>
        <v>21.142979995226831</v>
      </c>
      <c r="BG35" s="20">
        <f t="shared" si="7"/>
        <v>169.09664015835338</v>
      </c>
      <c r="BH35" s="59">
        <f t="shared" si="8"/>
        <v>462.42997349168672</v>
      </c>
      <c r="BI35" s="59">
        <f ca="1">AVERAGE(OFFSET($BH$3,0,0,'Données projet'!$E$11+1,1))-AVERAGE(OFFSET($H$3,0,0,'Données projet'!$E$11+1,1))</f>
        <v>72.647148358003676</v>
      </c>
      <c r="BJ35" s="59">
        <f t="shared" si="38"/>
        <v>87.231299224620898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1.2230648922917478</v>
      </c>
      <c r="BQ35" s="21">
        <f>EXP(-LN(2)/25)*BQ34+(1-EXP(-LN(2)/25))/(LN(2)/25)*Calculateur!BL35*Calculateur!BN35*VLOOKUP('Données projet'!$B$11,Paramètres!$A$1:$I$89,3,0)*0.475*44/12</f>
        <v>4.2867082434247541</v>
      </c>
      <c r="BR35" s="21">
        <f>EXP(-LN(2)/2)*BR34+(1-EXP(-LN(2)/2))/(LN(2)/2)*BL35*BO35*VLOOKUP('Données projet'!$B$11,Paramètres!$A$1:$I$89,3,0)*0.475*44/12</f>
        <v>1.1404480581353926</v>
      </c>
      <c r="BS35" s="22">
        <f t="shared" si="9"/>
        <v>6.6502211938518947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11</v>
      </c>
      <c r="BY35" s="12">
        <f>IF('Données projet'!$A$114&gt;35,BY34+BX35-CG34,IF(A35&lt;'Données projet'!$A$114,$BV$205^A35,IF(A35='Données projet'!$A$114,'Données projet'!$B$114,BY34+BX35-CG34)))</f>
        <v>144.99999999999997</v>
      </c>
      <c r="BZ35" s="13">
        <f>BY35*VLOOKUP('Données projet'!$B$12,Paramètres!$A$1:$I$89,3,0)*VLOOKUP('Données projet'!$B$12,Paramètres!$A$1:$I$89,5,0)</f>
        <v>86.71</v>
      </c>
      <c r="CA35" s="13">
        <f t="shared" si="39"/>
        <v>23.770044666555087</v>
      </c>
      <c r="CB35" s="20">
        <f t="shared" si="10"/>
        <v>192.4194111275834</v>
      </c>
      <c r="CC35" s="59">
        <f t="shared" si="11"/>
        <v>485.75274446091669</v>
      </c>
      <c r="CD35" s="59">
        <f ca="1">AVERAGE(OFFSET($CC$3,0,0,'Données projet'!$E$12+1,1))-AVERAGE(OFFSET($H$3,0,0,'Données projet'!$E$12+1,1))</f>
        <v>165.39579887388538</v>
      </c>
      <c r="CE35" s="59">
        <f t="shared" si="40"/>
        <v>155.89639262545802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6.8960461219036233</v>
      </c>
      <c r="CM35" s="21">
        <f>EXP(-LN(2)/2)*CM34+(1-EXP(-LN(2)/2))/(LN(2)/2)*CG35*CJ35*VLOOKUP('Données projet'!$B$12,Paramètres!$A$1:$I$89,3,0)*0.475*44/12</f>
        <v>6.940017867688475</v>
      </c>
      <c r="CN35" s="22">
        <f t="shared" si="12"/>
        <v>13.836063989592098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13</v>
      </c>
      <c r="CT35" s="12">
        <f>IF('Données projet'!$A$140&gt;35,CT34+CS35-DB34,IF(A35&lt;'Données projet'!$A$140,$CQ$205^A35,IF(A35='Données projet'!$A$140,'Données projet'!$B$140,CT34+CS35-DB34)))</f>
        <v>134</v>
      </c>
      <c r="CU35" s="17">
        <f>CT35*VLOOKUP('Données projet'!$B$13,Paramètres!$A$1:$I$89,3,0)*VLOOKUP('Données projet'!$B$13,Paramètres!$A$1:$I$89,5,0)</f>
        <v>104.52000000000001</v>
      </c>
      <c r="CV35" s="13">
        <f t="shared" si="41"/>
        <v>28.036039012748962</v>
      </c>
      <c r="CW35" s="20">
        <f t="shared" si="13"/>
        <v>230.86843461387113</v>
      </c>
      <c r="CX35" s="59">
        <f t="shared" si="14"/>
        <v>524.20176794720442</v>
      </c>
      <c r="CY35" s="59">
        <f ca="1">AVERAGE(OFFSET($CX$3,0,0,'Données projet'!$E$13+1,1))-AVERAGE(OFFSET($H$3,0,0,'Données projet'!$E$13+1,1))</f>
        <v>190.06335940156185</v>
      </c>
      <c r="CZ35" s="59">
        <f t="shared" si="42"/>
        <v>166.43663896839928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4.2255099647329448</v>
      </c>
      <c r="DH35" s="21">
        <f>EXP(-LN(2)/2)*DH34+(1-EXP(-LN(2)/2))/(LN(2)/2)*DB35*DE35*VLOOKUP('Données projet'!$B$13,Paramètres!$A$1:$I$89,3,0)*0.475*44/12</f>
        <v>2.6631994259691365</v>
      </c>
      <c r="DI35" s="22">
        <f t="shared" si="15"/>
        <v>6.8887093907020809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8.1999999999999993</v>
      </c>
      <c r="DO35" s="12">
        <f>IF('Données projet'!$A$166&gt;35,DO34+DN35-DW34,IF(A35&lt;'Données projet'!$A$166,$DL$205^A35,IF(A35='Données projet'!$A$166,'Données projet'!$B$166,DO34+DN35-DW34)))</f>
        <v>92.399999999999977</v>
      </c>
      <c r="DP35" s="17">
        <f>DO35*VLOOKUP('Données projet'!$B$14,Paramètres!$A$1:$I$89,3,0)*VLOOKUP('Données projet'!$B$14,Paramètres!$A$1:$I$89,5,0)</f>
        <v>89.369279999999975</v>
      </c>
      <c r="DQ35" s="13">
        <f t="shared" si="43"/>
        <v>24.413048312949282</v>
      </c>
      <c r="DR35" s="20">
        <f t="shared" si="16"/>
        <v>198.17088847838662</v>
      </c>
      <c r="DS35" s="59">
        <f t="shared" si="17"/>
        <v>491.50422181171996</v>
      </c>
      <c r="DT35" s="59">
        <f ca="1">AVERAGE(OFFSET($DS$3,0,0,'Données projet'!$E$14+1,1))-AVERAGE(OFFSET($H$3,0,0,'Données projet'!$E$14+1,1))</f>
        <v>261.22357949323879</v>
      </c>
      <c r="DU35" s="59">
        <f t="shared" si="44"/>
        <v>163.41029152029387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3.1410445968472769</v>
      </c>
      <c r="EC35" s="21">
        <f>EXP(-LN(2)/2)*EC34+(1-EXP(-LN(2)/2))/(LN(2)/2)*DW35*DZ35*VLOOKUP('Données projet'!$B$14,Paramètres!$A$1:$I$89,3,0)*0.475*44/12</f>
        <v>3.3080997152979519</v>
      </c>
      <c r="ED35" s="22">
        <f t="shared" si="18"/>
        <v>6.4491443121452292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7</v>
      </c>
      <c r="EJ35" s="12">
        <f>IF('Données projet'!$A$192&gt;35,EJ34+EI35-ER34,IF(A35&lt;'Données projet'!$A$192,$EG$205^A35,IF(A35='Données projet'!$A$192,'Données projet'!$B$192,EJ34+EI35-ER34)))</f>
        <v>161.69999999999999</v>
      </c>
      <c r="EK35" s="17">
        <f>EJ35*VLOOKUP('Données projet'!$B$15,Paramètres!$A$1:$I$89,3,0)*VLOOKUP('Données projet'!$B$15,Paramètres!$A$1:$I$89,5,0)</f>
        <v>75.675600000000003</v>
      </c>
      <c r="EL35" s="13">
        <f t="shared" si="45"/>
        <v>21.076450566911173</v>
      </c>
      <c r="EM35" s="20">
        <f t="shared" si="19"/>
        <v>168.50982140403696</v>
      </c>
      <c r="EN35" s="59">
        <f t="shared" si="20"/>
        <v>461.84315473737024</v>
      </c>
      <c r="EO35" s="59">
        <f ca="1">AVERAGE(OFFSET($EN$3,0,0,'Données projet'!$E$15+1,1))-AVERAGE(OFFSET($H$3,0,0,'Données projet'!$E$15+1,1))</f>
        <v>123.60520571614535</v>
      </c>
      <c r="EP35" s="59">
        <f t="shared" si="46"/>
        <v>119.00926870519527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0.83362148956581306</v>
      </c>
      <c r="EW35" s="21">
        <f>EXP(-LN(2)/25)*EW34+(1-EXP(-LN(2)/25))/(LN(2)/25)*Calculateur!ER35*Calculateur!ET35*VLOOKUP('Données projet'!$B$15,Paramètres!$A$1:$I$89,3,0)*0.475*44/12</f>
        <v>4.5190886247320297</v>
      </c>
      <c r="EX35" s="21">
        <f>EXP(-LN(2)/2)*EX34+(1-EXP(-LN(2)/2))/(LN(2)/2)*ER35*EU35*VLOOKUP('Données projet'!$B$15,Paramètres!$A$1:$I$89,3,0)*0.475*44/12</f>
        <v>3.0568552455412719</v>
      </c>
      <c r="EY35" s="22">
        <f t="shared" si="21"/>
        <v>8.4095653598391138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8.1</v>
      </c>
      <c r="FE35" s="12">
        <f>IF('Données projet'!$A$218&gt;35,FE34+FD35-FM34,IF(A35&lt;'Données projet'!$A$218,$FB$205^A35,IF(A35='Données projet'!$A$218,'Données projet'!$B$218,FE34+FD35-FM34)))</f>
        <v>109.20000000000002</v>
      </c>
      <c r="FF35" s="17">
        <f>FE35*VLOOKUP('Données projet'!$B$16,Paramètres!$A$1:$I$89,3,0)*VLOOKUP('Données projet'!$B$16,Paramètres!$A$1:$I$89,5,0)</f>
        <v>80.065440000000009</v>
      </c>
      <c r="FG35" s="13">
        <f t="shared" si="47"/>
        <v>22.153183787354507</v>
      </c>
      <c r="FH35" s="20">
        <f t="shared" si="22"/>
        <v>178.03076976297575</v>
      </c>
      <c r="FI35" s="59">
        <f t="shared" si="23"/>
        <v>471.36410309630907</v>
      </c>
      <c r="FJ35" s="59">
        <f ca="1">AVERAGE(OFFSET($FI$3,0,0,'Données projet'!$E$16+1,1))-AVERAGE(OFFSET($H$3,0,0,'Données projet'!$E$16+1,1))</f>
        <v>124.15919323713428</v>
      </c>
      <c r="FK35" s="59">
        <f t="shared" si="48"/>
        <v>157.85954678210715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4.7552517426673457</v>
      </c>
      <c r="FS35" s="21">
        <f>EXP(-LN(2)/2)*FS34+(1-EXP(-LN(2)/2))/(LN(2)/2)*FM35*FP35*VLOOKUP('Données projet'!$B$16,Paramètres!$A$1:$I$89,3,0)*0.475*44/12</f>
        <v>3.6886668735216226</v>
      </c>
      <c r="FT35" s="22">
        <f t="shared" si="24"/>
        <v>8.4439186161889683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8.1999999999999993</v>
      </c>
      <c r="N36" s="13">
        <f>IF('Données projet'!$A$36&gt;35,N35+M36-V35,IF(A36&lt;'Données projet'!$A$36,$K$205^A36,IF(A36='Données projet'!$A$36,'Données projet'!$B$36,N35+M36-V35)))</f>
        <v>100.59999999999998</v>
      </c>
      <c r="O36" s="13">
        <f>N36*VLOOKUP('Données projet'!$B$9,Paramètres!$A$1:$I$89,3,0)*VLOOKUP('Données projet'!$B$9,Paramètres!$A$1:$I$89,5,0)</f>
        <v>91.022879999999972</v>
      </c>
      <c r="P36" s="13">
        <f t="shared" si="33"/>
        <v>24.811756526220293</v>
      </c>
      <c r="Q36" s="20">
        <f t="shared" si="53"/>
        <v>201.74532528316695</v>
      </c>
      <c r="R36" s="59">
        <f t="shared" si="0"/>
        <v>495.07865861650026</v>
      </c>
      <c r="S36" s="59">
        <f ca="1">AVERAGE(OFFSET($R$3,0,0,'Données projet'!$E$9+1,1))-AVERAGE(OFFSET($H$3,0,0,'Données projet'!$E$9+1,1))</f>
        <v>237.22177246688199</v>
      </c>
      <c r="T36" s="59">
        <f t="shared" si="34"/>
        <v>149.27472147904302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2.8580459499296071</v>
      </c>
      <c r="AB36" s="21">
        <f>EXP(-LN(2)/2)*AB35+(1-EXP(-LN(2)/2))/(LN(2)/2)*V36*Y36*VLOOKUP('Données projet'!$B$9,Paramètres!$A$1:$I$89,3,0)*0.475*44/12</f>
        <v>2.1882649194943746</v>
      </c>
      <c r="AC36" s="22">
        <f t="shared" si="3"/>
        <v>5.0463108694239818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8.6999999999999993</v>
      </c>
      <c r="AI36" s="13">
        <f>IF('Données projet'!$A$62&gt;35,AI35+AH36-AQ35,IF(A36&lt;'Données projet'!$A$62,$AF$205^A36,IF(A36='Données projet'!$A$62,'Données projet'!$B$62,AI35+AH36-AQ35)))</f>
        <v>139.09999999999994</v>
      </c>
      <c r="AJ36" s="13">
        <f>AI36*VLOOKUP('Données projet'!$B$10,Paramètres!$A$1:$I$89,3,0)*VLOOKUP('Données projet'!$B$10,Paramètres!$A$1:$I$89,5,0)</f>
        <v>121.51775999999997</v>
      </c>
      <c r="AK36" s="13">
        <f t="shared" si="35"/>
        <v>32.028732529244031</v>
      </c>
      <c r="AL36" s="20">
        <f t="shared" si="4"/>
        <v>267.42680782176666</v>
      </c>
      <c r="AM36" s="59">
        <f t="shared" si="5"/>
        <v>560.76014115509997</v>
      </c>
      <c r="AN36" s="59">
        <f ca="1">AVERAGE(OFFSET($AM$3,0,0,'Données projet'!$E$10+1,1))-AVERAGE(OFFSET($H$3,0,0,'Données projet'!$E$10+1,1))</f>
        <v>191.94797389630673</v>
      </c>
      <c r="AO36" s="59">
        <f t="shared" si="36"/>
        <v>273.52540822767878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2.4261481093811539</v>
      </c>
      <c r="AV36" s="21">
        <f>EXP(-LN(2)/25)*AV35+(1-EXP(-LN(2)/25))/(LN(2)/25)*Calculateur!AQ36*Calculateur!AS36*VLOOKUP('Données projet'!$B$10,Paramètres!$A$1:$I$89,3,0)*0.475*44/12</f>
        <v>12.926935108825251</v>
      </c>
      <c r="AW36" s="21">
        <f>EXP(-LN(2)/2)*AW35+(1-EXP(-LN(2)/2))/(LN(2)/2)*AQ36*AT36*VLOOKUP('Données projet'!$B$10,Paramètres!$A$1:$I$89,3,0)*0.475*44/12</f>
        <v>8.2035215673981732</v>
      </c>
      <c r="AX36" s="21">
        <f t="shared" si="6"/>
        <v>23.556604785604577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8</v>
      </c>
      <c r="BD36" s="12">
        <f>IF('Données projet'!$A$88&gt;35,BD35+BC36-BL35,IF(A36&lt;'Données projet'!$A$88,$BA$205^A36,IF(A36='Données projet'!$A$88,'Données projet'!$B$88,BD35+BC36-BL35)))</f>
        <v>135</v>
      </c>
      <c r="BE36" s="13">
        <f>BD36*VLOOKUP('Données projet'!$B$11,Paramètres!$A$1:$I$89,3,0)*VLOOKUP('Données projet'!$B$11,Paramètres!$A$1:$I$89,5,0)</f>
        <v>80.73</v>
      </c>
      <c r="BF36" s="13">
        <f t="shared" si="37"/>
        <v>22.315578453114171</v>
      </c>
      <c r="BG36" s="20">
        <f t="shared" si="7"/>
        <v>179.47104913917386</v>
      </c>
      <c r="BH36" s="59">
        <f t="shared" si="8"/>
        <v>472.8043824725072</v>
      </c>
      <c r="BI36" s="59">
        <f ca="1">AVERAGE(OFFSET($BH$3,0,0,'Données projet'!$E$11+1,1))-AVERAGE(OFFSET($H$3,0,0,'Données projet'!$E$11+1,1))</f>
        <v>72.647148358003676</v>
      </c>
      <c r="BJ36" s="59">
        <f t="shared" si="38"/>
        <v>87.231299224620898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1.19908133574983</v>
      </c>
      <c r="BQ36" s="21">
        <f>EXP(-LN(2)/25)*BQ35+(1-EXP(-LN(2)/25))/(LN(2)/25)*Calculateur!BL36*Calculateur!BN36*VLOOKUP('Données projet'!$B$11,Paramètres!$A$1:$I$89,3,0)*0.475*44/12</f>
        <v>4.1694879810801151</v>
      </c>
      <c r="BR36" s="21">
        <f>EXP(-LN(2)/2)*BR35+(1-EXP(-LN(2)/2))/(LN(2)/2)*BL36*BO36*VLOOKUP('Données projet'!$B$11,Paramètres!$A$1:$I$89,3,0)*0.475*44/12</f>
        <v>0.80641855549856611</v>
      </c>
      <c r="BS36" s="22">
        <f t="shared" si="9"/>
        <v>6.1749878723285114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11</v>
      </c>
      <c r="BY36" s="12">
        <f>IF('Données projet'!$A$114&gt;35,BY35+BX36-CG35,IF(A36&lt;'Données projet'!$A$114,$BV$205^A36,IF(A36='Données projet'!$A$114,'Données projet'!$B$114,BY35+BX36-CG35)))</f>
        <v>155.99999999999997</v>
      </c>
      <c r="BZ36" s="13">
        <f>BY36*VLOOKUP('Données projet'!$B$12,Paramètres!$A$1:$I$89,3,0)*VLOOKUP('Données projet'!$B$12,Paramètres!$A$1:$I$89,5,0)</f>
        <v>93.287999999999997</v>
      </c>
      <c r="CA36" s="13">
        <f t="shared" si="39"/>
        <v>25.356547829040977</v>
      </c>
      <c r="CB36" s="20">
        <f t="shared" si="10"/>
        <v>206.63925413557968</v>
      </c>
      <c r="CC36" s="59">
        <f t="shared" si="11"/>
        <v>499.97258746891299</v>
      </c>
      <c r="CD36" s="59">
        <f ca="1">AVERAGE(OFFSET($CC$3,0,0,'Données projet'!$E$12+1,1))-AVERAGE(OFFSET($H$3,0,0,'Données projet'!$E$12+1,1))</f>
        <v>165.39579887388538</v>
      </c>
      <c r="CE36" s="59">
        <f t="shared" si="40"/>
        <v>155.89639262545802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6.7074733780528639</v>
      </c>
      <c r="CM36" s="21">
        <f>EXP(-LN(2)/2)*CM35+(1-EXP(-LN(2)/2))/(LN(2)/2)*CG36*CJ36*VLOOKUP('Données projet'!$B$12,Paramètres!$A$1:$I$89,3,0)*0.475*44/12</f>
        <v>4.9073336957983251</v>
      </c>
      <c r="CN36" s="22">
        <f t="shared" si="12"/>
        <v>11.614807073851189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13</v>
      </c>
      <c r="CT36" s="12">
        <f>IF('Données projet'!$A$140&gt;35,CT35+CS36-DB35,IF(A36&lt;'Données projet'!$A$140,$CQ$205^A36,IF(A36='Données projet'!$A$140,'Données projet'!$B$140,CT35+CS36-DB35)))</f>
        <v>147</v>
      </c>
      <c r="CU36" s="17">
        <f>CT36*VLOOKUP('Données projet'!$B$13,Paramètres!$A$1:$I$89,3,0)*VLOOKUP('Données projet'!$B$13,Paramètres!$A$1:$I$89,5,0)</f>
        <v>114.66000000000001</v>
      </c>
      <c r="CV36" s="13">
        <f t="shared" si="41"/>
        <v>30.426251641117418</v>
      </c>
      <c r="CW36" s="20">
        <f t="shared" si="13"/>
        <v>252.69188827494614</v>
      </c>
      <c r="CX36" s="59">
        <f t="shared" si="14"/>
        <v>546.02522160827948</v>
      </c>
      <c r="CY36" s="59">
        <f ca="1">AVERAGE(OFFSET($CX$3,0,0,'Données projet'!$E$13+1,1))-AVERAGE(OFFSET($H$3,0,0,'Données projet'!$E$13+1,1))</f>
        <v>190.06335940156185</v>
      </c>
      <c r="CZ36" s="59">
        <f t="shared" si="42"/>
        <v>166.43663896839928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4.1099631725374106</v>
      </c>
      <c r="DH36" s="21">
        <f>EXP(-LN(2)/2)*DH35+(1-EXP(-LN(2)/2))/(LN(2)/2)*DB36*DE36*VLOOKUP('Données projet'!$B$13,Paramètres!$A$1:$I$89,3,0)*0.475*44/12</f>
        <v>1.8831663737548974</v>
      </c>
      <c r="DI36" s="22">
        <f t="shared" si="15"/>
        <v>5.993129546292308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8.1999999999999993</v>
      </c>
      <c r="DO36" s="12">
        <f>IF('Données projet'!$A$166&gt;35,DO35+DN36-DW35,IF(A36&lt;'Données projet'!$A$166,$DL$205^A36,IF(A36='Données projet'!$A$166,'Données projet'!$B$166,DO35+DN36-DW35)))</f>
        <v>100.59999999999998</v>
      </c>
      <c r="DP36" s="17">
        <f>DO36*VLOOKUP('Données projet'!$B$14,Paramètres!$A$1:$I$89,3,0)*VLOOKUP('Données projet'!$B$14,Paramètres!$A$1:$I$89,5,0)</f>
        <v>97.300319999999985</v>
      </c>
      <c r="DQ36" s="13">
        <f t="shared" si="43"/>
        <v>26.317815171934939</v>
      </c>
      <c r="DR36" s="20">
        <f t="shared" si="16"/>
        <v>215.30158542445329</v>
      </c>
      <c r="DS36" s="59">
        <f t="shared" si="17"/>
        <v>508.63491875778664</v>
      </c>
      <c r="DT36" s="59">
        <f ca="1">AVERAGE(OFFSET($DS$3,0,0,'Données projet'!$E$14+1,1))-AVERAGE(OFFSET($H$3,0,0,'Données projet'!$E$14+1,1))</f>
        <v>261.22357949323879</v>
      </c>
      <c r="DU36" s="59">
        <f t="shared" si="44"/>
        <v>163.41029152029387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3.0551525671661315</v>
      </c>
      <c r="EC36" s="21">
        <f>EXP(-LN(2)/2)*EC35+(1-EXP(-LN(2)/2))/(LN(2)/2)*DW36*DZ36*VLOOKUP('Données projet'!$B$14,Paramètres!$A$1:$I$89,3,0)*0.475*44/12</f>
        <v>2.339179741528469</v>
      </c>
      <c r="ED36" s="22">
        <f t="shared" si="18"/>
        <v>5.3943323086946009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7</v>
      </c>
      <c r="EJ36" s="12">
        <f>IF('Données projet'!$A$192&gt;35,EJ35+EI36-ER35,IF(A36&lt;'Données projet'!$A$192,$EG$205^A36,IF(A36='Données projet'!$A$192,'Données projet'!$B$192,EJ35+EI36-ER35)))</f>
        <v>168.7</v>
      </c>
      <c r="EK36" s="17">
        <f>EJ36*VLOOKUP('Données projet'!$B$15,Paramètres!$A$1:$I$89,3,0)*VLOOKUP('Données projet'!$B$15,Paramètres!$A$1:$I$89,5,0)</f>
        <v>78.951599999999999</v>
      </c>
      <c r="EL36" s="13">
        <f t="shared" si="45"/>
        <v>21.880648405433348</v>
      </c>
      <c r="EM36" s="20">
        <f t="shared" si="19"/>
        <v>175.61616597279638</v>
      </c>
      <c r="EN36" s="59">
        <f t="shared" si="20"/>
        <v>468.94949930612972</v>
      </c>
      <c r="EO36" s="59">
        <f ca="1">AVERAGE(OFFSET($EN$3,0,0,'Données projet'!$E$15+1,1))-AVERAGE(OFFSET($H$3,0,0,'Données projet'!$E$15+1,1))</f>
        <v>123.60520571614535</v>
      </c>
      <c r="EP36" s="59">
        <f t="shared" si="46"/>
        <v>119.00926870519527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0.81727468061432995</v>
      </c>
      <c r="EW36" s="21">
        <f>EXP(-LN(2)/25)*EW35+(1-EXP(-LN(2)/25))/(LN(2)/25)*Calculateur!ER36*Calculateur!ET36*VLOOKUP('Données projet'!$B$15,Paramètres!$A$1:$I$89,3,0)*0.475*44/12</f>
        <v>4.39551390864019</v>
      </c>
      <c r="EX36" s="21">
        <f>EXP(-LN(2)/2)*EX35+(1-EXP(-LN(2)/2))/(LN(2)/2)*ER36*EU36*VLOOKUP('Données projet'!$B$15,Paramètres!$A$1:$I$89,3,0)*0.475*44/12</f>
        <v>2.1615230732279023</v>
      </c>
      <c r="EY36" s="22">
        <f t="shared" si="21"/>
        <v>7.3743116624824214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8.1</v>
      </c>
      <c r="FE36" s="12">
        <f>IF('Données projet'!$A$218&gt;35,FE35+FD36-FM35,IF(A36&lt;'Données projet'!$A$218,$FB$205^A36,IF(A36='Données projet'!$A$218,'Données projet'!$B$218,FE35+FD36-FM35)))</f>
        <v>117.30000000000001</v>
      </c>
      <c r="FF36" s="17">
        <f>FE36*VLOOKUP('Données projet'!$B$16,Paramètres!$A$1:$I$89,3,0)*VLOOKUP('Données projet'!$B$16,Paramètres!$A$1:$I$89,5,0)</f>
        <v>86.004360000000005</v>
      </c>
      <c r="FG36" s="13">
        <f t="shared" si="47"/>
        <v>23.599040780210803</v>
      </c>
      <c r="FH36" s="20">
        <f t="shared" si="22"/>
        <v>190.89258969220046</v>
      </c>
      <c r="FI36" s="59">
        <f t="shared" si="23"/>
        <v>484.2259230255338</v>
      </c>
      <c r="FJ36" s="59">
        <f ca="1">AVERAGE(OFFSET($FI$3,0,0,'Données projet'!$E$16+1,1))-AVERAGE(OFFSET($H$3,0,0,'Données projet'!$E$16+1,1))</f>
        <v>124.15919323713428</v>
      </c>
      <c r="FK36" s="59">
        <f t="shared" si="48"/>
        <v>157.85954678210715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4.6252191336962865</v>
      </c>
      <c r="FS36" s="21">
        <f>EXP(-LN(2)/2)*FS35+(1-EXP(-LN(2)/2))/(LN(2)/2)*FM36*FP36*VLOOKUP('Données projet'!$B$16,Paramètres!$A$1:$I$89,3,0)*0.475*44/12</f>
        <v>2.6082813598053205</v>
      </c>
      <c r="FT36" s="22">
        <f t="shared" si="24"/>
        <v>7.233500493501607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8.1999999999999993</v>
      </c>
      <c r="N37" s="13">
        <f>IF('Données projet'!$A$36&gt;35,N36+M37-V36,IF(A37&lt;'Données projet'!$A$36,$K$205^A37,IF(A37='Données projet'!$A$36,'Données projet'!$B$36,N36+M37-V36)))</f>
        <v>108.79999999999998</v>
      </c>
      <c r="O37" s="13">
        <f>N37*VLOOKUP('Données projet'!$B$9,Paramètres!$A$1:$I$89,3,0)*VLOOKUP('Données projet'!$B$9,Paramètres!$A$1:$I$89,5,0)</f>
        <v>98.442239999999984</v>
      </c>
      <c r="P37" s="13">
        <f t="shared" si="33"/>
        <v>26.590544283900247</v>
      </c>
      <c r="Q37" s="20">
        <f t="shared" si="53"/>
        <v>217.76543262779288</v>
      </c>
      <c r="R37" s="59">
        <f t="shared" si="0"/>
        <v>511.09876596112622</v>
      </c>
      <c r="S37" s="59">
        <f ca="1">AVERAGE(OFFSET($R$3,0,0,'Données projet'!$E$9+1,1))-AVERAGE(OFFSET($H$3,0,0,'Données projet'!$E$9+1,1))</f>
        <v>237.22177246688199</v>
      </c>
      <c r="T37" s="59">
        <f t="shared" si="34"/>
        <v>149.27472147904302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2.7798925331306776</v>
      </c>
      <c r="AB37" s="21">
        <f>EXP(-LN(2)/2)*AB36+(1-EXP(-LN(2)/2))/(LN(2)/2)*V37*Y37*VLOOKUP('Données projet'!$B$9,Paramètres!$A$1:$I$89,3,0)*0.475*44/12</f>
        <v>1.5473369636071068</v>
      </c>
      <c r="AC37" s="22">
        <f t="shared" si="3"/>
        <v>4.3272294967377842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8.6999999999999993</v>
      </c>
      <c r="AI37" s="13">
        <f>IF('Données projet'!$A$62&gt;35,AI36+AH37-AQ36,IF(A37&lt;'Données projet'!$A$62,$AF$205^A37,IF(A37='Données projet'!$A$62,'Données projet'!$B$62,AI36+AH37-AQ36)))</f>
        <v>147.79999999999993</v>
      </c>
      <c r="AJ37" s="13">
        <f>AI37*VLOOKUP('Données projet'!$B$10,Paramètres!$A$1:$I$89,3,0)*VLOOKUP('Données projet'!$B$10,Paramètres!$A$1:$I$89,5,0)</f>
        <v>129.11807999999996</v>
      </c>
      <c r="AK37" s="13">
        <f t="shared" si="35"/>
        <v>33.792492849789191</v>
      </c>
      <c r="AL37" s="20">
        <f t="shared" si="4"/>
        <v>283.73591438004945</v>
      </c>
      <c r="AM37" s="59">
        <f t="shared" si="5"/>
        <v>577.06924771338277</v>
      </c>
      <c r="AN37" s="59">
        <f ca="1">AVERAGE(OFFSET($AM$3,0,0,'Données projet'!$E$10+1,1))-AVERAGE(OFFSET($H$3,0,0,'Données projet'!$E$10+1,1))</f>
        <v>191.94797389630673</v>
      </c>
      <c r="AO37" s="59">
        <f t="shared" si="36"/>
        <v>273.52540822767878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2.3785728247604174</v>
      </c>
      <c r="AV37" s="21">
        <f>EXP(-LN(2)/25)*AV36+(1-EXP(-LN(2)/25))/(LN(2)/25)*Calculateur!AQ37*Calculateur!AS37*VLOOKUP('Données projet'!$B$10,Paramètres!$A$1:$I$89,3,0)*0.475*44/12</f>
        <v>12.573447388476453</v>
      </c>
      <c r="AW37" s="21">
        <f>EXP(-LN(2)/2)*AW36+(1-EXP(-LN(2)/2))/(LN(2)/2)*AQ37*AT37*VLOOKUP('Données projet'!$B$10,Paramètres!$A$1:$I$89,3,0)*0.475*44/12</f>
        <v>5.8007657299173436</v>
      </c>
      <c r="AX37" s="21">
        <f t="shared" si="6"/>
        <v>20.752785943154215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>
        <f>VLOOKUP(A37,'Données projet'!$A$87:$I$107,2,0)</f>
        <v>143</v>
      </c>
      <c r="BB37" s="12">
        <f>VLOOKUP(A37,'Données projet'!$A$87:$I$107,9,0)</f>
        <v>8</v>
      </c>
      <c r="BC37" s="12">
        <f t="array" ref="BC37">INDEX(BB:BB,MIN(IF(ISNUMBER(BB37:BB233),ROW(BB37:BB233),"")))</f>
        <v>8</v>
      </c>
      <c r="BD37" s="12">
        <f>IF('Données projet'!$A$88&gt;35,BD36+BC37-BL36,IF(A37&lt;'Données projet'!$A$88,$BA$205^A37,IF(A37='Données projet'!$A$88,'Données projet'!$B$88,BD36+BC37-BL36)))</f>
        <v>143</v>
      </c>
      <c r="BE37" s="13">
        <f>BD37*VLOOKUP('Données projet'!$B$11,Paramètres!$A$1:$I$89,3,0)*VLOOKUP('Données projet'!$B$11,Paramètres!$A$1:$I$89,5,0)</f>
        <v>85.51400000000001</v>
      </c>
      <c r="BF37" s="13">
        <f t="shared" si="37"/>
        <v>23.480111436812177</v>
      </c>
      <c r="BG37" s="20">
        <f t="shared" si="7"/>
        <v>189.83141075244791</v>
      </c>
      <c r="BH37" s="59">
        <f t="shared" si="8"/>
        <v>483.16474408578119</v>
      </c>
      <c r="BI37" s="59">
        <f ca="1">AVERAGE(OFFSET($BH$3,0,0,'Données projet'!$E$11+1,1))-AVERAGE(OFFSET($H$3,0,0,'Données projet'!$E$11+1,1))</f>
        <v>72.647148358003676</v>
      </c>
      <c r="BJ37" s="59">
        <f t="shared" si="38"/>
        <v>87.231299224620898</v>
      </c>
      <c r="BK37" s="15">
        <f>IF(ISNA(VLOOKUP(A37,'Données projet'!$A$87:$I$107,3,0)),0,VLOOKUP(A37,'Données projet'!$A$87:$I$107,3,0))</f>
        <v>5</v>
      </c>
      <c r="BL37" s="15">
        <f>IF(ISNA(VLOOKUP(A37,'Données projet'!$A$87:$I$107,4,0)),0,VLOOKUP(A37,'Données projet'!$A$87:$I$107,4,0))</f>
        <v>25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1.1755680821231742</v>
      </c>
      <c r="BQ37" s="21">
        <f>EXP(-LN(2)/25)*BQ36+(1-EXP(-LN(2)/25))/(LN(2)/25)*Calculateur!BL37*Calculateur!BN37*VLOOKUP('Données projet'!$B$11,Paramètres!$A$1:$I$89,3,0)*0.475*44/12</f>
        <v>4.0554731129736359</v>
      </c>
      <c r="BR37" s="21">
        <f>EXP(-LN(2)/2)*BR36+(1-EXP(-LN(2)/2))/(LN(2)/2)*BL37*BO37*VLOOKUP('Données projet'!$B$11,Paramètres!$A$1:$I$89,3,0)*0.475*44/12</f>
        <v>0.57022402906769631</v>
      </c>
      <c r="BS37" s="22">
        <f t="shared" si="9"/>
        <v>5.8012652241645064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11</v>
      </c>
      <c r="BY37" s="12">
        <f>IF('Données projet'!$A$114&gt;35,BY36+BX37-CG36,IF(A37&lt;'Données projet'!$A$114,$BV$205^A37,IF(A37='Données projet'!$A$114,'Données projet'!$B$114,BY36+BX37-CG36)))</f>
        <v>166.99999999999997</v>
      </c>
      <c r="BZ37" s="13">
        <f>BY37*VLOOKUP('Données projet'!$B$12,Paramètres!$A$1:$I$89,3,0)*VLOOKUP('Données projet'!$B$12,Paramètres!$A$1:$I$89,5,0)</f>
        <v>99.866</v>
      </c>
      <c r="CA37" s="13">
        <f t="shared" si="39"/>
        <v>26.93007140526165</v>
      </c>
      <c r="CB37" s="20">
        <f t="shared" si="10"/>
        <v>220.83649103083067</v>
      </c>
      <c r="CC37" s="59">
        <f t="shared" si="11"/>
        <v>514.16982436416401</v>
      </c>
      <c r="CD37" s="59">
        <f ca="1">AVERAGE(OFFSET($CC$3,0,0,'Données projet'!$E$12+1,1))-AVERAGE(OFFSET($H$3,0,0,'Données projet'!$E$12+1,1))</f>
        <v>165.39579887388538</v>
      </c>
      <c r="CE37" s="59">
        <f t="shared" si="40"/>
        <v>155.89639262545802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6.5240571657993138</v>
      </c>
      <c r="CM37" s="21">
        <f>EXP(-LN(2)/2)*CM36+(1-EXP(-LN(2)/2))/(LN(2)/2)*CG37*CJ37*VLOOKUP('Données projet'!$B$12,Paramètres!$A$1:$I$89,3,0)*0.475*44/12</f>
        <v>3.4700089338442379</v>
      </c>
      <c r="CN37" s="22">
        <f t="shared" si="12"/>
        <v>9.9940660996435522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13</v>
      </c>
      <c r="CT37" s="12">
        <f>IF('Données projet'!$A$140&gt;35,CT36+CS37-DB36,IF(A37&lt;'Données projet'!$A$140,$CQ$205^A37,IF(A37='Données projet'!$A$140,'Données projet'!$B$140,CT36+CS37-DB36)))</f>
        <v>160</v>
      </c>
      <c r="CU37" s="17">
        <f>CT37*VLOOKUP('Données projet'!$B$13,Paramètres!$A$1:$I$89,3,0)*VLOOKUP('Données projet'!$B$13,Paramètres!$A$1:$I$89,5,0)</f>
        <v>124.80000000000001</v>
      </c>
      <c r="CV37" s="13">
        <f t="shared" si="41"/>
        <v>32.791952217579265</v>
      </c>
      <c r="CW37" s="20">
        <f t="shared" si="13"/>
        <v>274.47265011228387</v>
      </c>
      <c r="CX37" s="59">
        <f t="shared" si="14"/>
        <v>567.80598344561713</v>
      </c>
      <c r="CY37" s="59">
        <f ca="1">AVERAGE(OFFSET($CX$3,0,0,'Données projet'!$E$13+1,1))-AVERAGE(OFFSET($H$3,0,0,'Données projet'!$E$13+1,1))</f>
        <v>190.06335940156185</v>
      </c>
      <c r="CZ37" s="59">
        <f t="shared" si="42"/>
        <v>166.43663896839928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3.9975760134508054</v>
      </c>
      <c r="DH37" s="21">
        <f>EXP(-LN(2)/2)*DH36+(1-EXP(-LN(2)/2))/(LN(2)/2)*DB37*DE37*VLOOKUP('Données projet'!$B$13,Paramètres!$A$1:$I$89,3,0)*0.475*44/12</f>
        <v>1.3315997129845685</v>
      </c>
      <c r="DI37" s="22">
        <f t="shared" si="15"/>
        <v>5.3291757264353734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8.1999999999999993</v>
      </c>
      <c r="DO37" s="12">
        <f>IF('Données projet'!$A$166&gt;35,DO36+DN37-DW36,IF(A37&lt;'Données projet'!$A$166,$DL$205^A37,IF(A37='Données projet'!$A$166,'Données projet'!$B$166,DO36+DN37-DW36)))</f>
        <v>108.79999999999998</v>
      </c>
      <c r="DP37" s="17">
        <f>DO37*VLOOKUP('Données projet'!$B$14,Paramètres!$A$1:$I$89,3,0)*VLOOKUP('Données projet'!$B$14,Paramètres!$A$1:$I$89,5,0)</f>
        <v>105.23135999999998</v>
      </c>
      <c r="DQ37" s="13">
        <f t="shared" si="43"/>
        <v>28.204574272897808</v>
      </c>
      <c r="DR37" s="20">
        <f t="shared" si="16"/>
        <v>232.40091885863032</v>
      </c>
      <c r="DS37" s="59">
        <f t="shared" si="17"/>
        <v>525.73425219196361</v>
      </c>
      <c r="DT37" s="59">
        <f ca="1">AVERAGE(OFFSET($DS$3,0,0,'Données projet'!$E$14+1,1))-AVERAGE(OFFSET($H$3,0,0,'Données projet'!$E$14+1,1))</f>
        <v>261.22357949323879</v>
      </c>
      <c r="DU37" s="59">
        <f t="shared" si="44"/>
        <v>163.41029152029387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2.9716092595534827</v>
      </c>
      <c r="EC37" s="21">
        <f>EXP(-LN(2)/2)*EC36+(1-EXP(-LN(2)/2))/(LN(2)/2)*DW37*DZ37*VLOOKUP('Données projet'!$B$14,Paramètres!$A$1:$I$89,3,0)*0.475*44/12</f>
        <v>1.6540498576489759</v>
      </c>
      <c r="ED37" s="22">
        <f t="shared" si="18"/>
        <v>4.6256591172024581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7</v>
      </c>
      <c r="EJ37" s="12">
        <f>IF('Données projet'!$A$192&gt;35,EJ36+EI37-ER36,IF(A37&lt;'Données projet'!$A$192,$EG$205^A37,IF(A37='Données projet'!$A$192,'Données projet'!$B$192,EJ36+EI37-ER36)))</f>
        <v>175.7</v>
      </c>
      <c r="EK37" s="17">
        <f>EJ37*VLOOKUP('Données projet'!$B$15,Paramètres!$A$1:$I$89,3,0)*VLOOKUP('Données projet'!$B$15,Paramètres!$A$1:$I$89,5,0)</f>
        <v>82.227599999999995</v>
      </c>
      <c r="EL37" s="13">
        <f t="shared" si="45"/>
        <v>22.68097025884375</v>
      </c>
      <c r="EM37" s="20">
        <f t="shared" si="19"/>
        <v>182.71575986748618</v>
      </c>
      <c r="EN37" s="59">
        <f t="shared" si="20"/>
        <v>476.04909320081947</v>
      </c>
      <c r="EO37" s="59">
        <f ca="1">AVERAGE(OFFSET($EN$3,0,0,'Données projet'!$E$15+1,1))-AVERAGE(OFFSET($H$3,0,0,'Données projet'!$E$15+1,1))</f>
        <v>123.60520571614535</v>
      </c>
      <c r="EP37" s="59">
        <f t="shared" si="46"/>
        <v>119.00926870519527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0.80124842261581652</v>
      </c>
      <c r="EW37" s="21">
        <f>EXP(-LN(2)/25)*EW36+(1-EXP(-LN(2)/25))/(LN(2)/25)*Calculateur!ER37*Calculateur!ET37*VLOOKUP('Données projet'!$B$15,Paramètres!$A$1:$I$89,3,0)*0.475*44/12</f>
        <v>4.2753183496583933</v>
      </c>
      <c r="EX37" s="21">
        <f>EXP(-LN(2)/2)*EX36+(1-EXP(-LN(2)/2))/(LN(2)/2)*ER37*EU37*VLOOKUP('Données projet'!$B$15,Paramètres!$A$1:$I$89,3,0)*0.475*44/12</f>
        <v>1.5284276227706362</v>
      </c>
      <c r="EY37" s="22">
        <f t="shared" si="21"/>
        <v>6.6049943950448462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8.1</v>
      </c>
      <c r="FE37" s="12">
        <f>IF('Données projet'!$A$218&gt;35,FE36+FD37-FM36,IF(A37&lt;'Données projet'!$A$218,$FB$205^A37,IF(A37='Données projet'!$A$218,'Données projet'!$B$218,FE36+FD37-FM36)))</f>
        <v>125.4</v>
      </c>
      <c r="FF37" s="17">
        <f>FE37*VLOOKUP('Données projet'!$B$16,Paramètres!$A$1:$I$89,3,0)*VLOOKUP('Données projet'!$B$16,Paramètres!$A$1:$I$89,5,0)</f>
        <v>91.943280000000001</v>
      </c>
      <c r="FG37" s="13">
        <f t="shared" si="47"/>
        <v>25.033313055666699</v>
      </c>
      <c r="FH37" s="20">
        <f t="shared" si="22"/>
        <v>203.73423290528615</v>
      </c>
      <c r="FI37" s="59">
        <f t="shared" si="23"/>
        <v>497.06756623861946</v>
      </c>
      <c r="FJ37" s="59">
        <f ca="1">AVERAGE(OFFSET($FI$3,0,0,'Données projet'!$E$16+1,1))-AVERAGE(OFFSET($H$3,0,0,'Données projet'!$E$16+1,1))</f>
        <v>124.15919323713428</v>
      </c>
      <c r="FK37" s="59">
        <f t="shared" si="48"/>
        <v>157.85954678210715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4.4987422732556581</v>
      </c>
      <c r="FS37" s="21">
        <f>EXP(-LN(2)/2)*FS36+(1-EXP(-LN(2)/2))/(LN(2)/2)*FM37*FP37*VLOOKUP('Données projet'!$B$16,Paramètres!$A$1:$I$89,3,0)*0.475*44/12</f>
        <v>1.8443334367608115</v>
      </c>
      <c r="FT37" s="22">
        <f t="shared" si="24"/>
        <v>6.3430757100164694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8.1999999999999993</v>
      </c>
      <c r="N38" s="13">
        <f>IF('Données projet'!$A$36&gt;35,N37+M38-V37,IF(A38&lt;'Données projet'!$A$36,$K$205^A38,IF(A38='Données projet'!$A$36,'Données projet'!$B$36,N37+M38-V37)))</f>
        <v>116.99999999999999</v>
      </c>
      <c r="O38" s="13">
        <f>N38*VLOOKUP('Données projet'!$B$9,Paramètres!$A$1:$I$89,3,0)*VLOOKUP('Données projet'!$B$9,Paramètres!$A$1:$I$89,5,0)</f>
        <v>105.86159999999998</v>
      </c>
      <c r="P38" s="13">
        <f t="shared" si="33"/>
        <v>28.353779818951288</v>
      </c>
      <c r="Q38" s="20">
        <f t="shared" si="53"/>
        <v>233.75845318467347</v>
      </c>
      <c r="R38" s="59">
        <f t="shared" si="0"/>
        <v>527.09178651800676</v>
      </c>
      <c r="S38" s="59">
        <f ca="1">AVERAGE(OFFSET($R$3,0,0,'Données projet'!$E$9+1,1))-AVERAGE(OFFSET($H$3,0,0,'Données projet'!$E$9+1,1))</f>
        <v>237.22177246688199</v>
      </c>
      <c r="T38" s="59">
        <f t="shared" si="34"/>
        <v>149.27472147904302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2.7038762256240245</v>
      </c>
      <c r="AB38" s="21">
        <f>EXP(-LN(2)/2)*AB37+(1-EXP(-LN(2)/2))/(LN(2)/2)*V38*Y38*VLOOKUP('Données projet'!$B$9,Paramètres!$A$1:$I$89,3,0)*0.475*44/12</f>
        <v>1.0941324597471873</v>
      </c>
      <c r="AC38" s="22">
        <f t="shared" si="3"/>
        <v>3.7980086853712116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8.6999999999999993</v>
      </c>
      <c r="AI38" s="13">
        <f>IF('Données projet'!$A$62&gt;35,AI37+AH38-AQ37,IF(A38&lt;'Données projet'!$A$62,$AF$205^A38,IF(A38='Données projet'!$A$62,'Données projet'!$B$62,AI37+AH38-AQ37)))</f>
        <v>156.49999999999991</v>
      </c>
      <c r="AJ38" s="13">
        <f>AI38*VLOOKUP('Données projet'!$B$10,Paramètres!$A$1:$I$89,3,0)*VLOOKUP('Données projet'!$B$10,Paramètres!$A$1:$I$89,5,0)</f>
        <v>136.71839999999995</v>
      </c>
      <c r="AK38" s="13">
        <f t="shared" si="35"/>
        <v>35.544202389747838</v>
      </c>
      <c r="AL38" s="20">
        <f t="shared" si="4"/>
        <v>300.02403249547734</v>
      </c>
      <c r="AM38" s="59">
        <f t="shared" si="5"/>
        <v>593.35736582881066</v>
      </c>
      <c r="AN38" s="59">
        <f ca="1">AVERAGE(OFFSET($AM$3,0,0,'Données projet'!$E$10+1,1))-AVERAGE(OFFSET($H$3,0,0,'Données projet'!$E$10+1,1))</f>
        <v>191.94797389630673</v>
      </c>
      <c r="AO38" s="59">
        <f t="shared" si="36"/>
        <v>273.52540822767878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2.3319304624530357</v>
      </c>
      <c r="AV38" s="21">
        <f>EXP(-LN(2)/25)*AV37+(1-EXP(-LN(2)/25))/(LN(2)/25)*Calculateur!AQ38*Calculateur!AS38*VLOOKUP('Données projet'!$B$10,Paramètres!$A$1:$I$89,3,0)*0.475*44/12</f>
        <v>12.229625808429702</v>
      </c>
      <c r="AW38" s="21">
        <f>EXP(-LN(2)/2)*AW37+(1-EXP(-LN(2)/2))/(LN(2)/2)*AQ38*AT38*VLOOKUP('Données projet'!$B$10,Paramètres!$A$1:$I$89,3,0)*0.475*44/12</f>
        <v>4.1017607836990866</v>
      </c>
      <c r="AX38" s="21">
        <f t="shared" si="6"/>
        <v>18.663317054581825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7.166666666666667</v>
      </c>
      <c r="BD38" s="12">
        <f>IF('Données projet'!$A$88&gt;35,BD37+BC38-BL37,IF(A38&lt;'Données projet'!$A$88,$BA$205^A38,IF(A38='Données projet'!$A$88,'Données projet'!$B$88,BD37+BC38-BL37)))</f>
        <v>125.16666666666666</v>
      </c>
      <c r="BE38" s="13">
        <f>BD38*VLOOKUP('Données projet'!$B$11,Paramètres!$A$1:$I$89,3,0)*VLOOKUP('Données projet'!$B$11,Paramètres!$A$1:$I$89,5,0)</f>
        <v>74.849666666666664</v>
      </c>
      <c r="BF38" s="13">
        <f t="shared" si="37"/>
        <v>20.873065432934762</v>
      </c>
      <c r="BG38" s="20">
        <f t="shared" si="7"/>
        <v>166.71709174013915</v>
      </c>
      <c r="BH38" s="59">
        <f t="shared" si="8"/>
        <v>460.05042507347247</v>
      </c>
      <c r="BI38" s="59">
        <f ca="1">AVERAGE(OFFSET($BH$3,0,0,'Données projet'!$E$11+1,1))-AVERAGE(OFFSET($H$3,0,0,'Données projet'!$E$11+1,1))</f>
        <v>72.647148358003676</v>
      </c>
      <c r="BJ38" s="59">
        <f t="shared" si="38"/>
        <v>87.231299224620898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1.1525159090584685</v>
      </c>
      <c r="BQ38" s="21">
        <f>EXP(-LN(2)/25)*BQ37+(1-EXP(-LN(2)/25))/(LN(2)/25)*Calculateur!BL38*Calculateur!BN38*VLOOKUP('Données projet'!$B$11,Paramètres!$A$1:$I$89,3,0)*0.475*44/12</f>
        <v>3.9445759874313095</v>
      </c>
      <c r="BR38" s="21">
        <f>EXP(-LN(2)/2)*BR37+(1-EXP(-LN(2)/2))/(LN(2)/2)*BL38*BO38*VLOOKUP('Données projet'!$B$11,Paramètres!$A$1:$I$89,3,0)*0.475*44/12</f>
        <v>0.40320927774928306</v>
      </c>
      <c r="BS38" s="22">
        <f t="shared" si="9"/>
        <v>5.5003011742390608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11</v>
      </c>
      <c r="BY38" s="12">
        <f>IF('Données projet'!$A$114&gt;35,BY37+BX38-CG37,IF(A38&lt;'Données projet'!$A$114,$BV$205^A38,IF(A38='Données projet'!$A$114,'Données projet'!$B$114,BY37+BX38-CG37)))</f>
        <v>177.99999999999997</v>
      </c>
      <c r="BZ38" s="13">
        <f>BY38*VLOOKUP('Données projet'!$B$12,Paramètres!$A$1:$I$89,3,0)*VLOOKUP('Données projet'!$B$12,Paramètres!$A$1:$I$89,5,0)</f>
        <v>106.444</v>
      </c>
      <c r="CA38" s="13">
        <f t="shared" si="39"/>
        <v>28.491567625901922</v>
      </c>
      <c r="CB38" s="20">
        <f t="shared" si="10"/>
        <v>235.01278028177913</v>
      </c>
      <c r="CC38" s="59">
        <f t="shared" si="11"/>
        <v>528.34611361511247</v>
      </c>
      <c r="CD38" s="59">
        <f ca="1">AVERAGE(OFFSET($CC$3,0,0,'Données projet'!$E$12+1,1))-AVERAGE(OFFSET($H$3,0,0,'Données projet'!$E$12+1,1))</f>
        <v>165.39579887388538</v>
      </c>
      <c r="CE38" s="59">
        <f t="shared" si="40"/>
        <v>155.89639262545802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6.3456564795152763</v>
      </c>
      <c r="CM38" s="21">
        <f>EXP(-LN(2)/2)*CM37+(1-EXP(-LN(2)/2))/(LN(2)/2)*CG38*CJ38*VLOOKUP('Données projet'!$B$12,Paramètres!$A$1:$I$89,3,0)*0.475*44/12</f>
        <v>2.4536668478991626</v>
      </c>
      <c r="CN38" s="22">
        <f t="shared" si="12"/>
        <v>8.799323327414438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173</v>
      </c>
      <c r="CR38" s="12">
        <f>VLOOKUP(A38,'Données projet'!$A$139:$I$159,9,0)</f>
        <v>13</v>
      </c>
      <c r="CS38" s="12">
        <f t="array" ref="CS38">INDEX(CR:CR,MIN(IF(ISNUMBER(CR38:CR234),ROW(CR38:CR234),"")))</f>
        <v>13</v>
      </c>
      <c r="CT38" s="12">
        <f>IF('Données projet'!$A$140&gt;35,CT37+CS38-DB37,IF(A38&lt;'Données projet'!$A$140,$CQ$205^A38,IF(A38='Données projet'!$A$140,'Données projet'!$B$140,CT37+CS38-DB37)))</f>
        <v>173</v>
      </c>
      <c r="CU38" s="17">
        <f>CT38*VLOOKUP('Données projet'!$B$13,Paramètres!$A$1:$I$89,3,0)*VLOOKUP('Données projet'!$B$13,Paramètres!$A$1:$I$89,5,0)</f>
        <v>134.94</v>
      </c>
      <c r="CV38" s="13">
        <f t="shared" si="41"/>
        <v>35.135358771568036</v>
      </c>
      <c r="CW38" s="20">
        <f t="shared" si="13"/>
        <v>296.21458319381429</v>
      </c>
      <c r="CX38" s="59">
        <f t="shared" si="14"/>
        <v>589.54791652714766</v>
      </c>
      <c r="CY38" s="59">
        <f ca="1">AVERAGE(OFFSET($CX$3,0,0,'Données projet'!$E$13+1,1))-AVERAGE(OFFSET($H$3,0,0,'Données projet'!$E$13+1,1))</f>
        <v>190.06335940156185</v>
      </c>
      <c r="CZ38" s="59">
        <f t="shared" si="42"/>
        <v>166.43663896839928</v>
      </c>
      <c r="DA38" s="15">
        <f>IF(ISNA(VLOOKUP(A38,'Données projet'!$A$139:$I$159,3,0)),0,VLOOKUP(A38,'Données projet'!$A$139:$I$159,3,0))</f>
        <v>3</v>
      </c>
      <c r="DB38" s="15">
        <f>IF(ISNA(VLOOKUP(A38,'Données projet'!$A$139:$I$159,4,0)),0,VLOOKUP(A38,'Données projet'!$A$139:$I$159,4,0))</f>
        <v>27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3.8882620871396072</v>
      </c>
      <c r="DH38" s="21">
        <f>EXP(-LN(2)/2)*DH37+(1-EXP(-LN(2)/2))/(LN(2)/2)*DB38*DE38*VLOOKUP('Données projet'!$B$13,Paramètres!$A$1:$I$89,3,0)*0.475*44/12</f>
        <v>0.9415831868774488</v>
      </c>
      <c r="DI38" s="22">
        <f t="shared" si="15"/>
        <v>4.8298452740170559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8.1999999999999993</v>
      </c>
      <c r="DO38" s="12">
        <f>IF('Données projet'!$A$166&gt;35,DO37+DN38-DW37,IF(A38&lt;'Données projet'!$A$166,$DL$205^A38,IF(A38='Données projet'!$A$166,'Données projet'!$B$166,DO37+DN38-DW37)))</f>
        <v>116.99999999999999</v>
      </c>
      <c r="DP38" s="17">
        <f>DO38*VLOOKUP('Données projet'!$B$14,Paramètres!$A$1:$I$89,3,0)*VLOOKUP('Données projet'!$B$14,Paramètres!$A$1:$I$89,5,0)</f>
        <v>113.16239999999999</v>
      </c>
      <c r="DQ38" s="13">
        <f t="shared" si="43"/>
        <v>30.07483714070494</v>
      </c>
      <c r="DR38" s="20">
        <f t="shared" si="16"/>
        <v>249.47152135339442</v>
      </c>
      <c r="DS38" s="59">
        <f t="shared" si="17"/>
        <v>542.80485468672771</v>
      </c>
      <c r="DT38" s="59">
        <f ca="1">AVERAGE(OFFSET($DS$3,0,0,'Données projet'!$E$14+1,1))-AVERAGE(OFFSET($H$3,0,0,'Données projet'!$E$14+1,1))</f>
        <v>261.22357949323879</v>
      </c>
      <c r="DU38" s="59">
        <f t="shared" si="44"/>
        <v>163.41029152029387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2.8903504480808535</v>
      </c>
      <c r="EC38" s="21">
        <f>EXP(-LN(2)/2)*EC37+(1-EXP(-LN(2)/2))/(LN(2)/2)*DW38*DZ38*VLOOKUP('Données projet'!$B$14,Paramètres!$A$1:$I$89,3,0)*0.475*44/12</f>
        <v>1.1695898707642345</v>
      </c>
      <c r="ED38" s="22">
        <f t="shared" si="18"/>
        <v>4.0599403188450882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7</v>
      </c>
      <c r="EJ38" s="12">
        <f>IF('Données projet'!$A$192&gt;35,EJ37+EI38-ER37,IF(A38&lt;'Données projet'!$A$192,$EG$205^A38,IF(A38='Données projet'!$A$192,'Données projet'!$B$192,EJ37+EI38-ER37)))</f>
        <v>182.7</v>
      </c>
      <c r="EK38" s="17">
        <f>EJ38*VLOOKUP('Données projet'!$B$15,Paramètres!$A$1:$I$89,3,0)*VLOOKUP('Données projet'!$B$15,Paramètres!$A$1:$I$89,5,0)</f>
        <v>85.503599999999992</v>
      </c>
      <c r="EL38" s="13">
        <f t="shared" si="45"/>
        <v>23.477588217192526</v>
      </c>
      <c r="EM38" s="20">
        <f t="shared" si="19"/>
        <v>189.8089028116103</v>
      </c>
      <c r="EN38" s="59">
        <f t="shared" si="20"/>
        <v>483.14223614494358</v>
      </c>
      <c r="EO38" s="59">
        <f ca="1">AVERAGE(OFFSET($EN$3,0,0,'Données projet'!$E$15+1,1))-AVERAGE(OFFSET($H$3,0,0,'Données projet'!$E$15+1,1))</f>
        <v>123.60520571614535</v>
      </c>
      <c r="EP38" s="59">
        <f t="shared" si="46"/>
        <v>119.00926870519527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0.78553642976160176</v>
      </c>
      <c r="EW38" s="21">
        <f>EXP(-LN(2)/25)*EW37+(1-EXP(-LN(2)/25))/(LN(2)/25)*Calculateur!ER38*Calculateur!ET38*VLOOKUP('Données projet'!$B$15,Paramètres!$A$1:$I$89,3,0)*0.475*44/12</f>
        <v>4.158409544557764</v>
      </c>
      <c r="EX38" s="21">
        <f>EXP(-LN(2)/2)*EX37+(1-EXP(-LN(2)/2))/(LN(2)/2)*ER38*EU38*VLOOKUP('Données projet'!$B$15,Paramètres!$A$1:$I$89,3,0)*0.475*44/12</f>
        <v>1.0807615366139514</v>
      </c>
      <c r="EY38" s="22">
        <f t="shared" si="21"/>
        <v>6.0247075109333172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8.1</v>
      </c>
      <c r="FE38" s="12">
        <f>IF('Données projet'!$A$218&gt;35,FE37+FD38-FM37,IF(A38&lt;'Données projet'!$A$218,$FB$205^A38,IF(A38='Données projet'!$A$218,'Données projet'!$B$218,FE37+FD38-FM37)))</f>
        <v>133.5</v>
      </c>
      <c r="FF38" s="17">
        <f>FE38*VLOOKUP('Données projet'!$B$16,Paramètres!$A$1:$I$89,3,0)*VLOOKUP('Données projet'!$B$16,Paramètres!$A$1:$I$89,5,0)</f>
        <v>97.882199999999997</v>
      </c>
      <c r="FG38" s="13">
        <f t="shared" si="47"/>
        <v>26.456834073965403</v>
      </c>
      <c r="FH38" s="20">
        <f t="shared" si="22"/>
        <v>216.5571510121564</v>
      </c>
      <c r="FI38" s="59">
        <f t="shared" si="23"/>
        <v>509.89048434548971</v>
      </c>
      <c r="FJ38" s="59">
        <f ca="1">AVERAGE(OFFSET($FI$3,0,0,'Données projet'!$E$16+1,1))-AVERAGE(OFFSET($H$3,0,0,'Données projet'!$E$16+1,1))</f>
        <v>124.15919323713428</v>
      </c>
      <c r="FK38" s="59">
        <f t="shared" si="48"/>
        <v>157.85954678210715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0</v>
      </c>
      <c r="FR38" s="21">
        <f>EXP(-LN(2)/25)*FR37+(1-EXP(-LN(2)/25))/(LN(2)/25)*Calculateur!FM38*Calculateur!FO38*VLOOKUP('Données projet'!$B$16,Paramètres!$A$1:$I$89,3,0)*0.475*44/12</f>
        <v>4.3757239292149084</v>
      </c>
      <c r="FS38" s="21">
        <f>EXP(-LN(2)/2)*FS37+(1-EXP(-LN(2)/2))/(LN(2)/2)*FM38*FP38*VLOOKUP('Données projet'!$B$16,Paramètres!$A$1:$I$89,3,0)*0.475*44/12</f>
        <v>1.3041406799026605</v>
      </c>
      <c r="FT38" s="22">
        <f t="shared" si="24"/>
        <v>5.6798646091175691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8.1999999999999993</v>
      </c>
      <c r="N39" s="13">
        <f>IF('Données projet'!$A$36&gt;35,N38+M39-V38,IF(A39&lt;'Données projet'!$A$36,$K$205^A39,IF(A39='Données projet'!$A$36,'Données projet'!$B$36,N38+M39-V38)))</f>
        <v>125.19999999999999</v>
      </c>
      <c r="O39" s="13">
        <f>N39*VLOOKUP('Données projet'!$B$9,Paramètres!$A$1:$I$89,3,0)*VLOOKUP('Données projet'!$B$9,Paramètres!$A$1:$I$89,5,0)</f>
        <v>113.28095999999998</v>
      </c>
      <c r="P39" s="13">
        <f t="shared" si="33"/>
        <v>30.102677097724456</v>
      </c>
      <c r="Q39" s="20">
        <f t="shared" si="53"/>
        <v>249.72650127853672</v>
      </c>
      <c r="R39" s="59">
        <f t="shared" si="0"/>
        <v>543.05983461186997</v>
      </c>
      <c r="S39" s="59">
        <f ca="1">AVERAGE(OFFSET($R$3,0,0,'Données projet'!$E$9+1,1))-AVERAGE(OFFSET($H$3,0,0,'Données projet'!$E$9+1,1))</f>
        <v>237.22177246688199</v>
      </c>
      <c r="T39" s="59">
        <f t="shared" si="34"/>
        <v>149.27472147904302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2.6299385880436645</v>
      </c>
      <c r="AB39" s="21">
        <f>EXP(-LN(2)/2)*AB38+(1-EXP(-LN(2)/2))/(LN(2)/2)*V39*Y39*VLOOKUP('Données projet'!$B$9,Paramètres!$A$1:$I$89,3,0)*0.475*44/12</f>
        <v>0.77366848180355341</v>
      </c>
      <c r="AC39" s="22">
        <f t="shared" si="3"/>
        <v>3.4036070698472178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8.6999999999999993</v>
      </c>
      <c r="AI39" s="13">
        <f>IF('Données projet'!$A$62&gt;35,AI38+AH39-AQ38,IF(A39&lt;'Données projet'!$A$62,$AF$205^A39,IF(A39='Données projet'!$A$62,'Données projet'!$B$62,AI38+AH39-AQ38)))</f>
        <v>165.1999999999999</v>
      </c>
      <c r="AJ39" s="13">
        <f>AI39*VLOOKUP('Données projet'!$B$10,Paramètres!$A$1:$I$89,3,0)*VLOOKUP('Données projet'!$B$10,Paramètres!$A$1:$I$89,5,0)</f>
        <v>144.31871999999993</v>
      </c>
      <c r="AK39" s="13">
        <f t="shared" si="35"/>
        <v>37.284607417926146</v>
      </c>
      <c r="AL39" s="20">
        <f t="shared" si="4"/>
        <v>316.29246191955457</v>
      </c>
      <c r="AM39" s="59">
        <f t="shared" si="5"/>
        <v>609.62579525288788</v>
      </c>
      <c r="AN39" s="59">
        <f ca="1">AVERAGE(OFFSET($AM$3,0,0,'Données projet'!$E$10+1,1))-AVERAGE(OFFSET($H$3,0,0,'Données projet'!$E$10+1,1))</f>
        <v>191.94797389630673</v>
      </c>
      <c r="AO39" s="59">
        <f t="shared" si="36"/>
        <v>273.52540822767878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2.2862027284214697</v>
      </c>
      <c r="AV39" s="21">
        <f>EXP(-LN(2)/25)*AV38+(1-EXP(-LN(2)/25))/(LN(2)/25)*Calculateur!AQ39*Calculateur!AS39*VLOOKUP('Données projet'!$B$10,Paramètres!$A$1:$I$89,3,0)*0.475*44/12</f>
        <v>11.895206047570122</v>
      </c>
      <c r="AW39" s="21">
        <f>EXP(-LN(2)/2)*AW38+(1-EXP(-LN(2)/2))/(LN(2)/2)*AQ39*AT39*VLOOKUP('Données projet'!$B$10,Paramètres!$A$1:$I$89,3,0)*0.475*44/12</f>
        <v>2.9003828649586718</v>
      </c>
      <c r="AX39" s="21">
        <f t="shared" si="6"/>
        <v>17.081791640950264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7.166666666666667</v>
      </c>
      <c r="BD39" s="12">
        <f>IF('Données projet'!$A$88&gt;35,BD38+BC39-BL38,IF(A39&lt;'Données projet'!$A$88,$BA$205^A39,IF(A39='Données projet'!$A$88,'Données projet'!$B$88,BD38+BC39-BL38)))</f>
        <v>132.33333333333331</v>
      </c>
      <c r="BE39" s="13">
        <f>BD39*VLOOKUP('Données projet'!$B$11,Paramètres!$A$1:$I$89,3,0)*VLOOKUP('Données projet'!$B$11,Paramètres!$A$1:$I$89,5,0)</f>
        <v>79.135333333333335</v>
      </c>
      <c r="BF39" s="13">
        <f t="shared" si="37"/>
        <v>21.925635105673987</v>
      </c>
      <c r="BG39" s="20">
        <f t="shared" si="7"/>
        <v>176.0145200312711</v>
      </c>
      <c r="BH39" s="59">
        <f t="shared" si="8"/>
        <v>469.34785336460442</v>
      </c>
      <c r="BI39" s="59">
        <f ca="1">AVERAGE(OFFSET($BH$3,0,0,'Données projet'!$E$11+1,1))-AVERAGE(OFFSET($H$3,0,0,'Données projet'!$E$11+1,1))</f>
        <v>72.647148358003676</v>
      </c>
      <c r="BJ39" s="59">
        <f t="shared" si="38"/>
        <v>87.231299224620898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1.1299157750471243</v>
      </c>
      <c r="BQ39" s="21">
        <f>EXP(-LN(2)/25)*BQ38+(1-EXP(-LN(2)/25))/(LN(2)/25)*Calculateur!BL39*Calculateur!BN39*VLOOKUP('Données projet'!$B$11,Paramètres!$A$1:$I$89,3,0)*0.475*44/12</f>
        <v>3.8367113496187648</v>
      </c>
      <c r="BR39" s="21">
        <f>EXP(-LN(2)/2)*BR38+(1-EXP(-LN(2)/2))/(LN(2)/2)*BL39*BO39*VLOOKUP('Données projet'!$B$11,Paramètres!$A$1:$I$89,3,0)*0.475*44/12</f>
        <v>0.28511201453384816</v>
      </c>
      <c r="BS39" s="22">
        <f t="shared" si="9"/>
        <v>5.2517391391997368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11</v>
      </c>
      <c r="BY39" s="12">
        <f>IF('Données projet'!$A$114&gt;35,BY38+BX39-CG38,IF(A39&lt;'Données projet'!$A$114,$BV$205^A39,IF(A39='Données projet'!$A$114,'Données projet'!$B$114,BY38+BX39-CG38)))</f>
        <v>188.99999999999997</v>
      </c>
      <c r="BZ39" s="13">
        <f>BY39*VLOOKUP('Données projet'!$B$12,Paramètres!$A$1:$I$89,3,0)*VLOOKUP('Données projet'!$B$12,Paramètres!$A$1:$I$89,5,0)</f>
        <v>113.02200000000001</v>
      </c>
      <c r="CA39" s="13">
        <f t="shared" si="39"/>
        <v>30.041864379091852</v>
      </c>
      <c r="CB39" s="20">
        <f t="shared" si="10"/>
        <v>249.16956379358496</v>
      </c>
      <c r="CC39" s="59">
        <f t="shared" si="11"/>
        <v>542.50289712691824</v>
      </c>
      <c r="CD39" s="59">
        <f ca="1">AVERAGE(OFFSET($CC$3,0,0,'Données projet'!$E$12+1,1))-AVERAGE(OFFSET($H$3,0,0,'Données projet'!$E$12+1,1))</f>
        <v>165.39579887388538</v>
      </c>
      <c r="CE39" s="59">
        <f t="shared" si="40"/>
        <v>155.89639262545802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6.1721341693793601</v>
      </c>
      <c r="CM39" s="21">
        <f>EXP(-LN(2)/2)*CM38+(1-EXP(-LN(2)/2))/(LN(2)/2)*CG39*CJ39*VLOOKUP('Données projet'!$B$12,Paramètres!$A$1:$I$89,3,0)*0.475*44/12</f>
        <v>1.735004466922119</v>
      </c>
      <c r="CN39" s="22">
        <f t="shared" si="12"/>
        <v>7.9071386363014788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11.9</v>
      </c>
      <c r="CT39" s="12">
        <f>IF('Données projet'!$A$140&gt;35,CT38+CS39-DB38,IF(A39&lt;'Données projet'!$A$140,$CQ$205^A39,IF(A39='Données projet'!$A$140,'Données projet'!$B$140,CT38+CS39-DB38)))</f>
        <v>157.9</v>
      </c>
      <c r="CU39" s="17">
        <f>CT39*VLOOKUP('Données projet'!$B$13,Paramètres!$A$1:$I$89,3,0)*VLOOKUP('Données projet'!$B$13,Paramètres!$A$1:$I$89,5,0)</f>
        <v>123.16200000000001</v>
      </c>
      <c r="CV39" s="13">
        <f t="shared" si="41"/>
        <v>32.411363821955391</v>
      </c>
      <c r="CW39" s="20">
        <f t="shared" si="13"/>
        <v>270.95694198990566</v>
      </c>
      <c r="CX39" s="59">
        <f t="shared" si="14"/>
        <v>564.29027532323903</v>
      </c>
      <c r="CY39" s="59">
        <f ca="1">AVERAGE(OFFSET($CX$3,0,0,'Données projet'!$E$13+1,1))-AVERAGE(OFFSET($H$3,0,0,'Données projet'!$E$13+1,1))</f>
        <v>190.06335940156185</v>
      </c>
      <c r="CZ39" s="59">
        <f t="shared" si="42"/>
        <v>166.43663896839928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3.7819373558919582</v>
      </c>
      <c r="DH39" s="21">
        <f>EXP(-LN(2)/2)*DH38+(1-EXP(-LN(2)/2))/(LN(2)/2)*DB39*DE39*VLOOKUP('Données projet'!$B$13,Paramètres!$A$1:$I$89,3,0)*0.475*44/12</f>
        <v>0.66579985649228435</v>
      </c>
      <c r="DI39" s="22">
        <f t="shared" si="15"/>
        <v>4.4477372123842427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8.1999999999999993</v>
      </c>
      <c r="DO39" s="12">
        <f>IF('Données projet'!$A$166&gt;35,DO38+DN39-DW38,IF(A39&lt;'Données projet'!$A$166,$DL$205^A39,IF(A39='Données projet'!$A$166,'Données projet'!$B$166,DO38+DN39-DW38)))</f>
        <v>125.19999999999999</v>
      </c>
      <c r="DP39" s="17">
        <f>DO39*VLOOKUP('Données projet'!$B$14,Paramètres!$A$1:$I$89,3,0)*VLOOKUP('Données projet'!$B$14,Paramètres!$A$1:$I$89,5,0)</f>
        <v>121.09344</v>
      </c>
      <c r="DQ39" s="13">
        <f t="shared" si="43"/>
        <v>31.929891428732152</v>
      </c>
      <c r="DR39" s="20">
        <f t="shared" si="16"/>
        <v>266.51563557170846</v>
      </c>
      <c r="DS39" s="59">
        <f t="shared" si="17"/>
        <v>559.84896890504183</v>
      </c>
      <c r="DT39" s="59">
        <f ca="1">AVERAGE(OFFSET($DS$3,0,0,'Données projet'!$E$14+1,1))-AVERAGE(OFFSET($H$3,0,0,'Données projet'!$E$14+1,1))</f>
        <v>261.22357949323879</v>
      </c>
      <c r="DU39" s="59">
        <f t="shared" si="44"/>
        <v>163.41029152029387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2.8113136630811586</v>
      </c>
      <c r="EC39" s="21">
        <f>EXP(-LN(2)/2)*EC38+(1-EXP(-LN(2)/2))/(LN(2)/2)*DW39*DZ39*VLOOKUP('Données projet'!$B$14,Paramètres!$A$1:$I$89,3,0)*0.475*44/12</f>
        <v>0.82702492882448797</v>
      </c>
      <c r="ED39" s="22">
        <f t="shared" si="18"/>
        <v>3.6383385919056463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7</v>
      </c>
      <c r="EJ39" s="12">
        <f>IF('Données projet'!$A$192&gt;35,EJ38+EI39-ER38,IF(A39&lt;'Données projet'!$A$192,$EG$205^A39,IF(A39='Données projet'!$A$192,'Données projet'!$B$192,EJ38+EI39-ER38)))</f>
        <v>189.7</v>
      </c>
      <c r="EK39" s="17">
        <f>EJ39*VLOOKUP('Données projet'!$B$15,Paramètres!$A$1:$I$89,3,0)*VLOOKUP('Données projet'!$B$15,Paramètres!$A$1:$I$89,5,0)</f>
        <v>88.779599999999988</v>
      </c>
      <c r="EL39" s="13">
        <f t="shared" si="45"/>
        <v>24.270660436720163</v>
      </c>
      <c r="EM39" s="20">
        <f t="shared" si="19"/>
        <v>196.89587026062091</v>
      </c>
      <c r="EN39" s="59">
        <f t="shared" si="20"/>
        <v>490.22920359395425</v>
      </c>
      <c r="EO39" s="59">
        <f ca="1">AVERAGE(OFFSET($EN$3,0,0,'Données projet'!$E$15+1,1))-AVERAGE(OFFSET($H$3,0,0,'Données projet'!$E$15+1,1))</f>
        <v>123.60520571614535</v>
      </c>
      <c r="EP39" s="59">
        <f t="shared" si="46"/>
        <v>119.00926870519527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0.77013253950388871</v>
      </c>
      <c r="EW39" s="21">
        <f>EXP(-LN(2)/25)*EW38+(1-EXP(-LN(2)/25))/(LN(2)/25)*Calculateur!ER39*Calculateur!ET39*VLOOKUP('Données projet'!$B$15,Paramètres!$A$1:$I$89,3,0)*0.475*44/12</f>
        <v>4.0446976168805779</v>
      </c>
      <c r="EX39" s="21">
        <f>EXP(-LN(2)/2)*EX38+(1-EXP(-LN(2)/2))/(LN(2)/2)*ER39*EU39*VLOOKUP('Données projet'!$B$15,Paramètres!$A$1:$I$89,3,0)*0.475*44/12</f>
        <v>0.76421381138531819</v>
      </c>
      <c r="EY39" s="22">
        <f t="shared" si="21"/>
        <v>5.5790439677697847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8.1</v>
      </c>
      <c r="FE39" s="12">
        <f>IF('Données projet'!$A$218&gt;35,FE38+FD39-FM38,IF(A39&lt;'Données projet'!$A$218,$FB$205^A39,IF(A39='Données projet'!$A$218,'Données projet'!$B$218,FE38+FD39-FM38)))</f>
        <v>141.6</v>
      </c>
      <c r="FF39" s="17">
        <f>FE39*VLOOKUP('Données projet'!$B$16,Paramètres!$A$1:$I$89,3,0)*VLOOKUP('Données projet'!$B$16,Paramètres!$A$1:$I$89,5,0)</f>
        <v>103.82111999999999</v>
      </c>
      <c r="FG39" s="13">
        <f t="shared" si="47"/>
        <v>27.870330441657604</v>
      </c>
      <c r="FH39" s="20">
        <f t="shared" si="22"/>
        <v>229.36260951922031</v>
      </c>
      <c r="FI39" s="59">
        <f t="shared" si="23"/>
        <v>522.69594285255357</v>
      </c>
      <c r="FJ39" s="59">
        <f ca="1">AVERAGE(OFFSET($FI$3,0,0,'Données projet'!$E$16+1,1))-AVERAGE(OFFSET($H$3,0,0,'Données projet'!$E$16+1,1))</f>
        <v>124.15919323713428</v>
      </c>
      <c r="FK39" s="59">
        <f t="shared" si="48"/>
        <v>157.85954678210715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0</v>
      </c>
      <c r="FR39" s="21">
        <f>EXP(-LN(2)/25)*FR38+(1-EXP(-LN(2)/25))/(LN(2)/25)*Calculateur!FM39*Calculateur!FO39*VLOOKUP('Données projet'!$B$16,Paramètres!$A$1:$I$89,3,0)*0.475*44/12</f>
        <v>4.2560695282612064</v>
      </c>
      <c r="FS39" s="21">
        <f>EXP(-LN(2)/2)*FS38+(1-EXP(-LN(2)/2))/(LN(2)/2)*FM39*FP39*VLOOKUP('Données projet'!$B$16,Paramètres!$A$1:$I$89,3,0)*0.475*44/12</f>
        <v>0.92216671838040587</v>
      </c>
      <c r="FT39" s="22">
        <f t="shared" si="24"/>
        <v>5.1782362466416121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8.1999999999999993</v>
      </c>
      <c r="N40" s="13">
        <f>IF('Données projet'!$A$36&gt;35,N39+M40-V39,IF(A40&lt;'Données projet'!$A$36,$K$205^A40,IF(A40='Données projet'!$A$36,'Données projet'!$B$36,N39+M40-V39)))</f>
        <v>133.39999999999998</v>
      </c>
      <c r="O40" s="13">
        <f>N40*VLOOKUP('Données projet'!$B$9,Paramètres!$A$1:$I$89,3,0)*VLOOKUP('Données projet'!$B$9,Paramètres!$A$1:$I$89,5,0)</f>
        <v>120.70031999999998</v>
      </c>
      <c r="P40" s="13">
        <f t="shared" si="33"/>
        <v>31.838282075030818</v>
      </c>
      <c r="Q40" s="20">
        <f t="shared" si="53"/>
        <v>265.67139861401193</v>
      </c>
      <c r="R40" s="59">
        <f t="shared" si="0"/>
        <v>559.00473194734525</v>
      </c>
      <c r="S40" s="59">
        <f ca="1">AVERAGE(OFFSET($R$3,0,0,'Données projet'!$E$9+1,1))-AVERAGE(OFFSET($H$3,0,0,'Données projet'!$E$9+1,1))</f>
        <v>237.22177246688199</v>
      </c>
      <c r="T40" s="59">
        <f t="shared" si="34"/>
        <v>149.27472147904302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2.5580227790511509</v>
      </c>
      <c r="AB40" s="21">
        <f>EXP(-LN(2)/2)*AB39+(1-EXP(-LN(2)/2))/(LN(2)/2)*V40*Y40*VLOOKUP('Données projet'!$B$9,Paramètres!$A$1:$I$89,3,0)*0.475*44/12</f>
        <v>0.54706622987359366</v>
      </c>
      <c r="AC40" s="22">
        <f t="shared" si="3"/>
        <v>3.1050890089247445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8.6999999999999993</v>
      </c>
      <c r="AI40" s="13">
        <f>IF('Données projet'!$A$62&gt;35,AI39+AH40-AQ39,IF(A40&lt;'Données projet'!$A$62,$AF$205^A40,IF(A40='Données projet'!$A$62,'Données projet'!$B$62,AI39+AH40-AQ39)))</f>
        <v>173.89999999999989</v>
      </c>
      <c r="AJ40" s="13">
        <f>AI40*VLOOKUP('Données projet'!$B$10,Paramètres!$A$1:$I$89,3,0)*VLOOKUP('Données projet'!$B$10,Paramètres!$A$1:$I$89,5,0)</f>
        <v>151.91903999999991</v>
      </c>
      <c r="AK40" s="13">
        <f t="shared" si="35"/>
        <v>39.014371161543409</v>
      </c>
      <c r="AL40" s="20">
        <f t="shared" si="4"/>
        <v>332.54235777302125</v>
      </c>
      <c r="AM40" s="59">
        <f t="shared" si="5"/>
        <v>625.87569110635457</v>
      </c>
      <c r="AN40" s="59">
        <f ca="1">AVERAGE(OFFSET($AM$3,0,0,'Données projet'!$E$10+1,1))-AVERAGE(OFFSET($H$3,0,0,'Données projet'!$E$10+1,1))</f>
        <v>191.94797389630673</v>
      </c>
      <c r="AO40" s="59">
        <f t="shared" si="36"/>
        <v>273.52540822767878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2.2413716873630989</v>
      </c>
      <c r="AV40" s="21">
        <f>EXP(-LN(2)/25)*AV39+(1-EXP(-LN(2)/25))/(LN(2)/25)*Calculateur!AQ40*Calculateur!AS40*VLOOKUP('Données projet'!$B$10,Paramètres!$A$1:$I$89,3,0)*0.475*44/12</f>
        <v>11.569931012657618</v>
      </c>
      <c r="AW40" s="21">
        <f>EXP(-LN(2)/2)*AW39+(1-EXP(-LN(2)/2))/(LN(2)/2)*AQ40*AT40*VLOOKUP('Données projet'!$B$10,Paramètres!$A$1:$I$89,3,0)*0.475*44/12</f>
        <v>2.0508803918495433</v>
      </c>
      <c r="AX40" s="21">
        <f t="shared" si="6"/>
        <v>15.862183091870261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7.166666666666667</v>
      </c>
      <c r="BD40" s="12">
        <f>IF('Données projet'!$A$88&gt;35,BD39+BC40-BL39,IF(A40&lt;'Données projet'!$A$88,$BA$205^A40,IF(A40='Données projet'!$A$88,'Données projet'!$B$88,BD39+BC40-BL39)))</f>
        <v>139.49999999999997</v>
      </c>
      <c r="BE40" s="13">
        <f>BD40*VLOOKUP('Données projet'!$B$11,Paramètres!$A$1:$I$89,3,0)*VLOOKUP('Données projet'!$B$11,Paramètres!$A$1:$I$89,5,0)</f>
        <v>83.420999999999992</v>
      </c>
      <c r="BF40" s="13">
        <f t="shared" si="37"/>
        <v>22.971587067187599</v>
      </c>
      <c r="BG40" s="20">
        <f t="shared" si="7"/>
        <v>185.30042247535172</v>
      </c>
      <c r="BH40" s="59">
        <f t="shared" si="8"/>
        <v>478.63375580868501</v>
      </c>
      <c r="BI40" s="59">
        <f ca="1">AVERAGE(OFFSET($BH$3,0,0,'Données projet'!$E$11+1,1))-AVERAGE(OFFSET($H$3,0,0,'Données projet'!$E$11+1,1))</f>
        <v>72.647148358003676</v>
      </c>
      <c r="BJ40" s="59">
        <f t="shared" si="38"/>
        <v>87.231299224620898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1.1077588158790219</v>
      </c>
      <c r="BQ40" s="21">
        <f>EXP(-LN(2)/25)*BQ39+(1-EXP(-LN(2)/25))/(LN(2)/25)*Calculateur!BL40*Calculateur!BN40*VLOOKUP('Données projet'!$B$11,Paramètres!$A$1:$I$89,3,0)*0.475*44/12</f>
        <v>3.7317962759995589</v>
      </c>
      <c r="BR40" s="21">
        <f>EXP(-LN(2)/2)*BR39+(1-EXP(-LN(2)/2))/(LN(2)/2)*BL40*BO40*VLOOKUP('Données projet'!$B$11,Paramètres!$A$1:$I$89,3,0)*0.475*44/12</f>
        <v>0.20160463887464153</v>
      </c>
      <c r="BS40" s="22">
        <f t="shared" si="9"/>
        <v>5.0411597307532228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11</v>
      </c>
      <c r="BY40" s="12">
        <f>IF('Données projet'!$A$114&gt;35,BY39+BX40-CG39,IF(A40&lt;'Données projet'!$A$114,$BV$205^A40,IF(A40='Données projet'!$A$114,'Données projet'!$B$114,BY39+BX40-CG39)))</f>
        <v>199.99999999999997</v>
      </c>
      <c r="BZ40" s="13">
        <f>BY40*VLOOKUP('Données projet'!$B$12,Paramètres!$A$1:$I$89,3,0)*VLOOKUP('Données projet'!$B$12,Paramètres!$A$1:$I$89,5,0)</f>
        <v>119.59999999999998</v>
      </c>
      <c r="CA40" s="13">
        <f t="shared" si="39"/>
        <v>31.581687741452679</v>
      </c>
      <c r="CB40" s="20">
        <f t="shared" si="10"/>
        <v>263.3081061496967</v>
      </c>
      <c r="CC40" s="59">
        <f t="shared" si="11"/>
        <v>556.64143948303001</v>
      </c>
      <c r="CD40" s="59">
        <f ca="1">AVERAGE(OFFSET($CC$3,0,0,'Données projet'!$E$12+1,1))-AVERAGE(OFFSET($H$3,0,0,'Données projet'!$E$12+1,1))</f>
        <v>165.39579887388538</v>
      </c>
      <c r="CE40" s="59">
        <f t="shared" si="40"/>
        <v>155.89639262545802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6.0033568359392522</v>
      </c>
      <c r="CM40" s="21">
        <f>EXP(-LN(2)/2)*CM39+(1-EXP(-LN(2)/2))/(LN(2)/2)*CG40*CJ40*VLOOKUP('Données projet'!$B$12,Paramètres!$A$1:$I$89,3,0)*0.475*44/12</f>
        <v>1.2268334239495813</v>
      </c>
      <c r="CN40" s="22">
        <f t="shared" si="12"/>
        <v>7.2301902598888335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11.9</v>
      </c>
      <c r="CT40" s="12">
        <f>IF('Données projet'!$A$140&gt;35,CT39+CS40-DB39,IF(A40&lt;'Données projet'!$A$140,$CQ$205^A40,IF(A40='Données projet'!$A$140,'Données projet'!$B$140,CT39+CS40-DB39)))</f>
        <v>169.8</v>
      </c>
      <c r="CU40" s="17">
        <f>CT40*VLOOKUP('Données projet'!$B$13,Paramètres!$A$1:$I$89,3,0)*VLOOKUP('Données projet'!$B$13,Paramètres!$A$1:$I$89,5,0)</f>
        <v>132.44400000000002</v>
      </c>
      <c r="CV40" s="13">
        <f t="shared" si="41"/>
        <v>34.560482342975533</v>
      </c>
      <c r="CW40" s="20">
        <f t="shared" si="13"/>
        <v>290.86614008068244</v>
      </c>
      <c r="CX40" s="59">
        <f t="shared" si="14"/>
        <v>584.19947341401576</v>
      </c>
      <c r="CY40" s="59">
        <f ca="1">AVERAGE(OFFSET($CX$3,0,0,'Données projet'!$E$13+1,1))-AVERAGE(OFFSET($H$3,0,0,'Données projet'!$E$13+1,1))</f>
        <v>190.06335940156185</v>
      </c>
      <c r="CZ40" s="59">
        <f t="shared" si="42"/>
        <v>166.43663896839928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3.6785200800116509</v>
      </c>
      <c r="DH40" s="21">
        <f>EXP(-LN(2)/2)*DH39+(1-EXP(-LN(2)/2))/(LN(2)/2)*DB40*DE40*VLOOKUP('Données projet'!$B$13,Paramètres!$A$1:$I$89,3,0)*0.475*44/12</f>
        <v>0.47079159343872451</v>
      </c>
      <c r="DI40" s="22">
        <f t="shared" si="15"/>
        <v>4.1493116734503754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8.1999999999999993</v>
      </c>
      <c r="DO40" s="12">
        <f>IF('Données projet'!$A$166&gt;35,DO39+DN40-DW39,IF(A40&lt;'Données projet'!$A$166,$DL$205^A40,IF(A40='Données projet'!$A$166,'Données projet'!$B$166,DO39+DN40-DW39)))</f>
        <v>133.39999999999998</v>
      </c>
      <c r="DP40" s="17">
        <f>DO40*VLOOKUP('Données projet'!$B$14,Paramètres!$A$1:$I$89,3,0)*VLOOKUP('Données projet'!$B$14,Paramètres!$A$1:$I$89,5,0)</f>
        <v>129.02447999999998</v>
      </c>
      <c r="DQ40" s="13">
        <f t="shared" si="43"/>
        <v>33.770846580616251</v>
      </c>
      <c r="DR40" s="20">
        <f t="shared" si="16"/>
        <v>283.53519379457327</v>
      </c>
      <c r="DS40" s="59">
        <f t="shared" si="17"/>
        <v>576.86852712790665</v>
      </c>
      <c r="DT40" s="59">
        <f ca="1">AVERAGE(OFFSET($DS$3,0,0,'Données projet'!$E$14+1,1))-AVERAGE(OFFSET($H$3,0,0,'Données projet'!$E$14+1,1))</f>
        <v>261.22357949323879</v>
      </c>
      <c r="DU40" s="59">
        <f t="shared" si="44"/>
        <v>163.41029152029387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2.734438143123644</v>
      </c>
      <c r="EC40" s="21">
        <f>EXP(-LN(2)/2)*EC39+(1-EXP(-LN(2)/2))/(LN(2)/2)*DW40*DZ40*VLOOKUP('Données projet'!$B$14,Paramètres!$A$1:$I$89,3,0)*0.475*44/12</f>
        <v>0.58479493538211724</v>
      </c>
      <c r="ED40" s="22">
        <f t="shared" si="18"/>
        <v>3.3192330785057611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7</v>
      </c>
      <c r="EJ40" s="12">
        <f>IF('Données projet'!$A$192&gt;35,EJ39+EI40-ER39,IF(A40&lt;'Données projet'!$A$192,$EG$205^A40,IF(A40='Données projet'!$A$192,'Données projet'!$B$192,EJ39+EI40-ER39)))</f>
        <v>196.7</v>
      </c>
      <c r="EK40" s="17">
        <f>EJ40*VLOOKUP('Données projet'!$B$15,Paramètres!$A$1:$I$89,3,0)*VLOOKUP('Données projet'!$B$15,Paramètres!$A$1:$I$89,5,0)</f>
        <v>92.055599999999998</v>
      </c>
      <c r="EL40" s="13">
        <f t="shared" si="45"/>
        <v>25.060332740251528</v>
      </c>
      <c r="EM40" s="20">
        <f t="shared" si="19"/>
        <v>203.97691618927138</v>
      </c>
      <c r="EN40" s="59">
        <f t="shared" si="20"/>
        <v>497.31024952260469</v>
      </c>
      <c r="EO40" s="59">
        <f ca="1">AVERAGE(OFFSET($EN$3,0,0,'Données projet'!$E$15+1,1))-AVERAGE(OFFSET($H$3,0,0,'Données projet'!$E$15+1,1))</f>
        <v>123.60520571614535</v>
      </c>
      <c r="EP40" s="59">
        <f t="shared" si="46"/>
        <v>119.00926870519527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0.75503071013868417</v>
      </c>
      <c r="EW40" s="21">
        <f>EXP(-LN(2)/25)*EW39+(1-EXP(-LN(2)/25))/(LN(2)/25)*Calculateur!ER40*Calculateur!ET40*VLOOKUP('Données projet'!$B$15,Paramètres!$A$1:$I$89,3,0)*0.475*44/12</f>
        <v>3.934095147845575</v>
      </c>
      <c r="EX40" s="21">
        <f>EXP(-LN(2)/2)*EX39+(1-EXP(-LN(2)/2))/(LN(2)/2)*ER40*EU40*VLOOKUP('Données projet'!$B$15,Paramètres!$A$1:$I$89,3,0)*0.475*44/12</f>
        <v>0.54038076830697568</v>
      </c>
      <c r="EY40" s="22">
        <f t="shared" si="21"/>
        <v>5.2295066262912346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8.1</v>
      </c>
      <c r="FE40" s="12">
        <f>IF('Données projet'!$A$218&gt;35,FE39+FD40-FM39,IF(A40&lt;'Données projet'!$A$218,$FB$205^A40,IF(A40='Données projet'!$A$218,'Données projet'!$B$218,FE39+FD40-FM39)))</f>
        <v>149.69999999999999</v>
      </c>
      <c r="FF40" s="17">
        <f>FE40*VLOOKUP('Données projet'!$B$16,Paramètres!$A$1:$I$89,3,0)*VLOOKUP('Données projet'!$B$16,Paramètres!$A$1:$I$89,5,0)</f>
        <v>109.76003999999999</v>
      </c>
      <c r="FG40" s="13">
        <f t="shared" si="47"/>
        <v>29.274440941202073</v>
      </c>
      <c r="FH40" s="20">
        <f t="shared" si="22"/>
        <v>242.15172097259355</v>
      </c>
      <c r="FI40" s="59">
        <f t="shared" si="23"/>
        <v>535.48505430592684</v>
      </c>
      <c r="FJ40" s="59">
        <f ca="1">AVERAGE(OFFSET($FI$3,0,0,'Données projet'!$E$16+1,1))-AVERAGE(OFFSET($H$3,0,0,'Données projet'!$E$16+1,1))</f>
        <v>124.15919323713428</v>
      </c>
      <c r="FK40" s="59">
        <f t="shared" si="48"/>
        <v>157.85954678210715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0</v>
      </c>
      <c r="FR40" s="21">
        <f>EXP(-LN(2)/25)*FR39+(1-EXP(-LN(2)/25))/(LN(2)/25)*Calculateur!FM40*Calculateur!FO40*VLOOKUP('Données projet'!$B$16,Paramètres!$A$1:$I$89,3,0)*0.475*44/12</f>
        <v>4.1396870831939347</v>
      </c>
      <c r="FS40" s="21">
        <f>EXP(-LN(2)/2)*FS39+(1-EXP(-LN(2)/2))/(LN(2)/2)*FM40*FP40*VLOOKUP('Données projet'!$B$16,Paramètres!$A$1:$I$89,3,0)*0.475*44/12</f>
        <v>0.65207033995133024</v>
      </c>
      <c r="FT40" s="22">
        <f t="shared" si="24"/>
        <v>4.7917574231452651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8.1999999999999993</v>
      </c>
      <c r="N41" s="13">
        <f>IF('Données projet'!$A$36&gt;35,N40+M41-V40,IF(A41&lt;'Données projet'!$A$36,$K$205^A41,IF(A41='Données projet'!$A$36,'Données projet'!$B$36,N40+M41-V40)))</f>
        <v>141.59999999999997</v>
      </c>
      <c r="O41" s="13">
        <f>N41*VLOOKUP('Données projet'!$B$9,Paramètres!$A$1:$I$89,3,0)*VLOOKUP('Données projet'!$B$9,Paramètres!$A$1:$I$89,5,0)</f>
        <v>128.11967999999996</v>
      </c>
      <c r="P41" s="13">
        <f t="shared" si="33"/>
        <v>33.561504850994297</v>
      </c>
      <c r="Q41" s="20">
        <f t="shared" si="53"/>
        <v>281.5947302821483</v>
      </c>
      <c r="R41" s="59">
        <f t="shared" si="0"/>
        <v>574.92806361548162</v>
      </c>
      <c r="S41" s="59">
        <f ca="1">AVERAGE(OFFSET($R$3,0,0,'Données projet'!$E$9+1,1))-AVERAGE(OFFSET($H$3,0,0,'Données projet'!$E$9+1,1))</f>
        <v>237.22177246688199</v>
      </c>
      <c r="T41" s="59">
        <f t="shared" si="34"/>
        <v>149.27472147904302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2.4880735116374257</v>
      </c>
      <c r="AB41" s="21">
        <f>EXP(-LN(2)/2)*AB40+(1-EXP(-LN(2)/2))/(LN(2)/2)*V41*Y41*VLOOKUP('Données projet'!$B$9,Paramètres!$A$1:$I$89,3,0)*0.475*44/12</f>
        <v>0.3868342409017767</v>
      </c>
      <c r="AC41" s="22">
        <f t="shared" si="3"/>
        <v>2.8749077525392024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8.6999999999999993</v>
      </c>
      <c r="AI41" s="13">
        <f>IF('Données projet'!$A$62&gt;35,AI40+AH41-AQ40,IF(A41&lt;'Données projet'!$A$62,$AF$205^A41,IF(A41='Données projet'!$A$62,'Données projet'!$B$62,AI40+AH41-AQ40)))</f>
        <v>182.59999999999988</v>
      </c>
      <c r="AJ41" s="13">
        <f>AI41*VLOOKUP('Données projet'!$B$10,Paramètres!$A$1:$I$89,3,0)*VLOOKUP('Données projet'!$B$10,Paramètres!$A$1:$I$89,5,0)</f>
        <v>159.51935999999992</v>
      </c>
      <c r="AK41" s="13">
        <f t="shared" si="35"/>
        <v>40.734086738277284</v>
      </c>
      <c r="AL41" s="20">
        <f t="shared" si="4"/>
        <v>348.77475306916608</v>
      </c>
      <c r="AM41" s="59">
        <f t="shared" si="5"/>
        <v>642.10808640249934</v>
      </c>
      <c r="AN41" s="59">
        <f ca="1">AVERAGE(OFFSET($AM$3,0,0,'Données projet'!$E$10+1,1))-AVERAGE(OFFSET($H$3,0,0,'Données projet'!$E$10+1,1))</f>
        <v>191.94797389630673</v>
      </c>
      <c r="AO41" s="59">
        <f t="shared" si="36"/>
        <v>273.52540822767878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2.1974197556756478</v>
      </c>
      <c r="AV41" s="21">
        <f>EXP(-LN(2)/25)*AV40+(1-EXP(-LN(2)/25))/(LN(2)/25)*Calculateur!AQ41*Calculateur!AS41*VLOOKUP('Données projet'!$B$10,Paramètres!$A$1:$I$89,3,0)*0.475*44/12</f>
        <v>11.253550640680267</v>
      </c>
      <c r="AW41" s="21">
        <f>EXP(-LN(2)/2)*AW40+(1-EXP(-LN(2)/2))/(LN(2)/2)*AQ41*AT41*VLOOKUP('Données projet'!$B$10,Paramètres!$A$1:$I$89,3,0)*0.475*44/12</f>
        <v>1.4501914324793359</v>
      </c>
      <c r="AX41" s="21">
        <f t="shared" si="6"/>
        <v>14.901161828835251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7.166666666666667</v>
      </c>
      <c r="BD41" s="12">
        <f>IF('Données projet'!$A$88&gt;35,BD40+BC41-BL40,IF(A41&lt;'Données projet'!$A$88,$BA$205^A41,IF(A41='Données projet'!$A$88,'Données projet'!$B$88,BD40+BC41-BL40)))</f>
        <v>146.66666666666663</v>
      </c>
      <c r="BE41" s="13">
        <f>BD41*VLOOKUP('Données projet'!$B$11,Paramètres!$A$1:$I$89,3,0)*VLOOKUP('Données projet'!$B$11,Paramètres!$A$1:$I$89,5,0)</f>
        <v>87.706666666666649</v>
      </c>
      <c r="BF41" s="13">
        <f t="shared" si="37"/>
        <v>24.011300077813175</v>
      </c>
      <c r="BG41" s="20">
        <f t="shared" si="7"/>
        <v>194.57545874663569</v>
      </c>
      <c r="BH41" s="59">
        <f t="shared" si="8"/>
        <v>487.90879207996898</v>
      </c>
      <c r="BI41" s="59">
        <f ca="1">AVERAGE(OFFSET($BH$3,0,0,'Données projet'!$E$11+1,1))-AVERAGE(OFFSET($H$3,0,0,'Données projet'!$E$11+1,1))</f>
        <v>72.647148358003676</v>
      </c>
      <c r="BJ41" s="59">
        <f t="shared" si="38"/>
        <v>87.231299224620898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1.0860363411657954</v>
      </c>
      <c r="BQ41" s="21">
        <f>EXP(-LN(2)/25)*BQ40+(1-EXP(-LN(2)/25))/(LN(2)/25)*Calculateur!BL41*Calculateur!BN41*VLOOKUP('Données projet'!$B$11,Paramètres!$A$1:$I$89,3,0)*0.475*44/12</f>
        <v>3.629750110585714</v>
      </c>
      <c r="BR41" s="21">
        <f>EXP(-LN(2)/2)*BR40+(1-EXP(-LN(2)/2))/(LN(2)/2)*BL41*BO41*VLOOKUP('Données projet'!$B$11,Paramètres!$A$1:$I$89,3,0)*0.475*44/12</f>
        <v>0.14255600726692408</v>
      </c>
      <c r="BS41" s="22">
        <f t="shared" si="9"/>
        <v>4.8583424590184334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11</v>
      </c>
      <c r="BY41" s="12">
        <f>IF('Données projet'!$A$114&gt;35,BY40+BX41-CG40,IF(A41&lt;'Données projet'!$A$114,$BV$205^A41,IF(A41='Données projet'!$A$114,'Données projet'!$B$114,BY40+BX41-CG40)))</f>
        <v>210.99999999999997</v>
      </c>
      <c r="BZ41" s="13">
        <f>BY41*VLOOKUP('Données projet'!$B$12,Paramètres!$A$1:$I$89,3,0)*VLOOKUP('Données projet'!$B$12,Paramètres!$A$1:$I$89,5,0)</f>
        <v>126.17799999999998</v>
      </c>
      <c r="CA41" s="13">
        <f t="shared" si="39"/>
        <v>33.111679410346248</v>
      </c>
      <c r="CB41" s="20">
        <f t="shared" si="10"/>
        <v>277.42952497301968</v>
      </c>
      <c r="CC41" s="59">
        <f t="shared" si="11"/>
        <v>570.762858306353</v>
      </c>
      <c r="CD41" s="59">
        <f ca="1">AVERAGE(OFFSET($CC$3,0,0,'Données projet'!$E$12+1,1))-AVERAGE(OFFSET($H$3,0,0,'Données projet'!$E$12+1,1))</f>
        <v>165.39579887388538</v>
      </c>
      <c r="CE41" s="59">
        <f t="shared" si="40"/>
        <v>155.89639262545802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5.8391947275576781</v>
      </c>
      <c r="CM41" s="21">
        <f>EXP(-LN(2)/2)*CM40+(1-EXP(-LN(2)/2))/(LN(2)/2)*CG41*CJ41*VLOOKUP('Données projet'!$B$12,Paramètres!$A$1:$I$89,3,0)*0.475*44/12</f>
        <v>0.86750223346105948</v>
      </c>
      <c r="CN41" s="22">
        <f t="shared" si="12"/>
        <v>6.7066969610187375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11.9</v>
      </c>
      <c r="CT41" s="12">
        <f>IF('Données projet'!$A$140&gt;35,CT40+CS41-DB40,IF(A41&lt;'Données projet'!$A$140,$CQ$205^A41,IF(A41='Données projet'!$A$140,'Données projet'!$B$140,CT40+CS41-DB40)))</f>
        <v>181.70000000000002</v>
      </c>
      <c r="CU41" s="17">
        <f>CT41*VLOOKUP('Données projet'!$B$13,Paramètres!$A$1:$I$89,3,0)*VLOOKUP('Données projet'!$B$13,Paramètres!$A$1:$I$89,5,0)</f>
        <v>141.72600000000003</v>
      </c>
      <c r="CV41" s="13">
        <f t="shared" si="41"/>
        <v>36.692125440686915</v>
      </c>
      <c r="CW41" s="20">
        <f t="shared" si="13"/>
        <v>310.74490180919639</v>
      </c>
      <c r="CX41" s="59">
        <f t="shared" si="14"/>
        <v>604.07823514252971</v>
      </c>
      <c r="CY41" s="59">
        <f ca="1">AVERAGE(OFFSET($CX$3,0,0,'Données projet'!$E$13+1,1))-AVERAGE(OFFSET($H$3,0,0,'Données projet'!$E$13+1,1))</f>
        <v>190.06335940156185</v>
      </c>
      <c r="CZ41" s="59">
        <f t="shared" si="42"/>
        <v>166.43663896839928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3.5779307549787687</v>
      </c>
      <c r="DH41" s="21">
        <f>EXP(-LN(2)/2)*DH40+(1-EXP(-LN(2)/2))/(LN(2)/2)*DB41*DE41*VLOOKUP('Données projet'!$B$13,Paramètres!$A$1:$I$89,3,0)*0.475*44/12</f>
        <v>0.33289992824614223</v>
      </c>
      <c r="DI41" s="22">
        <f t="shared" si="15"/>
        <v>3.9108306832249111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8.1999999999999993</v>
      </c>
      <c r="DO41" s="12">
        <f>IF('Données projet'!$A$166&gt;35,DO40+DN41-DW40,IF(A41&lt;'Données projet'!$A$166,$DL$205^A41,IF(A41='Données projet'!$A$166,'Données projet'!$B$166,DO40+DN41-DW40)))</f>
        <v>141.59999999999997</v>
      </c>
      <c r="DP41" s="17">
        <f>DO41*VLOOKUP('Données projet'!$B$14,Paramètres!$A$1:$I$89,3,0)*VLOOKUP('Données projet'!$B$14,Paramètres!$A$1:$I$89,5,0)</f>
        <v>136.95551999999995</v>
      </c>
      <c r="DQ41" s="13">
        <f t="shared" si="43"/>
        <v>35.598667939009403</v>
      </c>
      <c r="DR41" s="20">
        <f t="shared" si="16"/>
        <v>300.53187732710791</v>
      </c>
      <c r="DS41" s="59">
        <f t="shared" si="17"/>
        <v>593.86521066044122</v>
      </c>
      <c r="DT41" s="59">
        <f ca="1">AVERAGE(OFFSET($DS$3,0,0,'Données projet'!$E$14+1,1))-AVERAGE(OFFSET($H$3,0,0,'Données projet'!$E$14+1,1))</f>
        <v>261.22357949323879</v>
      </c>
      <c r="DU41" s="59">
        <f t="shared" si="44"/>
        <v>163.41029152029387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2.6596647883020754</v>
      </c>
      <c r="EC41" s="21">
        <f>EXP(-LN(2)/2)*EC40+(1-EXP(-LN(2)/2))/(LN(2)/2)*DW41*DZ41*VLOOKUP('Données projet'!$B$14,Paramètres!$A$1:$I$89,3,0)*0.475*44/12</f>
        <v>0.41351246441224399</v>
      </c>
      <c r="ED41" s="22">
        <f t="shared" si="18"/>
        <v>3.0731772527143195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7</v>
      </c>
      <c r="EJ41" s="12">
        <f>IF('Données projet'!$A$192&gt;35,EJ40+EI41-ER40,IF(A41&lt;'Données projet'!$A$192,$EG$205^A41,IF(A41='Données projet'!$A$192,'Données projet'!$B$192,EJ40+EI41-ER40)))</f>
        <v>203.7</v>
      </c>
      <c r="EK41" s="17">
        <f>EJ41*VLOOKUP('Données projet'!$B$15,Paramètres!$A$1:$I$89,3,0)*VLOOKUP('Données projet'!$B$15,Paramètres!$A$1:$I$89,5,0)</f>
        <v>95.331599999999995</v>
      </c>
      <c r="EL41" s="13">
        <f t="shared" si="45"/>
        <v>25.84673998337389</v>
      </c>
      <c r="EM41" s="20">
        <f t="shared" si="19"/>
        <v>211.05227547104286</v>
      </c>
      <c r="EN41" s="59">
        <f t="shared" si="20"/>
        <v>504.38560880437615</v>
      </c>
      <c r="EO41" s="59">
        <f ca="1">AVERAGE(OFFSET($EN$3,0,0,'Données projet'!$E$15+1,1))-AVERAGE(OFFSET($H$3,0,0,'Données projet'!$E$15+1,1))</f>
        <v>123.60520571614535</v>
      </c>
      <c r="EP41" s="59">
        <f t="shared" si="46"/>
        <v>119.00926870519527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0.74022501843612487</v>
      </c>
      <c r="EW41" s="21">
        <f>EXP(-LN(2)/25)*EW40+(1-EXP(-LN(2)/25))/(LN(2)/25)*Calculateur!ER41*Calculateur!ET41*VLOOKUP('Données projet'!$B$15,Paramètres!$A$1:$I$89,3,0)*0.475*44/12</f>
        <v>3.8265171091426655</v>
      </c>
      <c r="EX41" s="21">
        <f>EXP(-LN(2)/2)*EX40+(1-EXP(-LN(2)/2))/(LN(2)/2)*ER41*EU41*VLOOKUP('Données projet'!$B$15,Paramètres!$A$1:$I$89,3,0)*0.475*44/12</f>
        <v>0.38210690569265909</v>
      </c>
      <c r="EY41" s="22">
        <f t="shared" si="21"/>
        <v>4.9488490332714496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8.1</v>
      </c>
      <c r="FE41" s="12">
        <f>IF('Données projet'!$A$218&gt;35,FE40+FD41-FM40,IF(A41&lt;'Données projet'!$A$218,$FB$205^A41,IF(A41='Données projet'!$A$218,'Données projet'!$B$218,FE40+FD41-FM40)))</f>
        <v>157.79999999999998</v>
      </c>
      <c r="FF41" s="17">
        <f>FE41*VLOOKUP('Données projet'!$B$16,Paramètres!$A$1:$I$89,3,0)*VLOOKUP('Données projet'!$B$16,Paramètres!$A$1:$I$89,5,0)</f>
        <v>115.69895999999997</v>
      </c>
      <c r="FG41" s="13">
        <f t="shared" si="47"/>
        <v>30.669731324156793</v>
      </c>
      <c r="FH41" s="20">
        <f t="shared" si="22"/>
        <v>254.92547072290634</v>
      </c>
      <c r="FI41" s="59">
        <f t="shared" si="23"/>
        <v>548.25880405623968</v>
      </c>
      <c r="FJ41" s="59">
        <f ca="1">AVERAGE(OFFSET($FI$3,0,0,'Données projet'!$E$16+1,1))-AVERAGE(OFFSET($H$3,0,0,'Données projet'!$E$16+1,1))</f>
        <v>124.15919323713428</v>
      </c>
      <c r="FK41" s="59">
        <f t="shared" si="48"/>
        <v>157.85954678210715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0</v>
      </c>
      <c r="FR41" s="21">
        <f>EXP(-LN(2)/25)*FR40+(1-EXP(-LN(2)/25))/(LN(2)/25)*Calculateur!FM41*Calculateur!FO41*VLOOKUP('Données projet'!$B$16,Paramètres!$A$1:$I$89,3,0)*0.475*44/12</f>
        <v>4.026487122207314</v>
      </c>
      <c r="FS41" s="21">
        <f>EXP(-LN(2)/2)*FS40+(1-EXP(-LN(2)/2))/(LN(2)/2)*FM41*FP41*VLOOKUP('Données projet'!$B$16,Paramètres!$A$1:$I$89,3,0)*0.475*44/12</f>
        <v>0.46108335919020293</v>
      </c>
      <c r="FT41" s="22">
        <f t="shared" si="24"/>
        <v>4.4875704813975172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8.1999999999999993</v>
      </c>
      <c r="N42" s="13">
        <f>IF('Données projet'!$A$36&gt;35,N41+M42-V41,IF(A42&lt;'Données projet'!$A$36,$K$205^A42,IF(A42='Données projet'!$A$36,'Données projet'!$B$36,N41+M42-V41)))</f>
        <v>149.79999999999995</v>
      </c>
      <c r="O42" s="13">
        <f>N42*VLOOKUP('Données projet'!$B$9,Paramètres!$A$1:$I$89,3,0)*VLOOKUP('Données projet'!$B$9,Paramètres!$A$1:$I$89,5,0)</f>
        <v>135.53903999999997</v>
      </c>
      <c r="P42" s="13">
        <f t="shared" si="33"/>
        <v>35.273144164630104</v>
      </c>
      <c r="Q42" s="20">
        <f t="shared" si="53"/>
        <v>297.49788742006405</v>
      </c>
      <c r="R42" s="59">
        <f t="shared" si="0"/>
        <v>590.83122075339736</v>
      </c>
      <c r="S42" s="59">
        <f ca="1">AVERAGE(OFFSET($R$3,0,0,'Données projet'!$E$9+1,1))-AVERAGE(OFFSET($H$3,0,0,'Données projet'!$E$9+1,1))</f>
        <v>237.22177246688199</v>
      </c>
      <c r="T42" s="59">
        <f t="shared" si="34"/>
        <v>149.27472147904302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2.420037010619601</v>
      </c>
      <c r="AB42" s="21">
        <f>EXP(-LN(2)/2)*AB41+(1-EXP(-LN(2)/2))/(LN(2)/2)*V42*Y42*VLOOKUP('Données projet'!$B$9,Paramètres!$A$1:$I$89,3,0)*0.475*44/12</f>
        <v>0.27353311493679683</v>
      </c>
      <c r="AC42" s="22">
        <f t="shared" si="3"/>
        <v>2.693570125556398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8.6999999999999993</v>
      </c>
      <c r="AI42" s="13">
        <f>IF('Données projet'!$A$62&gt;35,AI41+AH42-AQ41,IF(A42&lt;'Données projet'!$A$62,$AF$205^A42,IF(A42='Données projet'!$A$62,'Données projet'!$B$62,AI41+AH42-AQ41)))</f>
        <v>191.29999999999987</v>
      </c>
      <c r="AJ42" s="13">
        <f>AI42*VLOOKUP('Données projet'!$B$10,Paramètres!$A$1:$I$89,3,0)*VLOOKUP('Données projet'!$B$10,Paramètres!$A$1:$I$89,5,0)</f>
        <v>167.11967999999993</v>
      </c>
      <c r="AK42" s="13">
        <f t="shared" si="35"/>
        <v>42.444287553880535</v>
      </c>
      <c r="AL42" s="20">
        <f t="shared" si="4"/>
        <v>364.99057682300844</v>
      </c>
      <c r="AM42" s="59">
        <f t="shared" si="5"/>
        <v>658.32391015634175</v>
      </c>
      <c r="AN42" s="59">
        <f ca="1">AVERAGE(OFFSET($AM$3,0,0,'Données projet'!$E$10+1,1))-AVERAGE(OFFSET($H$3,0,0,'Données projet'!$E$10+1,1))</f>
        <v>191.94797389630673</v>
      </c>
      <c r="AO42" s="59">
        <f t="shared" si="36"/>
        <v>273.52540822767878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2.1543296945605563</v>
      </c>
      <c r="AV42" s="21">
        <f>EXP(-LN(2)/25)*AV41+(1-EXP(-LN(2)/25))/(LN(2)/25)*Calculateur!AQ42*Calculateur!AS42*VLOOKUP('Données projet'!$B$10,Paramètres!$A$1:$I$89,3,0)*0.475*44/12</f>
        <v>10.945821706612357</v>
      </c>
      <c r="AW42" s="21">
        <f>EXP(-LN(2)/2)*AW41+(1-EXP(-LN(2)/2))/(LN(2)/2)*AQ42*AT42*VLOOKUP('Données projet'!$B$10,Paramètres!$A$1:$I$89,3,0)*0.475*44/12</f>
        <v>1.0254401959247716</v>
      </c>
      <c r="AX42" s="21">
        <f t="shared" si="6"/>
        <v>14.125591597097683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7.166666666666667</v>
      </c>
      <c r="BD42" s="12">
        <f>IF('Données projet'!$A$88&gt;35,BD41+BC42-BL41,IF(A42&lt;'Données projet'!$A$88,$BA$205^A42,IF(A42='Données projet'!$A$88,'Données projet'!$B$88,BD41+BC42-BL41)))</f>
        <v>153.83333333333329</v>
      </c>
      <c r="BE42" s="13">
        <f>BD42*VLOOKUP('Données projet'!$B$11,Paramètres!$A$1:$I$89,3,0)*VLOOKUP('Données projet'!$B$11,Paramètres!$A$1:$I$89,5,0)</f>
        <v>91.99233333333332</v>
      </c>
      <c r="BF42" s="13">
        <f t="shared" si="37"/>
        <v>25.045113791449438</v>
      </c>
      <c r="BG42" s="20">
        <f t="shared" si="7"/>
        <v>203.84022040899663</v>
      </c>
      <c r="BH42" s="59">
        <f t="shared" si="8"/>
        <v>497.17355374232994</v>
      </c>
      <c r="BI42" s="59">
        <f ca="1">AVERAGE(OFFSET($BH$3,0,0,'Données projet'!$E$11+1,1))-AVERAGE(OFFSET($H$3,0,0,'Données projet'!$E$11+1,1))</f>
        <v>72.647148358003676</v>
      </c>
      <c r="BJ42" s="59">
        <f t="shared" si="38"/>
        <v>87.231299224620898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1.064739830932294</v>
      </c>
      <c r="BQ42" s="21">
        <f>EXP(-LN(2)/25)*BQ41+(1-EXP(-LN(2)/25))/(LN(2)/25)*Calculateur!BL42*Calculateur!BN42*VLOOKUP('Données projet'!$B$11,Paramètres!$A$1:$I$89,3,0)*0.475*44/12</f>
        <v>3.5304944029314851</v>
      </c>
      <c r="BR42" s="21">
        <f>EXP(-LN(2)/2)*BR41+(1-EXP(-LN(2)/2))/(LN(2)/2)*BL42*BO42*VLOOKUP('Données projet'!$B$11,Paramètres!$A$1:$I$89,3,0)*0.475*44/12</f>
        <v>0.10080231943732076</v>
      </c>
      <c r="BS42" s="22">
        <f t="shared" si="9"/>
        <v>4.6960365533011004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11</v>
      </c>
      <c r="BY42" s="12">
        <f>IF('Données projet'!$A$114&gt;35,BY41+BX42-CG41,IF(A42&lt;'Données projet'!$A$114,$BV$205^A42,IF(A42='Données projet'!$A$114,'Données projet'!$B$114,BY41+BX42-CG41)))</f>
        <v>221.99999999999997</v>
      </c>
      <c r="BZ42" s="13">
        <f>BY42*VLOOKUP('Données projet'!$B$12,Paramètres!$A$1:$I$89,3,0)*VLOOKUP('Données projet'!$B$12,Paramètres!$A$1:$I$89,5,0)</f>
        <v>132.756</v>
      </c>
      <c r="CA42" s="13">
        <f t="shared" si="39"/>
        <v>34.632410397339967</v>
      </c>
      <c r="CB42" s="20">
        <f t="shared" si="10"/>
        <v>291.53481477536712</v>
      </c>
      <c r="CC42" s="59">
        <f t="shared" si="11"/>
        <v>584.86814810870044</v>
      </c>
      <c r="CD42" s="59">
        <f ca="1">AVERAGE(OFFSET($CC$3,0,0,'Données projet'!$E$12+1,1))-AVERAGE(OFFSET($H$3,0,0,'Données projet'!$E$12+1,1))</f>
        <v>165.39579887388538</v>
      </c>
      <c r="CE42" s="59">
        <f t="shared" si="40"/>
        <v>155.89639262545802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5.679521640662708</v>
      </c>
      <c r="CM42" s="21">
        <f>EXP(-LN(2)/2)*CM41+(1-EXP(-LN(2)/2))/(LN(2)/2)*CG42*CJ42*VLOOKUP('Données projet'!$B$12,Paramètres!$A$1:$I$89,3,0)*0.475*44/12</f>
        <v>0.61341671197479064</v>
      </c>
      <c r="CN42" s="22">
        <f t="shared" si="12"/>
        <v>6.2929383526374991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11.9</v>
      </c>
      <c r="CT42" s="12">
        <f>IF('Données projet'!$A$140&gt;35,CT41+CS42-DB41,IF(A42&lt;'Données projet'!$A$140,$CQ$205^A42,IF(A42='Données projet'!$A$140,'Données projet'!$B$140,CT41+CS42-DB41)))</f>
        <v>193.60000000000002</v>
      </c>
      <c r="CU42" s="17">
        <f>CT42*VLOOKUP('Données projet'!$B$13,Paramètres!$A$1:$I$89,3,0)*VLOOKUP('Données projet'!$B$13,Paramètres!$A$1:$I$89,5,0)</f>
        <v>151.00800000000001</v>
      </c>
      <c r="CV42" s="13">
        <f t="shared" si="41"/>
        <v>38.807567870348514</v>
      </c>
      <c r="CW42" s="20">
        <f t="shared" si="13"/>
        <v>330.59544737419031</v>
      </c>
      <c r="CX42" s="59">
        <f t="shared" si="14"/>
        <v>623.92878070752363</v>
      </c>
      <c r="CY42" s="59">
        <f ca="1">AVERAGE(OFFSET($CX$3,0,0,'Données projet'!$E$13+1,1))-AVERAGE(OFFSET($H$3,0,0,'Données projet'!$E$13+1,1))</f>
        <v>190.06335940156185</v>
      </c>
      <c r="CZ42" s="59">
        <f t="shared" si="42"/>
        <v>166.43663896839928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3.4800920503286732</v>
      </c>
      <c r="DH42" s="21">
        <f>EXP(-LN(2)/2)*DH41+(1-EXP(-LN(2)/2))/(LN(2)/2)*DB42*DE42*VLOOKUP('Données projet'!$B$13,Paramètres!$A$1:$I$89,3,0)*0.475*44/12</f>
        <v>0.23539579671936228</v>
      </c>
      <c r="DI42" s="22">
        <f t="shared" si="15"/>
        <v>3.7154878470480357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8.1999999999999993</v>
      </c>
      <c r="DO42" s="12">
        <f>IF('Données projet'!$A$166&gt;35,DO41+DN42-DW41,IF(A42&lt;'Données projet'!$A$166,$DL$205^A42,IF(A42='Données projet'!$A$166,'Données projet'!$B$166,DO41+DN42-DW41)))</f>
        <v>149.79999999999995</v>
      </c>
      <c r="DP42" s="17">
        <f>DO42*VLOOKUP('Données projet'!$B$14,Paramètres!$A$1:$I$89,3,0)*VLOOKUP('Données projet'!$B$14,Paramètres!$A$1:$I$89,5,0)</f>
        <v>144.88655999999997</v>
      </c>
      <c r="DQ42" s="13">
        <f t="shared" si="43"/>
        <v>37.414202725902875</v>
      </c>
      <c r="DR42" s="20">
        <f t="shared" si="16"/>
        <v>317.50716174761413</v>
      </c>
      <c r="DS42" s="59">
        <f t="shared" si="17"/>
        <v>610.84049508094745</v>
      </c>
      <c r="DT42" s="59">
        <f ca="1">AVERAGE(OFFSET($DS$3,0,0,'Données projet'!$E$14+1,1))-AVERAGE(OFFSET($H$3,0,0,'Données projet'!$E$14+1,1))</f>
        <v>261.22357949323879</v>
      </c>
      <c r="DU42" s="59">
        <f t="shared" si="44"/>
        <v>163.41029152029387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2.5869361148002628</v>
      </c>
      <c r="EC42" s="21">
        <f>EXP(-LN(2)/2)*EC41+(1-EXP(-LN(2)/2))/(LN(2)/2)*DW42*DZ42*VLOOKUP('Données projet'!$B$14,Paramètres!$A$1:$I$89,3,0)*0.475*44/12</f>
        <v>0.29239746769105862</v>
      </c>
      <c r="ED42" s="22">
        <f t="shared" si="18"/>
        <v>2.8793335824913213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7</v>
      </c>
      <c r="EJ42" s="12">
        <f>IF('Données projet'!$A$192&gt;35,EJ41+EI42-ER41,IF(A42&lt;'Données projet'!$A$192,$EG$205^A42,IF(A42='Données projet'!$A$192,'Données projet'!$B$192,EJ41+EI42-ER41)))</f>
        <v>210.7</v>
      </c>
      <c r="EK42" s="17">
        <f>EJ42*VLOOKUP('Données projet'!$B$15,Paramètres!$A$1:$I$89,3,0)*VLOOKUP('Données projet'!$B$15,Paramètres!$A$1:$I$89,5,0)</f>
        <v>98.607599999999991</v>
      </c>
      <c r="EL42" s="13">
        <f t="shared" si="45"/>
        <v>26.630007227548578</v>
      </c>
      <c r="EM42" s="20">
        <f t="shared" si="19"/>
        <v>218.12216592131372</v>
      </c>
      <c r="EN42" s="59">
        <f t="shared" si="20"/>
        <v>511.45549925464707</v>
      </c>
      <c r="EO42" s="59">
        <f ca="1">AVERAGE(OFFSET($EN$3,0,0,'Données projet'!$E$15+1,1))-AVERAGE(OFFSET($H$3,0,0,'Données projet'!$E$15+1,1))</f>
        <v>123.60520571614535</v>
      </c>
      <c r="EP42" s="59">
        <f t="shared" si="46"/>
        <v>119.00926870519527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0.72570965731727255</v>
      </c>
      <c r="EW42" s="21">
        <f>EXP(-LN(2)/25)*EW41+(1-EXP(-LN(2)/25))/(LN(2)/25)*Calculateur!ER42*Calculateur!ET42*VLOOKUP('Données projet'!$B$15,Paramètres!$A$1:$I$89,3,0)*0.475*44/12</f>
        <v>3.7218807975653703</v>
      </c>
      <c r="EX42" s="21">
        <f>EXP(-LN(2)/2)*EX41+(1-EXP(-LN(2)/2))/(LN(2)/2)*ER42*EU42*VLOOKUP('Données projet'!$B$15,Paramètres!$A$1:$I$89,3,0)*0.475*44/12</f>
        <v>0.27019038415348784</v>
      </c>
      <c r="EY42" s="22">
        <f t="shared" si="21"/>
        <v>4.7177808390361307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8.1</v>
      </c>
      <c r="FE42" s="12">
        <f>IF('Données projet'!$A$218&gt;35,FE41+FD42-FM41,IF(A42&lt;'Données projet'!$A$218,$FB$205^A42,IF(A42='Données projet'!$A$218,'Données projet'!$B$218,FE41+FD42-FM41)))</f>
        <v>165.89999999999998</v>
      </c>
      <c r="FF42" s="17">
        <f>FE42*VLOOKUP('Données projet'!$B$16,Paramètres!$A$1:$I$89,3,0)*VLOOKUP('Données projet'!$B$16,Paramètres!$A$1:$I$89,5,0)</f>
        <v>121.63787999999998</v>
      </c>
      <c r="FG42" s="13">
        <f t="shared" si="47"/>
        <v>32.05670598050596</v>
      </c>
      <c r="FH42" s="20">
        <f t="shared" si="22"/>
        <v>267.68473724938116</v>
      </c>
      <c r="FI42" s="59">
        <f t="shared" si="23"/>
        <v>561.01807058271447</v>
      </c>
      <c r="FJ42" s="59">
        <f ca="1">AVERAGE(OFFSET($FI$3,0,0,'Données projet'!$E$16+1,1))-AVERAGE(OFFSET($H$3,0,0,'Données projet'!$E$16+1,1))</f>
        <v>124.15919323713428</v>
      </c>
      <c r="FK42" s="59">
        <f t="shared" si="48"/>
        <v>157.85954678210715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0</v>
      </c>
      <c r="FR42" s="21">
        <f>EXP(-LN(2)/25)*FR41+(1-EXP(-LN(2)/25))/(LN(2)/25)*Calculateur!FM42*Calculateur!FO42*VLOOKUP('Données projet'!$B$16,Paramètres!$A$1:$I$89,3,0)*0.475*44/12</f>
        <v>3.9163826201067997</v>
      </c>
      <c r="FS42" s="21">
        <f>EXP(-LN(2)/2)*FS41+(1-EXP(-LN(2)/2))/(LN(2)/2)*FM42*FP42*VLOOKUP('Données projet'!$B$16,Paramètres!$A$1:$I$89,3,0)*0.475*44/12</f>
        <v>0.32603516997566512</v>
      </c>
      <c r="FT42" s="22">
        <f t="shared" si="24"/>
        <v>4.2424177900824649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158</v>
      </c>
      <c r="L43" s="12">
        <f>VLOOKUP(A43,'Données projet'!$A$35:$I$55,9,0)</f>
        <v>8.1999999999999993</v>
      </c>
      <c r="M43" s="12">
        <f t="array" ref="M43">INDEX(L:L,MIN(IF(ISNUMBER(L43:L239),ROW(L43:L239),"")))</f>
        <v>8.1999999999999993</v>
      </c>
      <c r="N43" s="13">
        <f>IF('Données projet'!$A$36&gt;35,N42+M43-V42,IF(A43&lt;'Données projet'!$A$36,$K$205^A43,IF(A43='Données projet'!$A$36,'Données projet'!$B$36,N42+M43-V42)))</f>
        <v>157.99999999999994</v>
      </c>
      <c r="O43" s="13">
        <f>N43*VLOOKUP('Données projet'!$B$9,Paramètres!$A$1:$I$89,3,0)*VLOOKUP('Données projet'!$B$9,Paramètres!$A$1:$I$89,5,0)</f>
        <v>142.95839999999993</v>
      </c>
      <c r="P43" s="13">
        <f t="shared" si="33"/>
        <v>36.973906370811264</v>
      </c>
      <c r="Q43" s="20">
        <f t="shared" si="53"/>
        <v>313.38210026249618</v>
      </c>
      <c r="R43" s="59">
        <f t="shared" si="0"/>
        <v>606.7154335958295</v>
      </c>
      <c r="S43" s="59">
        <f ca="1">AVERAGE(OFFSET($R$3,0,0,'Données projet'!$E$9+1,1))-AVERAGE(OFFSET($H$3,0,0,'Données projet'!$E$9+1,1))</f>
        <v>237.22177246688199</v>
      </c>
      <c r="T43" s="59">
        <f t="shared" si="34"/>
        <v>149.27472147904302</v>
      </c>
      <c r="U43" s="15">
        <f>IF(ISNA(VLOOKUP(A43,'Données projet'!$A$35:$I$55,3,0)),0,VLOOKUP(A43,'Données projet'!$A$35:$I$55,3,0))</f>
        <v>2</v>
      </c>
      <c r="V43" s="15">
        <f>IF(ISNA(VLOOKUP(A43,'Données projet'!$A$35:$I$55,4,0)),0,VLOOKUP(A43,'Données projet'!$A$35:$I$55,4,0))</f>
        <v>42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2.3538609712999925</v>
      </c>
      <c r="AB43" s="21">
        <f>EXP(-LN(2)/2)*AB42+(1-EXP(-LN(2)/2))/(LN(2)/2)*V43*Y43*VLOOKUP('Données projet'!$B$9,Paramètres!$A$1:$I$89,3,0)*0.475*44/12</f>
        <v>0.19341712045088835</v>
      </c>
      <c r="AC43" s="22">
        <f t="shared" si="3"/>
        <v>2.547278091750881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200</v>
      </c>
      <c r="AG43" s="12">
        <f>VLOOKUP(A43,'Données projet'!$A$61:$I$81,9,0)</f>
        <v>8.6999999999999993</v>
      </c>
      <c r="AH43" s="12">
        <f t="array" ref="AH43">INDEX(AG:AG,MIN(IF(ISNUMBER(AG43:AG239),ROW(AG43:AG239),"")))</f>
        <v>8.6999999999999993</v>
      </c>
      <c r="AI43" s="13">
        <f>IF('Données projet'!$A$62&gt;35,AI42+AH43-AQ42,IF(A43&lt;'Données projet'!$A$62,$AF$205^A43,IF(A43='Données projet'!$A$62,'Données projet'!$B$62,AI42+AH43-AQ42)))</f>
        <v>199.99999999999986</v>
      </c>
      <c r="AJ43" s="13">
        <f>AI43*VLOOKUP('Données projet'!$B$10,Paramètres!$A$1:$I$89,3,0)*VLOOKUP('Données projet'!$B$10,Paramètres!$A$1:$I$89,5,0)</f>
        <v>174.71999999999989</v>
      </c>
      <c r="AK43" s="13">
        <f t="shared" si="35"/>
        <v>44.145455754865203</v>
      </c>
      <c r="AL43" s="20">
        <f t="shared" si="4"/>
        <v>381.19066877305664</v>
      </c>
      <c r="AM43" s="59">
        <f t="shared" si="5"/>
        <v>674.52400210638996</v>
      </c>
      <c r="AN43" s="59">
        <f ca="1">AVERAGE(OFFSET($AM$3,0,0,'Données projet'!$E$10+1,1))-AVERAGE(OFFSET($H$3,0,0,'Données projet'!$E$10+1,1))</f>
        <v>191.94797389630673</v>
      </c>
      <c r="AO43" s="59">
        <f t="shared" si="36"/>
        <v>273.52540822767878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58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2.1120846032615899</v>
      </c>
      <c r="AV43" s="21">
        <f>EXP(-LN(2)/25)*AV42+(1-EXP(-LN(2)/25))/(LN(2)/25)*Calculateur!AQ43*Calculateur!AS43*VLOOKUP('Données projet'!$B$10,Paramètres!$A$1:$I$89,3,0)*0.475*44/12</f>
        <v>10.646507636429295</v>
      </c>
      <c r="AW43" s="21">
        <f>EXP(-LN(2)/2)*AW42+(1-EXP(-LN(2)/2))/(LN(2)/2)*AQ43*AT43*VLOOKUP('Données projet'!$B$10,Paramètres!$A$1:$I$89,3,0)*0.475*44/12</f>
        <v>0.72509571623966795</v>
      </c>
      <c r="AX43" s="21">
        <f t="shared" si="6"/>
        <v>13.483687955930552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161</v>
      </c>
      <c r="BB43" s="12">
        <f>VLOOKUP(A43,'Données projet'!$A$87:$I$107,9,0)</f>
        <v>7.166666666666667</v>
      </c>
      <c r="BC43" s="12">
        <f t="array" ref="BC43">INDEX(BB:BB,MIN(IF(ISNUMBER(BB43:BB239),ROW(BB43:BB239),"")))</f>
        <v>7.166666666666667</v>
      </c>
      <c r="BD43" s="12">
        <f>IF('Données projet'!$A$88&gt;35,BD42+BC43-BL42,IF(A43&lt;'Données projet'!$A$88,$BA$205^A43,IF(A43='Données projet'!$A$88,'Données projet'!$B$88,BD42+BC43-BL42)))</f>
        <v>160.99999999999994</v>
      </c>
      <c r="BE43" s="13">
        <f>BD43*VLOOKUP('Données projet'!$B$11,Paramètres!$A$1:$I$89,3,0)*VLOOKUP('Données projet'!$B$11,Paramètres!$A$1:$I$89,5,0)</f>
        <v>96.277999999999963</v>
      </c>
      <c r="BF43" s="13">
        <f t="shared" si="37"/>
        <v>26.073334426410277</v>
      </c>
      <c r="BG43" s="20">
        <f t="shared" si="7"/>
        <v>213.0952407926645</v>
      </c>
      <c r="BH43" s="59">
        <f t="shared" si="8"/>
        <v>506.42857412599778</v>
      </c>
      <c r="BI43" s="59">
        <f ca="1">AVERAGE(OFFSET($BH$3,0,0,'Données projet'!$E$11+1,1))-AVERAGE(OFFSET($H$3,0,0,'Données projet'!$E$11+1,1))</f>
        <v>72.647148358003676</v>
      </c>
      <c r="BJ43" s="59">
        <f t="shared" si="38"/>
        <v>87.231299224620898</v>
      </c>
      <c r="BK43" s="15">
        <f>IF(ISNA(VLOOKUP(A43,'Données projet'!$A$87:$I$107,3,0)),0,VLOOKUP(A43,'Données projet'!$A$87:$I$107,3,0))</f>
        <v>6</v>
      </c>
      <c r="BL43" s="15">
        <f>IF(ISNA(VLOOKUP(A43,'Données projet'!$A$87:$I$107,4,0)),0,VLOOKUP(A43,'Données projet'!$A$87:$I$107,4,0))</f>
        <v>23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1.0438609322748829</v>
      </c>
      <c r="BQ43" s="21">
        <f>EXP(-LN(2)/25)*BQ42+(1-EXP(-LN(2)/25))/(LN(2)/25)*Calculateur!BL43*Calculateur!BN43*VLOOKUP('Données projet'!$B$11,Paramètres!$A$1:$I$89,3,0)*0.475*44/12</f>
        <v>3.4339528478226922</v>
      </c>
      <c r="BR43" s="21">
        <f>EXP(-LN(2)/2)*BR42+(1-EXP(-LN(2)/2))/(LN(2)/2)*BL43*BO43*VLOOKUP('Données projet'!$B$11,Paramètres!$A$1:$I$89,3,0)*0.475*44/12</f>
        <v>7.1278003633462039E-2</v>
      </c>
      <c r="BS43" s="22">
        <f t="shared" si="9"/>
        <v>4.5490917837310372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233</v>
      </c>
      <c r="BW43" s="12">
        <f>VLOOKUP(A43,'Données projet'!$A$113:$I$133,9,0)</f>
        <v>11</v>
      </c>
      <c r="BX43" s="12">
        <f t="array" ref="BX43">INDEX(BW:BW,MIN(IF(ISNUMBER(BW43:BW239),ROW(BW43:BW239),"")))</f>
        <v>11</v>
      </c>
      <c r="BY43" s="12">
        <f>IF('Données projet'!$A$114&gt;35,BY42+BX43-CG42,IF(A43&lt;'Données projet'!$A$114,$BV$205^A43,IF(A43='Données projet'!$A$114,'Données projet'!$B$114,BY42+BX43-CG42)))</f>
        <v>232.99999999999997</v>
      </c>
      <c r="BZ43" s="13">
        <f>BY43*VLOOKUP('Données projet'!$B$12,Paramètres!$A$1:$I$89,3,0)*VLOOKUP('Données projet'!$B$12,Paramètres!$A$1:$I$89,5,0)</f>
        <v>139.334</v>
      </c>
      <c r="CA43" s="13">
        <f t="shared" si="39"/>
        <v>36.144391930570897</v>
      </c>
      <c r="CB43" s="20">
        <f t="shared" si="10"/>
        <v>305.62486594574432</v>
      </c>
      <c r="CC43" s="59">
        <f t="shared" si="11"/>
        <v>598.95819927907769</v>
      </c>
      <c r="CD43" s="59">
        <f ca="1">AVERAGE(OFFSET($CC$3,0,0,'Données projet'!$E$12+1,1))-AVERAGE(OFFSET($H$3,0,0,'Données projet'!$E$12+1,1))</f>
        <v>165.39579887388538</v>
      </c>
      <c r="CE43" s="59">
        <f t="shared" si="40"/>
        <v>155.89639262545802</v>
      </c>
      <c r="CF43" s="15">
        <f>IF(ISNA(VLOOKUP(A43,'Données projet'!$A$113:$I$133,3,0)),0,VLOOKUP(A43,'Données projet'!$A$113:$I$133,3,0))</f>
        <v>2</v>
      </c>
      <c r="CG43" s="15">
        <f>IF(ISNA(VLOOKUP(A43,'Données projet'!$A$113:$I$133,4,0)),0,VLOOKUP(A43,'Données projet'!$A$113:$I$133,4,0))</f>
        <v>56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5.5242148227257237</v>
      </c>
      <c r="CM43" s="21">
        <f>EXP(-LN(2)/2)*CM42+(1-EXP(-LN(2)/2))/(LN(2)/2)*CG43*CJ43*VLOOKUP('Données projet'!$B$12,Paramètres!$A$1:$I$89,3,0)*0.475*44/12</f>
        <v>0.43375111673052974</v>
      </c>
      <c r="CN43" s="22">
        <f t="shared" si="12"/>
        <v>5.9579659394562539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11.9</v>
      </c>
      <c r="CT43" s="12">
        <f>IF('Données projet'!$A$140&gt;35,CT42+CS43-DB42,IF(A43&lt;'Données projet'!$A$140,$CQ$205^A43,IF(A43='Données projet'!$A$140,'Données projet'!$B$140,CT42+CS43-DB42)))</f>
        <v>205.50000000000003</v>
      </c>
      <c r="CU43" s="17">
        <f>CT43*VLOOKUP('Données projet'!$B$13,Paramètres!$A$1:$I$89,3,0)*VLOOKUP('Données projet'!$B$13,Paramètres!$A$1:$I$89,5,0)</f>
        <v>160.29000000000002</v>
      </c>
      <c r="CV43" s="13">
        <f t="shared" si="41"/>
        <v>40.907918820862015</v>
      </c>
      <c r="CW43" s="20">
        <f t="shared" si="13"/>
        <v>350.41970861300138</v>
      </c>
      <c r="CX43" s="59">
        <f t="shared" si="14"/>
        <v>643.75304194633463</v>
      </c>
      <c r="CY43" s="59">
        <f ca="1">AVERAGE(OFFSET($CX$3,0,0,'Données projet'!$E$13+1,1))-AVERAGE(OFFSET($H$3,0,0,'Données projet'!$E$13+1,1))</f>
        <v>190.06335940156185</v>
      </c>
      <c r="CZ43" s="59">
        <f t="shared" si="42"/>
        <v>166.43663896839928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3.3849287502023486</v>
      </c>
      <c r="DH43" s="21">
        <f>EXP(-LN(2)/2)*DH42+(1-EXP(-LN(2)/2))/(LN(2)/2)*DB43*DE43*VLOOKUP('Données projet'!$B$13,Paramètres!$A$1:$I$89,3,0)*0.475*44/12</f>
        <v>0.16644996412307114</v>
      </c>
      <c r="DI43" s="22">
        <f t="shared" si="15"/>
        <v>3.5513787143254198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158</v>
      </c>
      <c r="DM43" s="12">
        <f>VLOOKUP(A43,'Données projet'!$A$165:$I$185,9,0)</f>
        <v>8.1999999999999993</v>
      </c>
      <c r="DN43" s="12">
        <f t="array" ref="DN43">INDEX(DM:DM,MIN(IF(ISNUMBER(DM43:DM239),ROW(DM43:DM239),"")))</f>
        <v>8.1999999999999993</v>
      </c>
      <c r="DO43" s="12">
        <f>IF('Données projet'!$A$166&gt;35,DO42+DN43-DW42,IF(A43&lt;'Données projet'!$A$166,$DL$205^A43,IF(A43='Données projet'!$A$166,'Données projet'!$B$166,DO42+DN43-DW42)))</f>
        <v>157.99999999999994</v>
      </c>
      <c r="DP43" s="17">
        <f>DO43*VLOOKUP('Données projet'!$B$14,Paramètres!$A$1:$I$89,3,0)*VLOOKUP('Données projet'!$B$14,Paramètres!$A$1:$I$89,5,0)</f>
        <v>152.81759999999994</v>
      </c>
      <c r="DQ43" s="13">
        <f t="shared" si="43"/>
        <v>39.218200171484192</v>
      </c>
      <c r="DR43" s="20">
        <f t="shared" si="16"/>
        <v>334.46235196533485</v>
      </c>
      <c r="DS43" s="59">
        <f t="shared" si="17"/>
        <v>627.7956852986681</v>
      </c>
      <c r="DT43" s="59">
        <f ca="1">AVERAGE(OFFSET($DS$3,0,0,'Données projet'!$E$14+1,1))-AVERAGE(OFFSET($H$3,0,0,'Données projet'!$E$14+1,1))</f>
        <v>261.22357949323879</v>
      </c>
      <c r="DU43" s="59">
        <f t="shared" si="44"/>
        <v>163.41029152029387</v>
      </c>
      <c r="DV43" s="15">
        <f>IF(ISNA(VLOOKUP(A43,'Données projet'!$A$165:$I$185,3,0)),0,VLOOKUP(A43,'Données projet'!$A$165:$I$185,3,0))</f>
        <v>2</v>
      </c>
      <c r="DW43" s="15">
        <f>IF(ISNA(VLOOKUP(A43,'Données projet'!$A$165:$I$185,4,0)),0,VLOOKUP(A43,'Données projet'!$A$165:$I$185,4,0))</f>
        <v>42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2.516196210699992</v>
      </c>
      <c r="EC43" s="21">
        <f>EXP(-LN(2)/2)*EC42+(1-EXP(-LN(2)/2))/(LN(2)/2)*DW43*DZ43*VLOOKUP('Données projet'!$B$14,Paramètres!$A$1:$I$89,3,0)*0.475*44/12</f>
        <v>0.20675623220612199</v>
      </c>
      <c r="ED43" s="22">
        <f t="shared" si="18"/>
        <v>2.7229524429061138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217.7</v>
      </c>
      <c r="EH43" s="12">
        <f>VLOOKUP(A43,'Données projet'!$A$191:$I$211,9,0)</f>
        <v>7</v>
      </c>
      <c r="EI43" s="12">
        <f t="array" ref="EI43">INDEX(EH:EH,MIN(IF(ISNUMBER(EH43:EH239),ROW(EH43:EH239),"")))</f>
        <v>7</v>
      </c>
      <c r="EJ43" s="12">
        <f>IF('Données projet'!$A$192&gt;35,EJ42+EI43-ER42,IF(A43&lt;'Données projet'!$A$192,$EG$205^A43,IF(A43='Données projet'!$A$192,'Données projet'!$B$192,EJ42+EI43-ER42)))</f>
        <v>217.7</v>
      </c>
      <c r="EK43" s="17">
        <f>EJ43*VLOOKUP('Données projet'!$B$15,Paramètres!$A$1:$I$89,3,0)*VLOOKUP('Données projet'!$B$15,Paramètres!$A$1:$I$89,5,0)</f>
        <v>101.8836</v>
      </c>
      <c r="EL43" s="13">
        <f t="shared" si="45"/>
        <v>27.410250752947974</v>
      </c>
      <c r="EM43" s="20">
        <f t="shared" si="19"/>
        <v>225.18679006138439</v>
      </c>
      <c r="EN43" s="59">
        <f t="shared" si="20"/>
        <v>518.52012339471776</v>
      </c>
      <c r="EO43" s="59">
        <f ca="1">AVERAGE(OFFSET($EN$3,0,0,'Données projet'!$E$15+1,1))-AVERAGE(OFFSET($H$3,0,0,'Données projet'!$E$15+1,1))</f>
        <v>123.60520571614535</v>
      </c>
      <c r="EP43" s="59">
        <f t="shared" si="46"/>
        <v>119.00926870519527</v>
      </c>
      <c r="EQ43" s="15">
        <f>IF(ISNA(VLOOKUP(A43,'Données projet'!$A$191:$I$211,3,0)),0,VLOOKUP(A43,'Données projet'!$A$191:$I$211,3,0))</f>
        <v>3</v>
      </c>
      <c r="ER43" s="15">
        <f>IF(ISNA(VLOOKUP(A43,'Données projet'!$A$191:$I$211,4,0)),0,VLOOKUP(A43,'Données projet'!$A$191:$I$211,4,0))</f>
        <v>46.3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0.71147893357646486</v>
      </c>
      <c r="EW43" s="21">
        <f>EXP(-LN(2)/25)*EW42+(1-EXP(-LN(2)/25))/(LN(2)/25)*Calculateur!ER43*Calculateur!ET43*VLOOKUP('Données projet'!$B$15,Paramètres!$A$1:$I$89,3,0)*0.475*44/12</f>
        <v>3.6201057714307407</v>
      </c>
      <c r="EX43" s="21">
        <f>EXP(-LN(2)/2)*EX42+(1-EXP(-LN(2)/2))/(LN(2)/2)*ER43*EU43*VLOOKUP('Données projet'!$B$15,Paramètres!$A$1:$I$89,3,0)*0.475*44/12</f>
        <v>0.19105345284632955</v>
      </c>
      <c r="EY43" s="22">
        <f t="shared" si="21"/>
        <v>4.5226381578535353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174</v>
      </c>
      <c r="FC43" s="12">
        <f>VLOOKUP(A43,'Données projet'!$A$217:$I$237,9,0)</f>
        <v>8.1</v>
      </c>
      <c r="FD43" s="12">
        <f t="array" ref="FD43">INDEX(FC:FC,MIN(IF(ISNUMBER(FC43:FC239),ROW(FC43:FC239),"")))</f>
        <v>8.1</v>
      </c>
      <c r="FE43" s="12">
        <f>IF('Données projet'!$A$218&gt;35,FE42+FD43-FM42,IF(A43&lt;'Données projet'!$A$218,$FB$205^A43,IF(A43='Données projet'!$A$218,'Données projet'!$B$218,FE42+FD43-FM42)))</f>
        <v>173.99999999999997</v>
      </c>
      <c r="FF43" s="17">
        <f>FE43*VLOOKUP('Données projet'!$B$16,Paramètres!$A$1:$I$89,3,0)*VLOOKUP('Données projet'!$B$16,Paramètres!$A$1:$I$89,5,0)</f>
        <v>127.57679999999998</v>
      </c>
      <c r="FG43" s="13">
        <f t="shared" si="47"/>
        <v>33.435817264319823</v>
      </c>
      <c r="FH43" s="20">
        <f t="shared" si="22"/>
        <v>280.43030840202363</v>
      </c>
      <c r="FI43" s="59">
        <f t="shared" si="23"/>
        <v>573.76364173535694</v>
      </c>
      <c r="FJ43" s="59">
        <f ca="1">AVERAGE(OFFSET($FI$3,0,0,'Données projet'!$E$16+1,1))-AVERAGE(OFFSET($H$3,0,0,'Données projet'!$E$16+1,1))</f>
        <v>124.15919323713428</v>
      </c>
      <c r="FK43" s="59">
        <f t="shared" si="48"/>
        <v>157.85954678210715</v>
      </c>
      <c r="FL43" s="15">
        <f>IF(ISNA(VLOOKUP(A43,'Données projet'!$A$217:$I$237,3,0)),0,VLOOKUP(A43,'Données projet'!$A$217:$I$237,3,0))</f>
        <v>3</v>
      </c>
      <c r="FM43" s="15">
        <f>IF(ISNA(VLOOKUP(A43,'Données projet'!$A$217:$I$237,4,0)),0,VLOOKUP(A43,'Données projet'!$A$217:$I$237,4,0))</f>
        <v>42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0</v>
      </c>
      <c r="FR43" s="21">
        <f>EXP(-LN(2)/25)*FR42+(1-EXP(-LN(2)/25))/(LN(2)/25)*Calculateur!FM43*Calculateur!FO43*VLOOKUP('Données projet'!$B$16,Paramètres!$A$1:$I$89,3,0)*0.475*44/12</f>
        <v>3.8092889314063685</v>
      </c>
      <c r="FS43" s="21">
        <f>EXP(-LN(2)/2)*FS42+(1-EXP(-LN(2)/2))/(LN(2)/2)*FM43*FP43*VLOOKUP('Données projet'!$B$16,Paramètres!$A$1:$I$89,3,0)*0.475*44/12</f>
        <v>0.23054167959510147</v>
      </c>
      <c r="FT43" s="22">
        <f t="shared" si="24"/>
        <v>4.0398306110014701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8.3000000000000007</v>
      </c>
      <c r="N44" s="13">
        <f>IF('Données projet'!$A$36&gt;35,N43+M44-V43,IF(A44&lt;'Données projet'!$A$36,$K$205^A44,IF(A44='Données projet'!$A$36,'Données projet'!$B$36,N43+M44-V43)))</f>
        <v>124.29999999999995</v>
      </c>
      <c r="O44" s="13">
        <f>N44*VLOOKUP('Données projet'!$B$9,Paramètres!$A$1:$I$89,3,0)*VLOOKUP('Données projet'!$B$9,Paramètres!$A$1:$I$89,5,0)</f>
        <v>112.46663999999996</v>
      </c>
      <c r="P44" s="13">
        <f t="shared" si="33"/>
        <v>29.911391992758421</v>
      </c>
      <c r="Q44" s="20">
        <f t="shared" si="53"/>
        <v>247.97507238738748</v>
      </c>
      <c r="R44" s="59">
        <f t="shared" si="0"/>
        <v>541.30840572072077</v>
      </c>
      <c r="S44" s="59">
        <f ca="1">AVERAGE(OFFSET($R$3,0,0,'Données projet'!$E$9+1,1))-AVERAGE(OFFSET($H$3,0,0,'Données projet'!$E$9+1,1))</f>
        <v>237.22177246688199</v>
      </c>
      <c r="T44" s="59">
        <f t="shared" si="34"/>
        <v>149.27472147904302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2.2894945192556255</v>
      </c>
      <c r="AB44" s="21">
        <f>EXP(-LN(2)/2)*AB43+(1-EXP(-LN(2)/2))/(LN(2)/2)*V44*Y44*VLOOKUP('Données projet'!$B$9,Paramètres!$A$1:$I$89,3,0)*0.475*44/12</f>
        <v>0.13676655746839841</v>
      </c>
      <c r="AC44" s="22">
        <f t="shared" si="3"/>
        <v>2.4262610767240238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7.2</v>
      </c>
      <c r="AI44" s="13">
        <f>IF('Données projet'!$A$62&gt;35,AI43+AH44-AQ43,IF(A44&lt;'Données projet'!$A$62,$AF$205^A44,IF(A44='Données projet'!$A$62,'Données projet'!$B$62,AI43+AH44-AQ43)))</f>
        <v>149.19999999999985</v>
      </c>
      <c r="AJ44" s="13">
        <f>AI44*VLOOKUP('Données projet'!$B$10,Paramètres!$A$1:$I$89,3,0)*VLOOKUP('Données projet'!$B$10,Paramètres!$A$1:$I$89,5,0)</f>
        <v>130.34111999999988</v>
      </c>
      <c r="AK44" s="13">
        <f t="shared" si="35"/>
        <v>34.075170122989881</v>
      </c>
      <c r="AL44" s="20">
        <f t="shared" si="4"/>
        <v>286.35837196420709</v>
      </c>
      <c r="AM44" s="59">
        <f t="shared" si="5"/>
        <v>579.69170529754047</v>
      </c>
      <c r="AN44" s="59">
        <f ca="1">AVERAGE(OFFSET($AM$3,0,0,'Données projet'!$E$10+1,1))-AVERAGE(OFFSET($H$3,0,0,'Données projet'!$E$10+1,1))</f>
        <v>191.94797389630673</v>
      </c>
      <c r="AO44" s="59">
        <f t="shared" si="36"/>
        <v>273.52540822767878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2.0706679124360345</v>
      </c>
      <c r="AV44" s="21">
        <f>EXP(-LN(2)/25)*AV43+(1-EXP(-LN(2)/25))/(LN(2)/25)*Calculateur!AQ44*Calculateur!AS44*VLOOKUP('Données projet'!$B$10,Paramètres!$A$1:$I$89,3,0)*0.475*44/12</f>
        <v>10.355378325235632</v>
      </c>
      <c r="AW44" s="21">
        <f>EXP(-LN(2)/2)*AW43+(1-EXP(-LN(2)/2))/(LN(2)/2)*AQ44*AT44*VLOOKUP('Données projet'!$B$10,Paramètres!$A$1:$I$89,3,0)*0.475*44/12</f>
        <v>0.51272009796238582</v>
      </c>
      <c r="AX44" s="21">
        <f t="shared" si="6"/>
        <v>12.938766335634053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5.833333333333333</v>
      </c>
      <c r="BD44" s="12">
        <f>IF('Données projet'!$A$88&gt;35,BD43+BC44-BL43,IF(A44&lt;'Données projet'!$A$88,$BA$205^A44,IF(A44='Données projet'!$A$88,'Données projet'!$B$88,BD43+BC44-BL43)))</f>
        <v>143.83333333333329</v>
      </c>
      <c r="BE44" s="13">
        <f>BD44*VLOOKUP('Données projet'!$B$11,Paramètres!$A$1:$I$89,3,0)*VLOOKUP('Données projet'!$B$11,Paramètres!$A$1:$I$89,5,0)</f>
        <v>86.012333333333316</v>
      </c>
      <c r="BF44" s="13">
        <f t="shared" si="37"/>
        <v>23.600973937391252</v>
      </c>
      <c r="BG44" s="20">
        <f t="shared" si="7"/>
        <v>190.90984349651194</v>
      </c>
      <c r="BH44" s="59">
        <f t="shared" si="8"/>
        <v>484.24317682984525</v>
      </c>
      <c r="BI44" s="59">
        <f ca="1">AVERAGE(OFFSET($BH$3,0,0,'Données projet'!$E$11+1,1))-AVERAGE(OFFSET($H$3,0,0,'Données projet'!$E$11+1,1))</f>
        <v>72.647148358003676</v>
      </c>
      <c r="BJ44" s="59">
        <f t="shared" si="38"/>
        <v>87.231299224620898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1.023391456085273</v>
      </c>
      <c r="BQ44" s="21">
        <f>EXP(-LN(2)/25)*BQ43+(1-EXP(-LN(2)/25))/(LN(2)/25)*Calculateur!BL44*Calculateur!BN44*VLOOKUP('Données projet'!$B$11,Paramètres!$A$1:$I$89,3,0)*0.475*44/12</f>
        <v>3.3400512266152487</v>
      </c>
      <c r="BR44" s="21">
        <f>EXP(-LN(2)/2)*BR43+(1-EXP(-LN(2)/2))/(LN(2)/2)*BL44*BO44*VLOOKUP('Données projet'!$B$11,Paramètres!$A$1:$I$89,3,0)*0.475*44/12</f>
        <v>5.0401159718660382E-2</v>
      </c>
      <c r="BS44" s="22">
        <f t="shared" si="9"/>
        <v>4.4138438424191824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10.7</v>
      </c>
      <c r="BY44" s="12">
        <f>IF('Données projet'!$A$114&gt;35,BY43+BX44-CG43,IF(A44&lt;'Données projet'!$A$114,$BV$205^A44,IF(A44='Données projet'!$A$114,'Données projet'!$B$114,BY43+BX44-CG43)))</f>
        <v>187.69999999999996</v>
      </c>
      <c r="BZ44" s="13">
        <f>BY44*VLOOKUP('Données projet'!$B$12,Paramètres!$A$1:$I$89,3,0)*VLOOKUP('Données projet'!$B$12,Paramètres!$A$1:$I$89,5,0)</f>
        <v>112.24459999999998</v>
      </c>
      <c r="CA44" s="13">
        <f t="shared" si="39"/>
        <v>29.859206502823753</v>
      </c>
      <c r="CB44" s="20">
        <f t="shared" si="10"/>
        <v>247.49746299241795</v>
      </c>
      <c r="CC44" s="59">
        <f t="shared" si="11"/>
        <v>540.83079632575129</v>
      </c>
      <c r="CD44" s="59">
        <f ca="1">AVERAGE(OFFSET($CC$3,0,0,'Données projet'!$E$12+1,1))-AVERAGE(OFFSET($H$3,0,0,'Données projet'!$E$12+1,1))</f>
        <v>165.39579887388538</v>
      </c>
      <c r="CE44" s="59">
        <f t="shared" si="40"/>
        <v>155.89639262545802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5.3731548778924569</v>
      </c>
      <c r="CM44" s="21">
        <f>EXP(-LN(2)/2)*CM43+(1-EXP(-LN(2)/2))/(LN(2)/2)*CG44*CJ44*VLOOKUP('Données projet'!$B$12,Paramètres!$A$1:$I$89,3,0)*0.475*44/12</f>
        <v>0.30670835598739532</v>
      </c>
      <c r="CN44" s="22">
        <f t="shared" si="12"/>
        <v>5.6798632338798525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11.9</v>
      </c>
      <c r="CT44" s="12">
        <f>IF('Données projet'!$A$140&gt;35,CT43+CS44-DB43,IF(A44&lt;'Données projet'!$A$140,$CQ$205^A44,IF(A44='Données projet'!$A$140,'Données projet'!$B$140,CT43+CS44-DB43)))</f>
        <v>217.40000000000003</v>
      </c>
      <c r="CU44" s="17">
        <f>CT44*VLOOKUP('Données projet'!$B$13,Paramètres!$A$1:$I$89,3,0)*VLOOKUP('Données projet'!$B$13,Paramètres!$A$1:$I$89,5,0)</f>
        <v>169.57200000000003</v>
      </c>
      <c r="CV44" s="13">
        <f t="shared" si="41"/>
        <v>42.994151764076129</v>
      </c>
      <c r="CW44" s="20">
        <f t="shared" si="13"/>
        <v>370.21938098909931</v>
      </c>
      <c r="CX44" s="59">
        <f t="shared" si="14"/>
        <v>663.55271432243262</v>
      </c>
      <c r="CY44" s="59">
        <f ca="1">AVERAGE(OFFSET($CX$3,0,0,'Données projet'!$E$13+1,1))-AVERAGE(OFFSET($H$3,0,0,'Données projet'!$E$13+1,1))</f>
        <v>190.06335940156185</v>
      </c>
      <c r="CZ44" s="59">
        <f t="shared" si="42"/>
        <v>166.43663896839928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3.2923676955223988</v>
      </c>
      <c r="DH44" s="21">
        <f>EXP(-LN(2)/2)*DH43+(1-EXP(-LN(2)/2))/(LN(2)/2)*DB44*DE44*VLOOKUP('Données projet'!$B$13,Paramètres!$A$1:$I$89,3,0)*0.475*44/12</f>
        <v>0.11769789835968116</v>
      </c>
      <c r="DI44" s="22">
        <f t="shared" si="15"/>
        <v>3.4100655938820799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8.3000000000000007</v>
      </c>
      <c r="DO44" s="12">
        <f>IF('Données projet'!$A$166&gt;35,DO43+DN44-DW43,IF(A44&lt;'Données projet'!$A$166,$DL$205^A44,IF(A44='Données projet'!$A$166,'Données projet'!$B$166,DO43+DN44-DW43)))</f>
        <v>124.29999999999995</v>
      </c>
      <c r="DP44" s="17">
        <f>DO44*VLOOKUP('Données projet'!$B$14,Paramètres!$A$1:$I$89,3,0)*VLOOKUP('Données projet'!$B$14,Paramètres!$A$1:$I$89,5,0)</f>
        <v>120.22295999999996</v>
      </c>
      <c r="DQ44" s="13">
        <f t="shared" si="43"/>
        <v>31.726995433347049</v>
      </c>
      <c r="DR44" s="20">
        <f t="shared" si="16"/>
        <v>264.64617237974602</v>
      </c>
      <c r="DS44" s="59">
        <f t="shared" si="17"/>
        <v>557.97950571307933</v>
      </c>
      <c r="DT44" s="59">
        <f ca="1">AVERAGE(OFFSET($DS$3,0,0,'Données projet'!$E$14+1,1))-AVERAGE(OFFSET($H$3,0,0,'Données projet'!$E$14+1,1))</f>
        <v>261.22357949323879</v>
      </c>
      <c r="DU44" s="59">
        <f t="shared" si="44"/>
        <v>163.41029152029387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2.4473906929973928</v>
      </c>
      <c r="EC44" s="21">
        <f>EXP(-LN(2)/2)*EC43+(1-EXP(-LN(2)/2))/(LN(2)/2)*DW44*DZ44*VLOOKUP('Données projet'!$B$14,Paramètres!$A$1:$I$89,3,0)*0.475*44/12</f>
        <v>0.14619873384552931</v>
      </c>
      <c r="ED44" s="22">
        <f t="shared" si="18"/>
        <v>2.593589426842922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7.0000000000000027</v>
      </c>
      <c r="EJ44" s="12">
        <f>IF('Données projet'!$A$192&gt;35,EJ43+EI44-ER43,IF(A44&lt;'Données projet'!$A$192,$EG$205^A44,IF(A44='Données projet'!$A$192,'Données projet'!$B$192,EJ43+EI44-ER43)))</f>
        <v>178.39999999999998</v>
      </c>
      <c r="EK44" s="17">
        <f>EJ44*VLOOKUP('Données projet'!$B$15,Paramètres!$A$1:$I$89,3,0)*VLOOKUP('Données projet'!$B$15,Paramètres!$A$1:$I$89,5,0)</f>
        <v>83.491199999999992</v>
      </c>
      <c r="EL44" s="13">
        <f t="shared" si="45"/>
        <v>22.988667039592098</v>
      </c>
      <c r="EM44" s="20">
        <f t="shared" si="19"/>
        <v>185.45243509395621</v>
      </c>
      <c r="EN44" s="59">
        <f t="shared" si="20"/>
        <v>478.78576842728955</v>
      </c>
      <c r="EO44" s="59">
        <f ca="1">AVERAGE(OFFSET($EN$3,0,0,'Données projet'!$E$15+1,1))-AVERAGE(OFFSET($H$3,0,0,'Données projet'!$E$15+1,1))</f>
        <v>123.60520571614535</v>
      </c>
      <c r="EP44" s="59">
        <f t="shared" si="46"/>
        <v>119.00926870519527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0.6975272656483299</v>
      </c>
      <c r="EW44" s="21">
        <f>EXP(-LN(2)/25)*EW43+(1-EXP(-LN(2)/25))/(LN(2)/25)*Calculateur!ER44*Calculateur!ET44*VLOOKUP('Données projet'!$B$15,Paramètres!$A$1:$I$89,3,0)*0.475*44/12</f>
        <v>3.5211137887378783</v>
      </c>
      <c r="EX44" s="21">
        <f>EXP(-LN(2)/2)*EX43+(1-EXP(-LN(2)/2))/(LN(2)/2)*ER44*EU44*VLOOKUP('Données projet'!$B$15,Paramètres!$A$1:$I$89,3,0)*0.475*44/12</f>
        <v>0.13509519207674392</v>
      </c>
      <c r="EY44" s="22">
        <f t="shared" si="21"/>
        <v>4.3537362464629519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6</v>
      </c>
      <c r="FE44" s="12">
        <f>IF('Données projet'!$A$218&gt;35,FE43+FD44-FM43,IF(A44&lt;'Données projet'!$A$218,$FB$205^A44,IF(A44='Données projet'!$A$218,'Données projet'!$B$218,FE43+FD44-FM43)))</f>
        <v>137.99999999999997</v>
      </c>
      <c r="FF44" s="17">
        <f>FE44*VLOOKUP('Données projet'!$B$16,Paramètres!$A$1:$I$89,3,0)*VLOOKUP('Données projet'!$B$16,Paramètres!$A$1:$I$89,5,0)</f>
        <v>101.18159999999997</v>
      </c>
      <c r="FG44" s="13">
        <f t="shared" si="47"/>
        <v>27.243304715412336</v>
      </c>
      <c r="FH44" s="20">
        <f t="shared" si="22"/>
        <v>223.6733757126764</v>
      </c>
      <c r="FI44" s="59">
        <f t="shared" si="23"/>
        <v>517.00670904600975</v>
      </c>
      <c r="FJ44" s="59">
        <f ca="1">AVERAGE(OFFSET($FI$3,0,0,'Données projet'!$E$16+1,1))-AVERAGE(OFFSET($H$3,0,0,'Données projet'!$E$16+1,1))</f>
        <v>124.15919323713428</v>
      </c>
      <c r="FK44" s="59">
        <f t="shared" si="48"/>
        <v>157.85954678210715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0</v>
      </c>
      <c r="FR44" s="21">
        <f>EXP(-LN(2)/25)*FR43+(1-EXP(-LN(2)/25))/(LN(2)/25)*Calculateur!FM44*Calculateur!FO44*VLOOKUP('Données projet'!$B$16,Paramètres!$A$1:$I$89,3,0)*0.475*44/12</f>
        <v>3.7051237252552629</v>
      </c>
      <c r="FS44" s="21">
        <f>EXP(-LN(2)/2)*FS43+(1-EXP(-LN(2)/2))/(LN(2)/2)*FM44*FP44*VLOOKUP('Données projet'!$B$16,Paramètres!$A$1:$I$89,3,0)*0.475*44/12</f>
        <v>0.16301758498783256</v>
      </c>
      <c r="FT44" s="22">
        <f t="shared" si="24"/>
        <v>3.8681413102430953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8.3000000000000007</v>
      </c>
      <c r="N45" s="13">
        <f>IF('Données projet'!$A$36&gt;35,N44+M45-V44,IF(A45&lt;'Données projet'!$A$36,$K$205^A45,IF(A45='Données projet'!$A$36,'Données projet'!$B$36,N44+M45-V44)))</f>
        <v>132.59999999999997</v>
      </c>
      <c r="O45" s="13">
        <f>N45*VLOOKUP('Données projet'!$B$9,Paramètres!$A$1:$I$89,3,0)*VLOOKUP('Données projet'!$B$9,Paramètres!$A$1:$I$89,5,0)</f>
        <v>119.97647999999997</v>
      </c>
      <c r="P45" s="13">
        <f t="shared" si="33"/>
        <v>31.669513577784763</v>
      </c>
      <c r="Q45" s="20">
        <f t="shared" si="53"/>
        <v>264.11677214797504</v>
      </c>
      <c r="R45" s="59">
        <f t="shared" si="0"/>
        <v>557.45010548130836</v>
      </c>
      <c r="S45" s="59">
        <f ca="1">AVERAGE(OFFSET($R$3,0,0,'Données projet'!$E$9+1,1))-AVERAGE(OFFSET($H$3,0,0,'Données projet'!$E$9+1,1))</f>
        <v>237.22177246688199</v>
      </c>
      <c r="T45" s="59">
        <f t="shared" si="34"/>
        <v>149.27472147904302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2.2268881712272965</v>
      </c>
      <c r="AB45" s="21">
        <f>EXP(-LN(2)/2)*AB44+(1-EXP(-LN(2)/2))/(LN(2)/2)*V45*Y45*VLOOKUP('Données projet'!$B$9,Paramètres!$A$1:$I$89,3,0)*0.475*44/12</f>
        <v>9.6708560225444176E-2</v>
      </c>
      <c r="AC45" s="22">
        <f t="shared" si="3"/>
        <v>2.3235967314527408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7.2</v>
      </c>
      <c r="AI45" s="13">
        <f>IF('Données projet'!$A$62&gt;35,AI44+AH45-AQ44,IF(A45&lt;'Données projet'!$A$62,$AF$205^A45,IF(A45='Données projet'!$A$62,'Données projet'!$B$62,AI44+AH45-AQ44)))</f>
        <v>156.39999999999984</v>
      </c>
      <c r="AJ45" s="13">
        <f>AI45*VLOOKUP('Données projet'!$B$10,Paramètres!$A$1:$I$89,3,0)*VLOOKUP('Données projet'!$B$10,Paramètres!$A$1:$I$89,5,0)</f>
        <v>136.63103999999987</v>
      </c>
      <c r="AK45" s="13">
        <f t="shared" si="35"/>
        <v>35.524133363879926</v>
      </c>
      <c r="AL45" s="20">
        <f t="shared" si="4"/>
        <v>299.8369269420906</v>
      </c>
      <c r="AM45" s="59">
        <f t="shared" si="5"/>
        <v>593.17026027542397</v>
      </c>
      <c r="AN45" s="59">
        <f ca="1">AVERAGE(OFFSET($AM$3,0,0,'Données projet'!$E$10+1,1))-AVERAGE(OFFSET($H$3,0,0,'Données projet'!$E$10+1,1))</f>
        <v>191.94797389630673</v>
      </c>
      <c r="AO45" s="59">
        <f t="shared" si="36"/>
        <v>273.52540822767878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2.0300633776558814</v>
      </c>
      <c r="AV45" s="21">
        <f>EXP(-LN(2)/25)*AV44+(1-EXP(-LN(2)/25))/(LN(2)/25)*Calculateur!AQ45*Calculateur!AS45*VLOOKUP('Données projet'!$B$10,Paramètres!$A$1:$I$89,3,0)*0.475*44/12</f>
        <v>10.072209960366385</v>
      </c>
      <c r="AW45" s="21">
        <f>EXP(-LN(2)/2)*AW44+(1-EXP(-LN(2)/2))/(LN(2)/2)*AQ45*AT45*VLOOKUP('Données projet'!$B$10,Paramètres!$A$1:$I$89,3,0)*0.475*44/12</f>
        <v>0.36254785811983398</v>
      </c>
      <c r="AX45" s="21">
        <f t="shared" si="6"/>
        <v>12.4648211961421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5.833333333333333</v>
      </c>
      <c r="BD45" s="12">
        <f>IF('Données projet'!$A$88&gt;35,BD44+BC45-BL44,IF(A45&lt;'Données projet'!$A$88,$BA$205^A45,IF(A45='Données projet'!$A$88,'Données projet'!$B$88,BD44+BC45-BL44)))</f>
        <v>149.66666666666663</v>
      </c>
      <c r="BE45" s="13">
        <f>BD45*VLOOKUP('Données projet'!$B$11,Paramètres!$A$1:$I$89,3,0)*VLOOKUP('Données projet'!$B$11,Paramètres!$A$1:$I$89,5,0)</f>
        <v>89.500666666666646</v>
      </c>
      <c r="BF45" s="13">
        <f t="shared" si="37"/>
        <v>24.444758851104769</v>
      </c>
      <c r="BG45" s="20">
        <f t="shared" si="7"/>
        <v>198.45494944345185</v>
      </c>
      <c r="BH45" s="59">
        <f t="shared" si="8"/>
        <v>491.78828277678519</v>
      </c>
      <c r="BI45" s="59">
        <f ca="1">AVERAGE(OFFSET($BH$3,0,0,'Données projet'!$E$11+1,1))-AVERAGE(OFFSET($H$3,0,0,'Données projet'!$E$11+1,1))</f>
        <v>72.647148358003676</v>
      </c>
      <c r="BJ45" s="59">
        <f t="shared" si="38"/>
        <v>87.231299224620898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1.0033233738385938</v>
      </c>
      <c r="BQ45" s="21">
        <f>EXP(-LN(2)/25)*BQ44+(1-EXP(-LN(2)/25))/(LN(2)/25)*Calculateur!BL45*Calculateur!BN45*VLOOKUP('Données projet'!$B$11,Paramètres!$A$1:$I$89,3,0)*0.475*44/12</f>
        <v>3.2487173501777944</v>
      </c>
      <c r="BR45" s="21">
        <f>EXP(-LN(2)/2)*BR44+(1-EXP(-LN(2)/2))/(LN(2)/2)*BL45*BO45*VLOOKUP('Données projet'!$B$11,Paramètres!$A$1:$I$89,3,0)*0.475*44/12</f>
        <v>3.563900181673102E-2</v>
      </c>
      <c r="BS45" s="22">
        <f t="shared" si="9"/>
        <v>4.2876797258331196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10.7</v>
      </c>
      <c r="BY45" s="12">
        <f>IF('Données projet'!$A$114&gt;35,BY44+BX45-CG44,IF(A45&lt;'Données projet'!$A$114,$BV$205^A45,IF(A45='Données projet'!$A$114,'Données projet'!$B$114,BY44+BX45-CG44)))</f>
        <v>198.39999999999995</v>
      </c>
      <c r="BZ45" s="13">
        <f>BY45*VLOOKUP('Données projet'!$B$12,Paramètres!$A$1:$I$89,3,0)*VLOOKUP('Données projet'!$B$12,Paramètres!$A$1:$I$89,5,0)</f>
        <v>118.64319999999998</v>
      </c>
      <c r="CA45" s="13">
        <f t="shared" si="39"/>
        <v>31.35833885368346</v>
      </c>
      <c r="CB45" s="20">
        <f t="shared" si="10"/>
        <v>261.25268017016526</v>
      </c>
      <c r="CC45" s="59">
        <f t="shared" si="11"/>
        <v>554.58601350349863</v>
      </c>
      <c r="CD45" s="59">
        <f ca="1">AVERAGE(OFFSET($CC$3,0,0,'Données projet'!$E$12+1,1))-AVERAGE(OFFSET($H$3,0,0,'Données projet'!$E$12+1,1))</f>
        <v>165.39579887388538</v>
      </c>
      <c r="CE45" s="59">
        <f t="shared" si="40"/>
        <v>155.89639262545802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5.2262256751945531</v>
      </c>
      <c r="CM45" s="21">
        <f>EXP(-LN(2)/2)*CM44+(1-EXP(-LN(2)/2))/(LN(2)/2)*CG45*CJ45*VLOOKUP('Données projet'!$B$12,Paramètres!$A$1:$I$89,3,0)*0.475*44/12</f>
        <v>0.21687555836526487</v>
      </c>
      <c r="CN45" s="22">
        <f t="shared" si="12"/>
        <v>5.4431012335598181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11.9</v>
      </c>
      <c r="CT45" s="12">
        <f>IF('Données projet'!$A$140&gt;35,CT44+CS45-DB44,IF(A45&lt;'Données projet'!$A$140,$CQ$205^A45,IF(A45='Données projet'!$A$140,'Données projet'!$B$140,CT44+CS45-DB44)))</f>
        <v>229.30000000000004</v>
      </c>
      <c r="CU45" s="17">
        <f>CT45*VLOOKUP('Données projet'!$B$13,Paramètres!$A$1:$I$89,3,0)*VLOOKUP('Données projet'!$B$13,Paramètres!$A$1:$I$89,5,0)</f>
        <v>178.85400000000004</v>
      </c>
      <c r="CV45" s="13">
        <f t="shared" si="41"/>
        <v>45.067127581452645</v>
      </c>
      <c r="CW45" s="20">
        <f t="shared" si="13"/>
        <v>389.99596387103003</v>
      </c>
      <c r="CX45" s="59">
        <f t="shared" si="14"/>
        <v>683.32929720436334</v>
      </c>
      <c r="CY45" s="59">
        <f ca="1">AVERAGE(OFFSET($CX$3,0,0,'Données projet'!$E$13+1,1))-AVERAGE(OFFSET($H$3,0,0,'Données projet'!$E$13+1,1))</f>
        <v>190.06335940156185</v>
      </c>
      <c r="CZ45" s="59">
        <f t="shared" si="42"/>
        <v>166.43663896839928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3.2023377277502467</v>
      </c>
      <c r="DH45" s="21">
        <f>EXP(-LN(2)/2)*DH44+(1-EXP(-LN(2)/2))/(LN(2)/2)*DB45*DE45*VLOOKUP('Données projet'!$B$13,Paramètres!$A$1:$I$89,3,0)*0.475*44/12</f>
        <v>8.3224982061535585E-2</v>
      </c>
      <c r="DI45" s="22">
        <f t="shared" si="15"/>
        <v>3.2855627098117823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8.3000000000000007</v>
      </c>
      <c r="DO45" s="12">
        <f>IF('Données projet'!$A$166&gt;35,DO44+DN45-DW44,IF(A45&lt;'Données projet'!$A$166,$DL$205^A45,IF(A45='Données projet'!$A$166,'Données projet'!$B$166,DO44+DN45-DW44)))</f>
        <v>132.59999999999997</v>
      </c>
      <c r="DP45" s="17">
        <f>DO45*VLOOKUP('Données projet'!$B$14,Paramètres!$A$1:$I$89,3,0)*VLOOKUP('Données projet'!$B$14,Paramètres!$A$1:$I$89,5,0)</f>
        <v>128.25071999999997</v>
      </c>
      <c r="DQ45" s="13">
        <f t="shared" si="43"/>
        <v>33.591833937449593</v>
      </c>
      <c r="DR45" s="20">
        <f t="shared" si="16"/>
        <v>281.875781441058</v>
      </c>
      <c r="DS45" s="59">
        <f t="shared" si="17"/>
        <v>575.20911477439131</v>
      </c>
      <c r="DT45" s="59">
        <f ca="1">AVERAGE(OFFSET($DS$3,0,0,'Données projet'!$E$14+1,1))-AVERAGE(OFFSET($H$3,0,0,'Données projet'!$E$14+1,1))</f>
        <v>261.22357949323879</v>
      </c>
      <c r="DU45" s="59">
        <f t="shared" si="44"/>
        <v>163.41029152029387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2.380466665794696</v>
      </c>
      <c r="EC45" s="21">
        <f>EXP(-LN(2)/2)*EC44+(1-EXP(-LN(2)/2))/(LN(2)/2)*DW45*DZ45*VLOOKUP('Données projet'!$B$14,Paramètres!$A$1:$I$89,3,0)*0.475*44/12</f>
        <v>0.103378116103061</v>
      </c>
      <c r="ED45" s="22">
        <f t="shared" si="18"/>
        <v>2.4838447818977571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7.0000000000000027</v>
      </c>
      <c r="EJ45" s="12">
        <f>IF('Données projet'!$A$192&gt;35,EJ44+EI45-ER44,IF(A45&lt;'Données projet'!$A$192,$EG$205^A45,IF(A45='Données projet'!$A$192,'Données projet'!$B$192,EJ44+EI45-ER44)))</f>
        <v>185.39999999999998</v>
      </c>
      <c r="EK45" s="17">
        <f>EJ45*VLOOKUP('Données projet'!$B$15,Paramètres!$A$1:$I$89,3,0)*VLOOKUP('Données projet'!$B$15,Paramètres!$A$1:$I$89,5,0)</f>
        <v>86.767199999999988</v>
      </c>
      <c r="EL45" s="13">
        <f t="shared" si="45"/>
        <v>23.783899326718451</v>
      </c>
      <c r="EM45" s="20">
        <f t="shared" si="19"/>
        <v>192.54316466070131</v>
      </c>
      <c r="EN45" s="59">
        <f t="shared" si="20"/>
        <v>485.87649799403459</v>
      </c>
      <c r="EO45" s="59">
        <f ca="1">AVERAGE(OFFSET($EN$3,0,0,'Données projet'!$E$15+1,1))-AVERAGE(OFFSET($H$3,0,0,'Données projet'!$E$15+1,1))</f>
        <v>123.60520571614535</v>
      </c>
      <c r="EP45" s="59">
        <f t="shared" si="46"/>
        <v>119.00926870519527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0.68384918141858853</v>
      </c>
      <c r="EW45" s="21">
        <f>EXP(-LN(2)/25)*EW44+(1-EXP(-LN(2)/25))/(LN(2)/25)*Calculateur!ER45*Calculateur!ET45*VLOOKUP('Données projet'!$B$15,Paramètres!$A$1:$I$89,3,0)*0.475*44/12</f>
        <v>3.4248287470175143</v>
      </c>
      <c r="EX45" s="21">
        <f>EXP(-LN(2)/2)*EX44+(1-EXP(-LN(2)/2))/(LN(2)/2)*ER45*EU45*VLOOKUP('Données projet'!$B$15,Paramètres!$A$1:$I$89,3,0)*0.475*44/12</f>
        <v>9.5526726423164773E-2</v>
      </c>
      <c r="EY45" s="22">
        <f t="shared" si="21"/>
        <v>4.204204654859268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6</v>
      </c>
      <c r="FE45" s="12">
        <f>IF('Données projet'!$A$218&gt;35,FE44+FD45-FM44,IF(A45&lt;'Données projet'!$A$218,$FB$205^A45,IF(A45='Données projet'!$A$218,'Données projet'!$B$218,FE44+FD45-FM44)))</f>
        <v>143.99999999999997</v>
      </c>
      <c r="FF45" s="17">
        <f>FE45*VLOOKUP('Données projet'!$B$16,Paramètres!$A$1:$I$89,3,0)*VLOOKUP('Données projet'!$B$16,Paramètres!$A$1:$I$89,5,0)</f>
        <v>105.58079999999997</v>
      </c>
      <c r="FG45" s="13">
        <f t="shared" si="47"/>
        <v>28.287314908258288</v>
      </c>
      <c r="FH45" s="20">
        <f t="shared" si="22"/>
        <v>233.15363346521647</v>
      </c>
      <c r="FI45" s="59">
        <f t="shared" si="23"/>
        <v>526.48696679854982</v>
      </c>
      <c r="FJ45" s="59">
        <f ca="1">AVERAGE(OFFSET($FI$3,0,0,'Données projet'!$E$16+1,1))-AVERAGE(OFFSET($H$3,0,0,'Données projet'!$E$16+1,1))</f>
        <v>124.15919323713428</v>
      </c>
      <c r="FK45" s="59">
        <f t="shared" si="48"/>
        <v>157.85954678210715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0</v>
      </c>
      <c r="FR45" s="21">
        <f>EXP(-LN(2)/25)*FR44+(1-EXP(-LN(2)/25))/(LN(2)/25)*Calculateur!FM45*Calculateur!FO45*VLOOKUP('Données projet'!$B$16,Paramètres!$A$1:$I$89,3,0)*0.475*44/12</f>
        <v>3.6038069221441691</v>
      </c>
      <c r="FS45" s="21">
        <f>EXP(-LN(2)/2)*FS44+(1-EXP(-LN(2)/2))/(LN(2)/2)*FM45*FP45*VLOOKUP('Données projet'!$B$16,Paramètres!$A$1:$I$89,3,0)*0.475*44/12</f>
        <v>0.11527083979755073</v>
      </c>
      <c r="FT45" s="22">
        <f t="shared" si="24"/>
        <v>3.7190777619417199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8.3000000000000007</v>
      </c>
      <c r="N46" s="13">
        <f>IF('Données projet'!$A$36&gt;35,N45+M46-V45,IF(A46&lt;'Données projet'!$A$36,$K$205^A46,IF(A46='Données projet'!$A$36,'Données projet'!$B$36,N45+M46-V45)))</f>
        <v>140.89999999999998</v>
      </c>
      <c r="O46" s="13">
        <f>N46*VLOOKUP('Données projet'!$B$9,Paramètres!$A$1:$I$89,3,0)*VLOOKUP('Données projet'!$B$9,Paramètres!$A$1:$I$89,5,0)</f>
        <v>127.48631999999998</v>
      </c>
      <c r="P46" s="13">
        <f t="shared" si="33"/>
        <v>33.414863287066048</v>
      </c>
      <c r="Q46" s="20">
        <f t="shared" si="53"/>
        <v>280.23622755830667</v>
      </c>
      <c r="R46" s="59">
        <f t="shared" si="0"/>
        <v>573.56956089163998</v>
      </c>
      <c r="S46" s="59">
        <f ca="1">AVERAGE(OFFSET($R$3,0,0,'Données projet'!$E$9+1,1))-AVERAGE(OFFSET($H$3,0,0,'Données projet'!$E$9+1,1))</f>
        <v>237.22177246688199</v>
      </c>
      <c r="T46" s="59">
        <f t="shared" si="34"/>
        <v>149.27472147904302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2.1659937970781269</v>
      </c>
      <c r="AB46" s="21">
        <f>EXP(-LN(2)/2)*AB45+(1-EXP(-LN(2)/2))/(LN(2)/2)*V46*Y46*VLOOKUP('Données projet'!$B$9,Paramètres!$A$1:$I$89,3,0)*0.475*44/12</f>
        <v>6.8383278734199207E-2</v>
      </c>
      <c r="AC46" s="22">
        <f t="shared" si="3"/>
        <v>2.234377075812326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7.2</v>
      </c>
      <c r="AI46" s="13">
        <f>IF('Données projet'!$A$62&gt;35,AI45+AH46-AQ45,IF(A46&lt;'Données projet'!$A$62,$AF$205^A46,IF(A46='Données projet'!$A$62,'Données projet'!$B$62,AI45+AH46-AQ45)))</f>
        <v>163.59999999999982</v>
      </c>
      <c r="AJ46" s="13">
        <f>AI46*VLOOKUP('Données projet'!$B$10,Paramètres!$A$1:$I$89,3,0)*VLOOKUP('Données projet'!$B$10,Paramètres!$A$1:$I$89,5,0)</f>
        <v>142.92095999999987</v>
      </c>
      <c r="AK46" s="13">
        <f t="shared" si="35"/>
        <v>36.965350113713619</v>
      </c>
      <c r="AL46" s="20">
        <f t="shared" si="4"/>
        <v>313.30199011471763</v>
      </c>
      <c r="AM46" s="59">
        <f t="shared" si="5"/>
        <v>606.63532344805094</v>
      </c>
      <c r="AN46" s="59">
        <f ca="1">AVERAGE(OFFSET($AM$3,0,0,'Données projet'!$E$10+1,1))-AVERAGE(OFFSET($H$3,0,0,'Données projet'!$E$10+1,1))</f>
        <v>191.94797389630673</v>
      </c>
      <c r="AO46" s="59">
        <f t="shared" si="36"/>
        <v>273.52540822767878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1.9902550730364463</v>
      </c>
      <c r="AV46" s="21">
        <f>EXP(-LN(2)/25)*AV45+(1-EXP(-LN(2)/25))/(LN(2)/25)*Calculateur!AQ46*Calculateur!AS46*VLOOKUP('Données projet'!$B$10,Paramètres!$A$1:$I$89,3,0)*0.475*44/12</f>
        <v>9.7967848493256646</v>
      </c>
      <c r="AW46" s="21">
        <f>EXP(-LN(2)/2)*AW45+(1-EXP(-LN(2)/2))/(LN(2)/2)*AQ46*AT46*VLOOKUP('Données projet'!$B$10,Paramètres!$A$1:$I$89,3,0)*0.475*44/12</f>
        <v>0.25636004898119291</v>
      </c>
      <c r="AX46" s="21">
        <f t="shared" si="6"/>
        <v>12.043399971343304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5.833333333333333</v>
      </c>
      <c r="BD46" s="12">
        <f>IF('Données projet'!$A$88&gt;35,BD45+BC46-BL45,IF(A46&lt;'Données projet'!$A$88,$BA$205^A46,IF(A46='Données projet'!$A$88,'Données projet'!$B$88,BD45+BC46-BL45)))</f>
        <v>155.49999999999997</v>
      </c>
      <c r="BE46" s="13">
        <f>BD46*VLOOKUP('Données projet'!$B$11,Paramètres!$A$1:$I$89,3,0)*VLOOKUP('Données projet'!$B$11,Paramètres!$A$1:$I$89,5,0)</f>
        <v>92.98899999999999</v>
      </c>
      <c r="BF46" s="13">
        <f t="shared" si="37"/>
        <v>25.284723373727243</v>
      </c>
      <c r="BG46" s="20">
        <f t="shared" si="7"/>
        <v>205.99340154257493</v>
      </c>
      <c r="BH46" s="59">
        <f t="shared" si="8"/>
        <v>499.32673487590824</v>
      </c>
      <c r="BI46" s="59">
        <f ca="1">AVERAGE(OFFSET($BH$3,0,0,'Données projet'!$E$11+1,1))-AVERAGE(OFFSET($H$3,0,0,'Données projet'!$E$11+1,1))</f>
        <v>72.647148358003676</v>
      </c>
      <c r="BJ46" s="59">
        <f t="shared" si="38"/>
        <v>87.231299224620898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0.98364881444445029</v>
      </c>
      <c r="BQ46" s="21">
        <f>EXP(-LN(2)/25)*BQ45+(1-EXP(-LN(2)/25))/(LN(2)/25)*Calculateur!BL46*Calculateur!BN46*VLOOKUP('Données projet'!$B$11,Paramètres!$A$1:$I$89,3,0)*0.475*44/12</f>
        <v>3.1598810033945623</v>
      </c>
      <c r="BR46" s="21">
        <f>EXP(-LN(2)/2)*BR45+(1-EXP(-LN(2)/2))/(LN(2)/2)*BL46*BO46*VLOOKUP('Données projet'!$B$11,Paramètres!$A$1:$I$89,3,0)*0.475*44/12</f>
        <v>2.5200579859330191E-2</v>
      </c>
      <c r="BS46" s="22">
        <f t="shared" si="9"/>
        <v>4.1687303976983427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10.7</v>
      </c>
      <c r="BY46" s="12">
        <f>IF('Données projet'!$A$114&gt;35,BY45+BX46-CG45,IF(A46&lt;'Données projet'!$A$114,$BV$205^A46,IF(A46='Données projet'!$A$114,'Données projet'!$B$114,BY45+BX46-CG45)))</f>
        <v>209.09999999999994</v>
      </c>
      <c r="BZ46" s="13">
        <f>BY46*VLOOKUP('Données projet'!$B$12,Paramètres!$A$1:$I$89,3,0)*VLOOKUP('Données projet'!$B$12,Paramètres!$A$1:$I$89,5,0)</f>
        <v>125.04179999999998</v>
      </c>
      <c r="CA46" s="13">
        <f t="shared" si="39"/>
        <v>32.84808489416227</v>
      </c>
      <c r="CB46" s="20">
        <f t="shared" si="10"/>
        <v>274.99154952399925</v>
      </c>
      <c r="CC46" s="59">
        <f t="shared" si="11"/>
        <v>568.32488285733257</v>
      </c>
      <c r="CD46" s="59">
        <f ca="1">AVERAGE(OFFSET($CC$3,0,0,'Données projet'!$E$12+1,1))-AVERAGE(OFFSET($H$3,0,0,'Données projet'!$E$12+1,1))</f>
        <v>165.39579887388538</v>
      </c>
      <c r="CE46" s="59">
        <f t="shared" si="40"/>
        <v>155.89639262545802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5.083314259271094</v>
      </c>
      <c r="CM46" s="21">
        <f>EXP(-LN(2)/2)*CM45+(1-EXP(-LN(2)/2))/(LN(2)/2)*CG46*CJ46*VLOOKUP('Données projet'!$B$12,Paramètres!$A$1:$I$89,3,0)*0.475*44/12</f>
        <v>0.15335417799369766</v>
      </c>
      <c r="CN46" s="22">
        <f t="shared" si="12"/>
        <v>5.2366684372647914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11.9</v>
      </c>
      <c r="CT46" s="12">
        <f>IF('Données projet'!$A$140&gt;35,CT45+CS46-DB45,IF(A46&lt;'Données projet'!$A$140,$CQ$205^A46,IF(A46='Données projet'!$A$140,'Données projet'!$B$140,CT45+CS46-DB45)))</f>
        <v>241.20000000000005</v>
      </c>
      <c r="CU46" s="17">
        <f>CT46*VLOOKUP('Données projet'!$B$13,Paramètres!$A$1:$I$89,3,0)*VLOOKUP('Données projet'!$B$13,Paramètres!$A$1:$I$89,5,0)</f>
        <v>188.13600000000005</v>
      </c>
      <c r="CV46" s="13">
        <f t="shared" si="41"/>
        <v>47.127612753105332</v>
      </c>
      <c r="CW46" s="20">
        <f t="shared" si="13"/>
        <v>409.75079221165856</v>
      </c>
      <c r="CX46" s="59">
        <f t="shared" si="14"/>
        <v>703.08412554499182</v>
      </c>
      <c r="CY46" s="59">
        <f ca="1">AVERAGE(OFFSET($CX$3,0,0,'Données projet'!$E$13+1,1))-AVERAGE(OFFSET($H$3,0,0,'Données projet'!$E$13+1,1))</f>
        <v>190.06335940156185</v>
      </c>
      <c r="CZ46" s="59">
        <f t="shared" si="42"/>
        <v>166.43663896839928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3.114769634181294</v>
      </c>
      <c r="DH46" s="21">
        <f>EXP(-LN(2)/2)*DH45+(1-EXP(-LN(2)/2))/(LN(2)/2)*DB46*DE46*VLOOKUP('Données projet'!$B$13,Paramètres!$A$1:$I$89,3,0)*0.475*44/12</f>
        <v>5.8848949179840591E-2</v>
      </c>
      <c r="DI46" s="22">
        <f t="shared" si="15"/>
        <v>3.1736185833611348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8.3000000000000007</v>
      </c>
      <c r="DO46" s="12">
        <f>IF('Données projet'!$A$166&gt;35,DO45+DN46-DW45,IF(A46&lt;'Données projet'!$A$166,$DL$205^A46,IF(A46='Données projet'!$A$166,'Données projet'!$B$166,DO45+DN46-DW45)))</f>
        <v>140.89999999999998</v>
      </c>
      <c r="DP46" s="17">
        <f>DO46*VLOOKUP('Données projet'!$B$14,Paramètres!$A$1:$I$89,3,0)*VLOOKUP('Données projet'!$B$14,Paramètres!$A$1:$I$89,5,0)</f>
        <v>136.27848</v>
      </c>
      <c r="DQ46" s="13">
        <f t="shared" si="43"/>
        <v>35.443125320657884</v>
      </c>
      <c r="DR46" s="20">
        <f t="shared" si="16"/>
        <v>299.08179593347916</v>
      </c>
      <c r="DS46" s="59">
        <f t="shared" si="17"/>
        <v>592.41512926681253</v>
      </c>
      <c r="DT46" s="59">
        <f ca="1">AVERAGE(OFFSET($DS$3,0,0,'Données projet'!$E$14+1,1))-AVERAGE(OFFSET($H$3,0,0,'Données projet'!$E$14+1,1))</f>
        <v>261.22357949323879</v>
      </c>
      <c r="DU46" s="59">
        <f t="shared" si="44"/>
        <v>163.41029152029387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2.3153726796352387</v>
      </c>
      <c r="EC46" s="21">
        <f>EXP(-LN(2)/2)*EC45+(1-EXP(-LN(2)/2))/(LN(2)/2)*DW46*DZ46*VLOOKUP('Données projet'!$B$14,Paramètres!$A$1:$I$89,3,0)*0.475*44/12</f>
        <v>7.3099366922764655E-2</v>
      </c>
      <c r="ED46" s="22">
        <f t="shared" si="18"/>
        <v>2.3884720465580034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7.0000000000000027</v>
      </c>
      <c r="EJ46" s="12">
        <f>IF('Données projet'!$A$192&gt;35,EJ45+EI46-ER45,IF(A46&lt;'Données projet'!$A$192,$EG$205^A46,IF(A46='Données projet'!$A$192,'Données projet'!$B$192,EJ45+EI46-ER45)))</f>
        <v>192.39999999999998</v>
      </c>
      <c r="EK46" s="17">
        <f>EJ46*VLOOKUP('Données projet'!$B$15,Paramètres!$A$1:$I$89,3,0)*VLOOKUP('Données projet'!$B$15,Paramètres!$A$1:$I$89,5,0)</f>
        <v>90.043199999999999</v>
      </c>
      <c r="EL46" s="13">
        <f t="shared" si="45"/>
        <v>24.575643502648031</v>
      </c>
      <c r="EM46" s="20">
        <f t="shared" si="19"/>
        <v>199.62781910044532</v>
      </c>
      <c r="EN46" s="59">
        <f t="shared" si="20"/>
        <v>492.96115243377864</v>
      </c>
      <c r="EO46" s="59">
        <f ca="1">AVERAGE(OFFSET($EN$3,0,0,'Données projet'!$E$15+1,1))-AVERAGE(OFFSET($H$3,0,0,'Données projet'!$E$15+1,1))</f>
        <v>123.60520571614535</v>
      </c>
      <c r="EP46" s="59">
        <f t="shared" si="46"/>
        <v>119.00926870519527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0.67043931607778484</v>
      </c>
      <c r="EW46" s="21">
        <f>EXP(-LN(2)/25)*EW45+(1-EXP(-LN(2)/25))/(LN(2)/25)*Calculateur!ER46*Calculateur!ET46*VLOOKUP('Données projet'!$B$15,Paramètres!$A$1:$I$89,3,0)*0.475*44/12</f>
        <v>3.3311766248264041</v>
      </c>
      <c r="EX46" s="21">
        <f>EXP(-LN(2)/2)*EX45+(1-EXP(-LN(2)/2))/(LN(2)/2)*ER46*EU46*VLOOKUP('Données projet'!$B$15,Paramètres!$A$1:$I$89,3,0)*0.475*44/12</f>
        <v>6.754759603837196E-2</v>
      </c>
      <c r="EY46" s="22">
        <f t="shared" si="21"/>
        <v>4.0691635369425612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6</v>
      </c>
      <c r="FE46" s="12">
        <f>IF('Données projet'!$A$218&gt;35,FE45+FD46-FM45,IF(A46&lt;'Données projet'!$A$218,$FB$205^A46,IF(A46='Données projet'!$A$218,'Données projet'!$B$218,FE45+FD46-FM45)))</f>
        <v>149.99999999999997</v>
      </c>
      <c r="FF46" s="17">
        <f>FE46*VLOOKUP('Données projet'!$B$16,Paramètres!$A$1:$I$89,3,0)*VLOOKUP('Données projet'!$B$16,Paramètres!$A$1:$I$89,5,0)</f>
        <v>109.97999999999998</v>
      </c>
      <c r="FG46" s="13">
        <f t="shared" si="47"/>
        <v>29.326272366698234</v>
      </c>
      <c r="FH46" s="20">
        <f t="shared" si="22"/>
        <v>242.62509103866606</v>
      </c>
      <c r="FI46" s="59">
        <f t="shared" si="23"/>
        <v>535.9584243719994</v>
      </c>
      <c r="FJ46" s="59">
        <f ca="1">AVERAGE(OFFSET($FI$3,0,0,'Données projet'!$E$16+1,1))-AVERAGE(OFFSET($H$3,0,0,'Données projet'!$E$16+1,1))</f>
        <v>124.15919323713428</v>
      </c>
      <c r="FK46" s="59">
        <f t="shared" si="48"/>
        <v>157.85954678210715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0</v>
      </c>
      <c r="FR46" s="21">
        <f>EXP(-LN(2)/25)*FR45+(1-EXP(-LN(2)/25))/(LN(2)/25)*Calculateur!FM46*Calculateur!FO46*VLOOKUP('Données projet'!$B$16,Paramètres!$A$1:$I$89,3,0)*0.475*44/12</f>
        <v>3.5052606323421673</v>
      </c>
      <c r="FS46" s="21">
        <f>EXP(-LN(2)/2)*FS45+(1-EXP(-LN(2)/2))/(LN(2)/2)*FM46*FP46*VLOOKUP('Données projet'!$B$16,Paramètres!$A$1:$I$89,3,0)*0.475*44/12</f>
        <v>8.1508792493916279E-2</v>
      </c>
      <c r="FT46" s="22">
        <f t="shared" si="24"/>
        <v>3.5867694248360835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8.3000000000000007</v>
      </c>
      <c r="N47" s="13">
        <f>IF('Données projet'!$A$36&gt;35,N46+M47-V46,IF(A47&lt;'Données projet'!$A$36,$K$205^A47,IF(A47='Données projet'!$A$36,'Données projet'!$B$36,N46+M47-V46)))</f>
        <v>149.19999999999999</v>
      </c>
      <c r="O47" s="13">
        <f>N47*VLOOKUP('Données projet'!$B$9,Paramètres!$A$1:$I$89,3,0)*VLOOKUP('Données projet'!$B$9,Paramètres!$A$1:$I$89,5,0)</f>
        <v>134.99615999999997</v>
      </c>
      <c r="P47" s="13">
        <f t="shared" si="33"/>
        <v>35.148279172043118</v>
      </c>
      <c r="Q47" s="20">
        <f t="shared" si="53"/>
        <v>296.33489822464168</v>
      </c>
      <c r="R47" s="59">
        <f t="shared" si="0"/>
        <v>589.66823155797499</v>
      </c>
      <c r="S47" s="59">
        <f ca="1">AVERAGE(OFFSET($R$3,0,0,'Données projet'!$E$9+1,1))-AVERAGE(OFFSET($H$3,0,0,'Données projet'!$E$9+1,1))</f>
        <v>237.22177246688199</v>
      </c>
      <c r="T47" s="59">
        <f t="shared" si="34"/>
        <v>149.27472147904302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2.106764582792362</v>
      </c>
      <c r="AB47" s="21">
        <f>EXP(-LN(2)/2)*AB46+(1-EXP(-LN(2)/2))/(LN(2)/2)*V47*Y47*VLOOKUP('Données projet'!$B$9,Paramètres!$A$1:$I$89,3,0)*0.475*44/12</f>
        <v>4.8354280112722088E-2</v>
      </c>
      <c r="AC47" s="22">
        <f t="shared" si="3"/>
        <v>2.1551188629050841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7.2</v>
      </c>
      <c r="AI47" s="13">
        <f>IF('Données projet'!$A$62&gt;35,AI46+AH47-AQ46,IF(A47&lt;'Données projet'!$A$62,$AF$205^A47,IF(A47='Données projet'!$A$62,'Données projet'!$B$62,AI46+AH47-AQ46)))</f>
        <v>170.79999999999981</v>
      </c>
      <c r="AJ47" s="13">
        <f>AI47*VLOOKUP('Données projet'!$B$10,Paramètres!$A$1:$I$89,3,0)*VLOOKUP('Données projet'!$B$10,Paramètres!$A$1:$I$89,5,0)</f>
        <v>149.21087999999986</v>
      </c>
      <c r="AK47" s="13">
        <f t="shared" si="35"/>
        <v>38.399200254302187</v>
      </c>
      <c r="AL47" s="20">
        <f t="shared" si="4"/>
        <v>326.754223109576</v>
      </c>
      <c r="AM47" s="59">
        <f t="shared" si="5"/>
        <v>620.08755644290932</v>
      </c>
      <c r="AN47" s="59">
        <f ca="1">AVERAGE(OFFSET($AM$3,0,0,'Données projet'!$E$10+1,1))-AVERAGE(OFFSET($H$3,0,0,'Données projet'!$E$10+1,1))</f>
        <v>191.94797389630673</v>
      </c>
      <c r="AO47" s="59">
        <f t="shared" si="36"/>
        <v>273.52540822767878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1.95122738498993</v>
      </c>
      <c r="AV47" s="21">
        <f>EXP(-LN(2)/25)*AV46+(1-EXP(-LN(2)/25))/(LN(2)/25)*Calculateur!AQ47*Calculateur!AS47*VLOOKUP('Données projet'!$B$10,Paramètres!$A$1:$I$89,3,0)*0.475*44/12</f>
        <v>9.5288912524303306</v>
      </c>
      <c r="AW47" s="21">
        <f>EXP(-LN(2)/2)*AW46+(1-EXP(-LN(2)/2))/(LN(2)/2)*AQ47*AT47*VLOOKUP('Données projet'!$B$10,Paramètres!$A$1:$I$89,3,0)*0.475*44/12</f>
        <v>0.18127392905991699</v>
      </c>
      <c r="AX47" s="21">
        <f t="shared" si="6"/>
        <v>11.661392566480178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5.833333333333333</v>
      </c>
      <c r="BD47" s="12">
        <f>IF('Données projet'!$A$88&gt;35,BD46+BC47-BL46,IF(A47&lt;'Données projet'!$A$88,$BA$205^A47,IF(A47='Données projet'!$A$88,'Données projet'!$B$88,BD46+BC47-BL46)))</f>
        <v>161.33333333333331</v>
      </c>
      <c r="BE47" s="13">
        <f>BD47*VLOOKUP('Données projet'!$B$11,Paramètres!$A$1:$I$89,3,0)*VLOOKUP('Données projet'!$B$11,Paramètres!$A$1:$I$89,5,0)</f>
        <v>96.47733333333332</v>
      </c>
      <c r="BF47" s="13">
        <f t="shared" si="37"/>
        <v>26.121027230510151</v>
      </c>
      <c r="BG47" s="20">
        <f t="shared" si="7"/>
        <v>213.52547798202738</v>
      </c>
      <c r="BH47" s="59">
        <f t="shared" si="8"/>
        <v>506.8588113153607</v>
      </c>
      <c r="BI47" s="59">
        <f ca="1">AVERAGE(OFFSET($BH$3,0,0,'Données projet'!$E$11+1,1))-AVERAGE(OFFSET($H$3,0,0,'Données projet'!$E$11+1,1))</f>
        <v>72.647148358003676</v>
      </c>
      <c r="BJ47" s="59">
        <f t="shared" si="38"/>
        <v>87.231299224620898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0.96436006115972961</v>
      </c>
      <c r="BQ47" s="21">
        <f>EXP(-LN(2)/25)*BQ46+(1-EXP(-LN(2)/25))/(LN(2)/25)*Calculateur!BL47*Calculateur!BN47*VLOOKUP('Données projet'!$B$11,Paramètres!$A$1:$I$89,3,0)*0.475*44/12</f>
        <v>3.0734738911858179</v>
      </c>
      <c r="BR47" s="21">
        <f>EXP(-LN(2)/2)*BR46+(1-EXP(-LN(2)/2))/(LN(2)/2)*BL47*BO47*VLOOKUP('Données projet'!$B$11,Paramètres!$A$1:$I$89,3,0)*0.475*44/12</f>
        <v>1.781950090836551E-2</v>
      </c>
      <c r="BS47" s="22">
        <f t="shared" si="9"/>
        <v>4.055653453253913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10.7</v>
      </c>
      <c r="BY47" s="12">
        <f>IF('Données projet'!$A$114&gt;35,BY46+BX47-CG46,IF(A47&lt;'Données projet'!$A$114,$BV$205^A47,IF(A47='Données projet'!$A$114,'Données projet'!$B$114,BY46+BX47-CG46)))</f>
        <v>219.79999999999993</v>
      </c>
      <c r="BZ47" s="13">
        <f>BY47*VLOOKUP('Données projet'!$B$12,Paramètres!$A$1:$I$89,3,0)*VLOOKUP('Données projet'!$B$12,Paramètres!$A$1:$I$89,5,0)</f>
        <v>131.44039999999998</v>
      </c>
      <c r="CA47" s="13">
        <f t="shared" si="39"/>
        <v>34.328979730885372</v>
      </c>
      <c r="CB47" s="20">
        <f t="shared" si="10"/>
        <v>288.71500303129199</v>
      </c>
      <c r="CC47" s="59">
        <f t="shared" si="11"/>
        <v>582.04833636462536</v>
      </c>
      <c r="CD47" s="59">
        <f ca="1">AVERAGE(OFFSET($CC$3,0,0,'Données projet'!$E$12+1,1))-AVERAGE(OFFSET($H$3,0,0,'Données projet'!$E$12+1,1))</f>
        <v>165.39579887388538</v>
      </c>
      <c r="CE47" s="59">
        <f t="shared" si="40"/>
        <v>155.89639262545802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4.9443107635314467</v>
      </c>
      <c r="CM47" s="21">
        <f>EXP(-LN(2)/2)*CM46+(1-EXP(-LN(2)/2))/(LN(2)/2)*CG47*CJ47*VLOOKUP('Données projet'!$B$12,Paramètres!$A$1:$I$89,3,0)*0.475*44/12</f>
        <v>0.10843777918263243</v>
      </c>
      <c r="CN47" s="22">
        <f t="shared" si="12"/>
        <v>5.0527485427140792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11.9</v>
      </c>
      <c r="CT47" s="12">
        <f>IF('Données projet'!$A$140&gt;35,CT46+CS47-DB46,IF(A47&lt;'Données projet'!$A$140,$CQ$205^A47,IF(A47='Données projet'!$A$140,'Données projet'!$B$140,CT46+CS47-DB46)))</f>
        <v>253.10000000000005</v>
      </c>
      <c r="CU47" s="17">
        <f>CT47*VLOOKUP('Données projet'!$B$13,Paramètres!$A$1:$I$89,3,0)*VLOOKUP('Données projet'!$B$13,Paramètres!$A$1:$I$89,5,0)</f>
        <v>197.41800000000003</v>
      </c>
      <c r="CV47" s="13">
        <f t="shared" si="41"/>
        <v>49.176293855374077</v>
      </c>
      <c r="CW47" s="20">
        <f t="shared" si="13"/>
        <v>429.48506179810988</v>
      </c>
      <c r="CX47" s="59">
        <f t="shared" si="14"/>
        <v>722.81839513144314</v>
      </c>
      <c r="CY47" s="59">
        <f ca="1">AVERAGE(OFFSET($CX$3,0,0,'Données projet'!$E$13+1,1))-AVERAGE(OFFSET($H$3,0,0,'Données projet'!$E$13+1,1))</f>
        <v>190.06335940156185</v>
      </c>
      <c r="CZ47" s="59">
        <f t="shared" si="42"/>
        <v>166.43663896839928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3.0295960947359903</v>
      </c>
      <c r="DH47" s="21">
        <f>EXP(-LN(2)/2)*DH46+(1-EXP(-LN(2)/2))/(LN(2)/2)*DB47*DE47*VLOOKUP('Données projet'!$B$13,Paramètres!$A$1:$I$89,3,0)*0.475*44/12</f>
        <v>4.1612491030767799E-2</v>
      </c>
      <c r="DI47" s="22">
        <f t="shared" si="15"/>
        <v>3.0712085857667581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8.3000000000000007</v>
      </c>
      <c r="DO47" s="12">
        <f>IF('Données projet'!$A$166&gt;35,DO46+DN47-DW46,IF(A47&lt;'Données projet'!$A$166,$DL$205^A47,IF(A47='Données projet'!$A$166,'Données projet'!$B$166,DO46+DN47-DW46)))</f>
        <v>149.19999999999999</v>
      </c>
      <c r="DP47" s="17">
        <f>DO47*VLOOKUP('Données projet'!$B$14,Paramètres!$A$1:$I$89,3,0)*VLOOKUP('Données projet'!$B$14,Paramètres!$A$1:$I$89,5,0)</f>
        <v>144.30624</v>
      </c>
      <c r="DQ47" s="13">
        <f t="shared" si="43"/>
        <v>37.281758503629554</v>
      </c>
      <c r="DR47" s="20">
        <f t="shared" si="16"/>
        <v>316.26576406048815</v>
      </c>
      <c r="DS47" s="59">
        <f t="shared" si="17"/>
        <v>609.59909739382147</v>
      </c>
      <c r="DT47" s="59">
        <f ca="1">AVERAGE(OFFSET($DS$3,0,0,'Données projet'!$E$14+1,1))-AVERAGE(OFFSET($H$3,0,0,'Données projet'!$E$14+1,1))</f>
        <v>261.22357949323879</v>
      </c>
      <c r="DU47" s="59">
        <f t="shared" si="44"/>
        <v>163.41029152029387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2.2520586919504559</v>
      </c>
      <c r="EC47" s="21">
        <f>EXP(-LN(2)/2)*EC46+(1-EXP(-LN(2)/2))/(LN(2)/2)*DW47*DZ47*VLOOKUP('Données projet'!$B$14,Paramètres!$A$1:$I$89,3,0)*0.475*44/12</f>
        <v>5.1689058051530498E-2</v>
      </c>
      <c r="ED47" s="22">
        <f t="shared" si="18"/>
        <v>2.3037477500019863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7.0000000000000027</v>
      </c>
      <c r="EJ47" s="12">
        <f>IF('Données projet'!$A$192&gt;35,EJ46+EI47-ER46,IF(A47&lt;'Données projet'!$A$192,$EG$205^A47,IF(A47='Données projet'!$A$192,'Données projet'!$B$192,EJ46+EI47-ER46)))</f>
        <v>199.39999999999998</v>
      </c>
      <c r="EK47" s="17">
        <f>EJ47*VLOOKUP('Données projet'!$B$15,Paramètres!$A$1:$I$89,3,0)*VLOOKUP('Données projet'!$B$15,Paramètres!$A$1:$I$89,5,0)</f>
        <v>93.319199999999995</v>
      </c>
      <c r="EL47" s="13">
        <f t="shared" si="45"/>
        <v>25.364041009510686</v>
      </c>
      <c r="EM47" s="20">
        <f t="shared" si="19"/>
        <v>206.70664475823108</v>
      </c>
      <c r="EN47" s="59">
        <f t="shared" si="20"/>
        <v>500.03997809156442</v>
      </c>
      <c r="EO47" s="59">
        <f ca="1">AVERAGE(OFFSET($EN$3,0,0,'Données projet'!$E$15+1,1))-AVERAGE(OFFSET($H$3,0,0,'Données projet'!$E$15+1,1))</f>
        <v>123.60520571614535</v>
      </c>
      <c r="EP47" s="59">
        <f t="shared" si="46"/>
        <v>119.00926870519527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0.65729241001710403</v>
      </c>
      <c r="EW47" s="21">
        <f>EXP(-LN(2)/25)*EW46+(1-EXP(-LN(2)/25))/(LN(2)/25)*Calculateur!ER47*Calculateur!ET47*VLOOKUP('Données projet'!$B$15,Paramètres!$A$1:$I$89,3,0)*0.475*44/12</f>
        <v>3.2400854248415607</v>
      </c>
      <c r="EX47" s="21">
        <f>EXP(-LN(2)/2)*EX46+(1-EXP(-LN(2)/2))/(LN(2)/2)*ER47*EU47*VLOOKUP('Données projet'!$B$15,Paramètres!$A$1:$I$89,3,0)*0.475*44/12</f>
        <v>4.7763363211582387E-2</v>
      </c>
      <c r="EY47" s="22">
        <f t="shared" si="21"/>
        <v>3.9451411980702469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6</v>
      </c>
      <c r="FE47" s="12">
        <f>IF('Données projet'!$A$218&gt;35,FE46+FD47-FM46,IF(A47&lt;'Données projet'!$A$218,$FB$205^A47,IF(A47='Données projet'!$A$218,'Données projet'!$B$218,FE46+FD47-FM46)))</f>
        <v>155.99999999999997</v>
      </c>
      <c r="FF47" s="17">
        <f>FE47*VLOOKUP('Données projet'!$B$16,Paramètres!$A$1:$I$89,3,0)*VLOOKUP('Données projet'!$B$16,Paramètres!$A$1:$I$89,5,0)</f>
        <v>114.37919999999997</v>
      </c>
      <c r="FG47" s="13">
        <f t="shared" si="47"/>
        <v>30.360402323573549</v>
      </c>
      <c r="FH47" s="20">
        <f t="shared" si="22"/>
        <v>252.08814071355721</v>
      </c>
      <c r="FI47" s="59">
        <f t="shared" si="23"/>
        <v>545.42147404689058</v>
      </c>
      <c r="FJ47" s="59">
        <f ca="1">AVERAGE(OFFSET($FI$3,0,0,'Données projet'!$E$16+1,1))-AVERAGE(OFFSET($H$3,0,0,'Données projet'!$E$16+1,1))</f>
        <v>124.15919323713428</v>
      </c>
      <c r="FK47" s="59">
        <f t="shared" si="48"/>
        <v>157.85954678210715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0</v>
      </c>
      <c r="FR47" s="21">
        <f>EXP(-LN(2)/25)*FR46+(1-EXP(-LN(2)/25))/(LN(2)/25)*Calculateur!FM47*Calculateur!FO47*VLOOKUP('Données projet'!$B$16,Paramètres!$A$1:$I$89,3,0)*0.475*44/12</f>
        <v>3.4094090960171255</v>
      </c>
      <c r="FS47" s="21">
        <f>EXP(-LN(2)/2)*FS46+(1-EXP(-LN(2)/2))/(LN(2)/2)*FM47*FP47*VLOOKUP('Données projet'!$B$16,Paramètres!$A$1:$I$89,3,0)*0.475*44/12</f>
        <v>5.7635419898775367E-2</v>
      </c>
      <c r="FT47" s="22">
        <f t="shared" si="24"/>
        <v>3.4670445159159007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8.3000000000000007</v>
      </c>
      <c r="N48" s="13">
        <f>IF('Données projet'!$A$36&gt;35,N47+M48-V47,IF(A48&lt;'Données projet'!$A$36,$K$205^A48,IF(A48='Données projet'!$A$36,'Données projet'!$B$36,N47+M48-V47)))</f>
        <v>157.5</v>
      </c>
      <c r="O48" s="13">
        <f>N48*VLOOKUP('Données projet'!$B$9,Paramètres!$A$1:$I$89,3,0)*VLOOKUP('Données projet'!$B$9,Paramètres!$A$1:$I$89,5,0)</f>
        <v>142.506</v>
      </c>
      <c r="P48" s="13">
        <f t="shared" si="33"/>
        <v>36.870500776307537</v>
      </c>
      <c r="Q48" s="20">
        <f t="shared" si="53"/>
        <v>312.41407218540223</v>
      </c>
      <c r="R48" s="59">
        <f t="shared" si="0"/>
        <v>605.7474055187356</v>
      </c>
      <c r="S48" s="59">
        <f ca="1">AVERAGE(OFFSET($R$3,0,0,'Données projet'!$E$9+1,1))-AVERAGE(OFFSET($H$3,0,0,'Données projet'!$E$9+1,1))</f>
        <v>237.22177246688199</v>
      </c>
      <c r="T48" s="59">
        <f t="shared" si="34"/>
        <v>149.27472147904302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2.0491549944859706</v>
      </c>
      <c r="AB48" s="21">
        <f>EXP(-LN(2)/2)*AB47+(1-EXP(-LN(2)/2))/(LN(2)/2)*V48*Y48*VLOOKUP('Données projet'!$B$9,Paramètres!$A$1:$I$89,3,0)*0.475*44/12</f>
        <v>3.4191639367099604E-2</v>
      </c>
      <c r="AC48" s="22">
        <f t="shared" si="3"/>
        <v>2.0833466338530702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7.2</v>
      </c>
      <c r="AI48" s="13">
        <f>IF('Données projet'!$A$62&gt;35,AI47+AH48-AQ47,IF(A48&lt;'Données projet'!$A$62,$AF$205^A48,IF(A48='Données projet'!$A$62,'Données projet'!$B$62,AI47+AH48-AQ47)))</f>
        <v>177.9999999999998</v>
      </c>
      <c r="AJ48" s="13">
        <f>AI48*VLOOKUP('Données projet'!$B$10,Paramètres!$A$1:$I$89,3,0)*VLOOKUP('Données projet'!$B$10,Paramètres!$A$1:$I$89,5,0)</f>
        <v>155.50079999999983</v>
      </c>
      <c r="AK48" s="13">
        <f t="shared" si="35"/>
        <v>39.826029828200298</v>
      </c>
      <c r="AL48" s="20">
        <f t="shared" si="4"/>
        <v>340.19422861744857</v>
      </c>
      <c r="AM48" s="59">
        <f t="shared" si="5"/>
        <v>633.52756195078189</v>
      </c>
      <c r="AN48" s="59">
        <f ca="1">AVERAGE(OFFSET($AM$3,0,0,'Données projet'!$E$10+1,1))-AVERAGE(OFFSET($H$3,0,0,'Données projet'!$E$10+1,1))</f>
        <v>191.94797389630673</v>
      </c>
      <c r="AO48" s="59">
        <f t="shared" si="36"/>
        <v>273.52540822767878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1.9129650061014667</v>
      </c>
      <c r="AV48" s="21">
        <f>EXP(-LN(2)/25)*AV47+(1-EXP(-LN(2)/25))/(LN(2)/25)*Calculateur!AQ48*Calculateur!AS48*VLOOKUP('Données projet'!$B$10,Paramètres!$A$1:$I$89,3,0)*0.475*44/12</f>
        <v>9.2683232200300107</v>
      </c>
      <c r="AW48" s="21">
        <f>EXP(-LN(2)/2)*AW47+(1-EXP(-LN(2)/2))/(LN(2)/2)*AQ48*AT48*VLOOKUP('Données projet'!$B$10,Paramètres!$A$1:$I$89,3,0)*0.475*44/12</f>
        <v>0.12818002449059646</v>
      </c>
      <c r="AX48" s="21">
        <f t="shared" si="6"/>
        <v>11.309468250622075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5.833333333333333</v>
      </c>
      <c r="BD48" s="12">
        <f>IF('Données projet'!$A$88&gt;35,BD47+BC48-BL47,IF(A48&lt;'Données projet'!$A$88,$BA$205^A48,IF(A48='Données projet'!$A$88,'Données projet'!$B$88,BD47+BC48-BL47)))</f>
        <v>167.16666666666666</v>
      </c>
      <c r="BE48" s="13">
        <f>BD48*VLOOKUP('Données projet'!$B$11,Paramètres!$A$1:$I$89,3,0)*VLOOKUP('Données projet'!$B$11,Paramètres!$A$1:$I$89,5,0)</f>
        <v>99.965666666666664</v>
      </c>
      <c r="BF48" s="13">
        <f t="shared" si="37"/>
        <v>26.953817941666887</v>
      </c>
      <c r="BG48" s="20">
        <f t="shared" si="7"/>
        <v>221.05143569284758</v>
      </c>
      <c r="BH48" s="59">
        <f t="shared" si="8"/>
        <v>514.38476902618095</v>
      </c>
      <c r="BI48" s="59">
        <f ca="1">AVERAGE(OFFSET($BH$3,0,0,'Données projet'!$E$11+1,1))-AVERAGE(OFFSET($H$3,0,0,'Données projet'!$E$11+1,1))</f>
        <v>72.647148358003676</v>
      </c>
      <c r="BJ48" s="59">
        <f t="shared" si="38"/>
        <v>87.231299224620898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0.94544954856194452</v>
      </c>
      <c r="BQ48" s="21">
        <f>EXP(-LN(2)/25)*BQ47+(1-EXP(-LN(2)/25))/(LN(2)/25)*Calculateur!BL48*Calculateur!BN48*VLOOKUP('Données projet'!$B$11,Paramètres!$A$1:$I$89,3,0)*0.475*44/12</f>
        <v>2.9894295860043743</v>
      </c>
      <c r="BR48" s="21">
        <f>EXP(-LN(2)/2)*BR47+(1-EXP(-LN(2)/2))/(LN(2)/2)*BL48*BO48*VLOOKUP('Données projet'!$B$11,Paramètres!$A$1:$I$89,3,0)*0.475*44/12</f>
        <v>1.2600289929665096E-2</v>
      </c>
      <c r="BS48" s="22">
        <f t="shared" si="9"/>
        <v>3.9474794244959837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10.7</v>
      </c>
      <c r="BY48" s="12">
        <f>IF('Données projet'!$A$114&gt;35,BY47+BX48-CG47,IF(A48&lt;'Données projet'!$A$114,$BV$205^A48,IF(A48='Données projet'!$A$114,'Données projet'!$B$114,BY47+BX48-CG47)))</f>
        <v>230.49999999999991</v>
      </c>
      <c r="BZ48" s="13">
        <f>BY48*VLOOKUP('Données projet'!$B$12,Paramètres!$A$1:$I$89,3,0)*VLOOKUP('Données projet'!$B$12,Paramètres!$A$1:$I$89,5,0)</f>
        <v>137.83899999999994</v>
      </c>
      <c r="CA48" s="13">
        <f t="shared" si="39"/>
        <v>35.80150342838742</v>
      </c>
      <c r="CB48" s="20">
        <f t="shared" si="10"/>
        <v>302.42387680444131</v>
      </c>
      <c r="CC48" s="59">
        <f t="shared" si="11"/>
        <v>595.75721013777456</v>
      </c>
      <c r="CD48" s="59">
        <f ca="1">AVERAGE(OFFSET($CC$3,0,0,'Données projet'!$E$12+1,1))-AVERAGE(OFFSET($H$3,0,0,'Données projet'!$E$12+1,1))</f>
        <v>165.39579887388538</v>
      </c>
      <c r="CE48" s="59">
        <f t="shared" si="40"/>
        <v>155.89639262545802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4.8091083256926765</v>
      </c>
      <c r="CM48" s="21">
        <f>EXP(-LN(2)/2)*CM47+(1-EXP(-LN(2)/2))/(LN(2)/2)*CG48*CJ48*VLOOKUP('Données projet'!$B$12,Paramètres!$A$1:$I$89,3,0)*0.475*44/12</f>
        <v>7.667708899684883E-2</v>
      </c>
      <c r="CN48" s="22">
        <f t="shared" si="12"/>
        <v>4.8857854146895257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265</v>
      </c>
      <c r="CR48" s="12">
        <f>VLOOKUP(A48,'Données projet'!$A$139:$I$159,9,0)</f>
        <v>11.9</v>
      </c>
      <c r="CS48" s="12">
        <f t="array" ref="CS48">INDEX(CR:CR,MIN(IF(ISNUMBER(CR48:CR244),ROW(CR48:CR244),"")))</f>
        <v>11.9</v>
      </c>
      <c r="CT48" s="12">
        <f>IF('Données projet'!$A$140&gt;35,CT47+CS48-DB47,IF(A48&lt;'Données projet'!$A$140,$CQ$205^A48,IF(A48='Données projet'!$A$140,'Données projet'!$B$140,CT47+CS48-DB47)))</f>
        <v>265.00000000000006</v>
      </c>
      <c r="CU48" s="17">
        <f>CT48*VLOOKUP('Données projet'!$B$13,Paramètres!$A$1:$I$89,3,0)*VLOOKUP('Données projet'!$B$13,Paramètres!$A$1:$I$89,5,0)</f>
        <v>206.70000000000005</v>
      </c>
      <c r="CV48" s="13">
        <f t="shared" si="41"/>
        <v>51.213789254671468</v>
      </c>
      <c r="CW48" s="20">
        <f t="shared" si="13"/>
        <v>449.19984961855289</v>
      </c>
      <c r="CX48" s="59">
        <f t="shared" si="14"/>
        <v>742.53318295188615</v>
      </c>
      <c r="CY48" s="59">
        <f ca="1">AVERAGE(OFFSET($CX$3,0,0,'Données projet'!$E$13+1,1))-AVERAGE(OFFSET($H$3,0,0,'Données projet'!$E$13+1,1))</f>
        <v>190.06335940156185</v>
      </c>
      <c r="CZ48" s="59">
        <f t="shared" si="42"/>
        <v>166.43663896839928</v>
      </c>
      <c r="DA48" s="15">
        <f>IF(ISNA(VLOOKUP(A48,'Données projet'!$A$139:$I$159,3,0)),0,VLOOKUP(A48,'Données projet'!$A$139:$I$159,3,0))</f>
        <v>4</v>
      </c>
      <c r="DB48" s="15">
        <f>IF(ISNA(VLOOKUP(A48,'Données projet'!$A$139:$I$159,4,0)),0,VLOOKUP(A48,'Données projet'!$A$139:$I$159,4,0))</f>
        <v>63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2.9467516302059003</v>
      </c>
      <c r="DH48" s="21">
        <f>EXP(-LN(2)/2)*DH47+(1-EXP(-LN(2)/2))/(LN(2)/2)*DB48*DE48*VLOOKUP('Données projet'!$B$13,Paramètres!$A$1:$I$89,3,0)*0.475*44/12</f>
        <v>2.9424474589920299E-2</v>
      </c>
      <c r="DI48" s="22">
        <f t="shared" si="15"/>
        <v>2.9761761047958206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8.3000000000000007</v>
      </c>
      <c r="DO48" s="12">
        <f>IF('Données projet'!$A$166&gt;35,DO47+DN48-DW47,IF(A48&lt;'Données projet'!$A$166,$DL$205^A48,IF(A48='Données projet'!$A$166,'Données projet'!$B$166,DO47+DN48-DW47)))</f>
        <v>157.5</v>
      </c>
      <c r="DP48" s="17">
        <f>DO48*VLOOKUP('Données projet'!$B$14,Paramètres!$A$1:$I$89,3,0)*VLOOKUP('Données projet'!$B$14,Paramètres!$A$1:$I$89,5,0)</f>
        <v>152.334</v>
      </c>
      <c r="DQ48" s="13">
        <f t="shared" si="43"/>
        <v>39.108517919805784</v>
      </c>
      <c r="DR48" s="20">
        <f t="shared" si="16"/>
        <v>333.42905204366178</v>
      </c>
      <c r="DS48" s="59">
        <f t="shared" si="17"/>
        <v>626.7623853769951</v>
      </c>
      <c r="DT48" s="59">
        <f ca="1">AVERAGE(OFFSET($DS$3,0,0,'Données projet'!$E$14+1,1))-AVERAGE(OFFSET($H$3,0,0,'Données projet'!$E$14+1,1))</f>
        <v>261.22357949323879</v>
      </c>
      <c r="DU48" s="59">
        <f t="shared" si="44"/>
        <v>163.41029152029387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2.1904760285884515</v>
      </c>
      <c r="EC48" s="21">
        <f>EXP(-LN(2)/2)*EC47+(1-EXP(-LN(2)/2))/(LN(2)/2)*DW48*DZ48*VLOOKUP('Données projet'!$B$14,Paramètres!$A$1:$I$89,3,0)*0.475*44/12</f>
        <v>3.6549683461382328E-2</v>
      </c>
      <c r="ED48" s="22">
        <f t="shared" si="18"/>
        <v>2.227025712049834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7.0000000000000027</v>
      </c>
      <c r="EJ48" s="12">
        <f>IF('Données projet'!$A$192&gt;35,EJ47+EI48-ER47,IF(A48&lt;'Données projet'!$A$192,$EG$205^A48,IF(A48='Données projet'!$A$192,'Données projet'!$B$192,EJ47+EI48-ER47)))</f>
        <v>206.39999999999998</v>
      </c>
      <c r="EK48" s="17">
        <f>EJ48*VLOOKUP('Données projet'!$B$15,Paramètres!$A$1:$I$89,3,0)*VLOOKUP('Données projet'!$B$15,Paramètres!$A$1:$I$89,5,0)</f>
        <v>96.595199999999991</v>
      </c>
      <c r="EL48" s="13">
        <f t="shared" si="45"/>
        <v>26.149222795600728</v>
      </c>
      <c r="EM48" s="20">
        <f t="shared" si="19"/>
        <v>213.77986970233792</v>
      </c>
      <c r="EN48" s="59">
        <f t="shared" si="20"/>
        <v>507.11320303567123</v>
      </c>
      <c r="EO48" s="59">
        <f ca="1">AVERAGE(OFFSET($EN$3,0,0,'Données projet'!$E$15+1,1))-AVERAGE(OFFSET($H$3,0,0,'Données projet'!$E$15+1,1))</f>
        <v>123.60520571614535</v>
      </c>
      <c r="EP48" s="59">
        <f t="shared" si="46"/>
        <v>119.00926870519527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0.64440330676545232</v>
      </c>
      <c r="EW48" s="21">
        <f>EXP(-LN(2)/25)*EW47+(1-EXP(-LN(2)/25))/(LN(2)/25)*Calculateur!ER48*Calculateur!ET48*VLOOKUP('Données projet'!$B$15,Paramètres!$A$1:$I$89,3,0)*0.475*44/12</f>
        <v>3.151485118510581</v>
      </c>
      <c r="EX48" s="21">
        <f>EXP(-LN(2)/2)*EX47+(1-EXP(-LN(2)/2))/(LN(2)/2)*ER48*EU48*VLOOKUP('Données projet'!$B$15,Paramètres!$A$1:$I$89,3,0)*0.475*44/12</f>
        <v>3.377379801918598E-2</v>
      </c>
      <c r="EY48" s="22">
        <f t="shared" si="21"/>
        <v>3.8296622232952191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6</v>
      </c>
      <c r="FE48" s="12">
        <f>IF('Données projet'!$A$218&gt;35,FE47+FD48-FM47,IF(A48&lt;'Données projet'!$A$218,$FB$205^A48,IF(A48='Données projet'!$A$218,'Données projet'!$B$218,FE47+FD48-FM47)))</f>
        <v>161.99999999999997</v>
      </c>
      <c r="FF48" s="17">
        <f>FE48*VLOOKUP('Données projet'!$B$16,Paramètres!$A$1:$I$89,3,0)*VLOOKUP('Données projet'!$B$16,Paramètres!$A$1:$I$89,5,0)</f>
        <v>118.77839999999998</v>
      </c>
      <c r="FG48" s="13">
        <f t="shared" si="47"/>
        <v>31.389911704951505</v>
      </c>
      <c r="FH48" s="20">
        <f t="shared" si="22"/>
        <v>261.54314288612386</v>
      </c>
      <c r="FI48" s="59">
        <f t="shared" si="23"/>
        <v>554.87647621945712</v>
      </c>
      <c r="FJ48" s="59">
        <f ca="1">AVERAGE(OFFSET($FI$3,0,0,'Données projet'!$E$16+1,1))-AVERAGE(OFFSET($H$3,0,0,'Données projet'!$E$16+1,1))</f>
        <v>124.15919323713428</v>
      </c>
      <c r="FK48" s="59">
        <f t="shared" si="48"/>
        <v>157.85954678210715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0</v>
      </c>
      <c r="FR48" s="21">
        <f>EXP(-LN(2)/25)*FR47+(1-EXP(-LN(2)/25))/(LN(2)/25)*Calculateur!FM48*Calculateur!FO48*VLOOKUP('Données projet'!$B$16,Paramètres!$A$1:$I$89,3,0)*0.475*44/12</f>
        <v>3.3161786249935052</v>
      </c>
      <c r="FS48" s="21">
        <f>EXP(-LN(2)/2)*FS47+(1-EXP(-LN(2)/2))/(LN(2)/2)*FM48*FP48*VLOOKUP('Données projet'!$B$16,Paramètres!$A$1:$I$89,3,0)*0.475*44/12</f>
        <v>4.075439624695814E-2</v>
      </c>
      <c r="FT48" s="22">
        <f t="shared" si="24"/>
        <v>3.3569330212404633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8.3000000000000007</v>
      </c>
      <c r="N49" s="13">
        <f>IF('Données projet'!$A$36&gt;35,N48+M49-V48,IF(A49&lt;'Données projet'!$A$36,$K$205^A49,IF(A49='Données projet'!$A$36,'Données projet'!$B$36,N48+M49-V48)))</f>
        <v>165.8</v>
      </c>
      <c r="O49" s="13">
        <f>N49*VLOOKUP('Données projet'!$B$9,Paramètres!$A$1:$I$89,3,0)*VLOOKUP('Données projet'!$B$9,Paramètres!$A$1:$I$89,5,0)</f>
        <v>150.01584</v>
      </c>
      <c r="P49" s="13">
        <f t="shared" si="33"/>
        <v>38.582185295570788</v>
      </c>
      <c r="Q49" s="20">
        <f t="shared" si="53"/>
        <v>328.47489405645246</v>
      </c>
      <c r="R49" s="59">
        <f t="shared" si="0"/>
        <v>621.80822738978577</v>
      </c>
      <c r="S49" s="59">
        <f ca="1">AVERAGE(OFFSET($R$3,0,0,'Données projet'!$E$9+1,1))-AVERAGE(OFFSET($H$3,0,0,'Données projet'!$E$9+1,1))</f>
        <v>237.22177246688199</v>
      </c>
      <c r="T49" s="59">
        <f t="shared" si="34"/>
        <v>149.27472147904302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1.993120743401374</v>
      </c>
      <c r="AB49" s="21">
        <f>EXP(-LN(2)/2)*AB48+(1-EXP(-LN(2)/2))/(LN(2)/2)*V49*Y49*VLOOKUP('Données projet'!$B$9,Paramètres!$A$1:$I$89,3,0)*0.475*44/12</f>
        <v>2.4177140056361044E-2</v>
      </c>
      <c r="AC49" s="22">
        <f t="shared" si="3"/>
        <v>2.0172978834577351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7.2</v>
      </c>
      <c r="AI49" s="13">
        <f>IF('Données projet'!$A$62&gt;35,AI48+AH49-AQ48,IF(A49&lt;'Données projet'!$A$62,$AF$205^A49,IF(A49='Données projet'!$A$62,'Données projet'!$B$62,AI48+AH49-AQ48)))</f>
        <v>185.19999999999979</v>
      </c>
      <c r="AJ49" s="13">
        <f>AI49*VLOOKUP('Données projet'!$B$10,Paramètres!$A$1:$I$89,3,0)*VLOOKUP('Données projet'!$B$10,Paramètres!$A$1:$I$89,5,0)</f>
        <v>161.79071999999982</v>
      </c>
      <c r="AK49" s="13">
        <f t="shared" si="35"/>
        <v>41.246155299147965</v>
      </c>
      <c r="AL49" s="20">
        <f t="shared" si="4"/>
        <v>353.62255781268237</v>
      </c>
      <c r="AM49" s="59">
        <f t="shared" si="5"/>
        <v>646.95589114601569</v>
      </c>
      <c r="AN49" s="59">
        <f ca="1">AVERAGE(OFFSET($AM$3,0,0,'Données projet'!$E$10+1,1))-AVERAGE(OFFSET($H$3,0,0,'Données projet'!$E$10+1,1))</f>
        <v>191.94797389630673</v>
      </c>
      <c r="AO49" s="59">
        <f t="shared" si="36"/>
        <v>273.52540822767878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1.8754529291252593</v>
      </c>
      <c r="AV49" s="21">
        <f>EXP(-LN(2)/25)*AV48+(1-EXP(-LN(2)/25))/(LN(2)/25)*Calculateur!AQ49*Calculateur!AS49*VLOOKUP('Données projet'!$B$10,Paramètres!$A$1:$I$89,3,0)*0.475*44/12</f>
        <v>9.0148804341783553</v>
      </c>
      <c r="AW49" s="21">
        <f>EXP(-LN(2)/2)*AW48+(1-EXP(-LN(2)/2))/(LN(2)/2)*AQ49*AT49*VLOOKUP('Données projet'!$B$10,Paramètres!$A$1:$I$89,3,0)*0.475*44/12</f>
        <v>9.0636964529958494E-2</v>
      </c>
      <c r="AX49" s="21">
        <f t="shared" si="6"/>
        <v>10.980970327833573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>
        <f>VLOOKUP(A49,'Données projet'!$A$87:$I$107,2,0)</f>
        <v>173</v>
      </c>
      <c r="BB49" s="12">
        <f>VLOOKUP(A49,'Données projet'!$A$87:$I$107,9,0)</f>
        <v>5.833333333333333</v>
      </c>
      <c r="BC49" s="12">
        <f t="array" ref="BC49">INDEX(BB:BB,MIN(IF(ISNUMBER(BB49:BB245),ROW(BB49:BB245),"")))</f>
        <v>5.833333333333333</v>
      </c>
      <c r="BD49" s="12">
        <f>IF('Données projet'!$A$88&gt;35,BD48+BC49-BL48,IF(A49&lt;'Données projet'!$A$88,$BA$205^A49,IF(A49='Données projet'!$A$88,'Données projet'!$B$88,BD48+BC49-BL48)))</f>
        <v>173</v>
      </c>
      <c r="BE49" s="13">
        <f>BD49*VLOOKUP('Données projet'!$B$11,Paramètres!$A$1:$I$89,3,0)*VLOOKUP('Données projet'!$B$11,Paramètres!$A$1:$I$89,5,0)</f>
        <v>103.45400000000001</v>
      </c>
      <c r="BF49" s="13">
        <f t="shared" si="37"/>
        <v>27.783232148054164</v>
      </c>
      <c r="BG49" s="20">
        <f t="shared" si="7"/>
        <v>228.57151265786101</v>
      </c>
      <c r="BH49" s="59">
        <f t="shared" si="8"/>
        <v>521.90484599119429</v>
      </c>
      <c r="BI49" s="59">
        <f ca="1">AVERAGE(OFFSET($BH$3,0,0,'Données projet'!$E$11+1,1))-AVERAGE(OFFSET($H$3,0,0,'Données projet'!$E$11+1,1))</f>
        <v>72.647148358003676</v>
      </c>
      <c r="BJ49" s="59">
        <f t="shared" si="38"/>
        <v>87.231299224620898</v>
      </c>
      <c r="BK49" s="15">
        <f>IF(ISNA(VLOOKUP(A49,'Données projet'!$A$87:$I$107,3,0)),0,VLOOKUP(A49,'Données projet'!$A$87:$I$107,3,0))</f>
        <v>7</v>
      </c>
      <c r="BL49" s="15">
        <f>IF(ISNA(VLOOKUP(A49,'Données projet'!$A$87:$I$107,4,0)),0,VLOOKUP(A49,'Données projet'!$A$87:$I$107,4,0))</f>
        <v>19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0.92690985958192829</v>
      </c>
      <c r="BQ49" s="21">
        <f>EXP(-LN(2)/25)*BQ48+(1-EXP(-LN(2)/25))/(LN(2)/25)*Calculateur!BL49*Calculateur!BN49*VLOOKUP('Données projet'!$B$11,Paramètres!$A$1:$I$89,3,0)*0.475*44/12</f>
        <v>2.907683476767815</v>
      </c>
      <c r="BR49" s="21">
        <f>EXP(-LN(2)/2)*BR48+(1-EXP(-LN(2)/2))/(LN(2)/2)*BL49*BO49*VLOOKUP('Données projet'!$B$11,Paramètres!$A$1:$I$89,3,0)*0.475*44/12</f>
        <v>8.9097504541827549E-3</v>
      </c>
      <c r="BS49" s="22">
        <f t="shared" si="9"/>
        <v>3.8435030868039264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10.7</v>
      </c>
      <c r="BY49" s="12">
        <f>IF('Données projet'!$A$114&gt;35,BY48+BX49-CG48,IF(A49&lt;'Données projet'!$A$114,$BV$205^A49,IF(A49='Données projet'!$A$114,'Données projet'!$B$114,BY48+BX49-CG48)))</f>
        <v>241.1999999999999</v>
      </c>
      <c r="BZ49" s="13">
        <f>BY49*VLOOKUP('Données projet'!$B$12,Paramètres!$A$1:$I$89,3,0)*VLOOKUP('Données projet'!$B$12,Paramètres!$A$1:$I$89,5,0)</f>
        <v>144.23759999999996</v>
      </c>
      <c r="CA49" s="13">
        <f t="shared" si="39"/>
        <v>37.266088962286922</v>
      </c>
      <c r="CB49" s="20">
        <f t="shared" si="10"/>
        <v>316.11892494264958</v>
      </c>
      <c r="CC49" s="59">
        <f t="shared" si="11"/>
        <v>609.4522582759829</v>
      </c>
      <c r="CD49" s="59">
        <f ca="1">AVERAGE(OFFSET($CC$3,0,0,'Données projet'!$E$12+1,1))-AVERAGE(OFFSET($H$3,0,0,'Données projet'!$E$12+1,1))</f>
        <v>165.39579887388538</v>
      </c>
      <c r="CE49" s="59">
        <f t="shared" si="40"/>
        <v>155.89639262545802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4.6776030056265947</v>
      </c>
      <c r="CM49" s="21">
        <f>EXP(-LN(2)/2)*CM48+(1-EXP(-LN(2)/2))/(LN(2)/2)*CG49*CJ49*VLOOKUP('Données projet'!$B$12,Paramètres!$A$1:$I$89,3,0)*0.475*44/12</f>
        <v>5.4218889591316217E-2</v>
      </c>
      <c r="CN49" s="22">
        <f t="shared" si="12"/>
        <v>4.7318218952179105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8.1</v>
      </c>
      <c r="CT49" s="12">
        <f>IF('Données projet'!$A$140&gt;35,CT48+CS49-DB48,IF(A49&lt;'Données projet'!$A$140,$CQ$205^A49,IF(A49='Données projet'!$A$140,'Données projet'!$B$140,CT48+CS49-DB48)))</f>
        <v>210.10000000000008</v>
      </c>
      <c r="CU49" s="17">
        <f>CT49*VLOOKUP('Données projet'!$B$13,Paramètres!$A$1:$I$89,3,0)*VLOOKUP('Données projet'!$B$13,Paramètres!$A$1:$I$89,5,0)</f>
        <v>163.87800000000007</v>
      </c>
      <c r="CV49" s="13">
        <f t="shared" si="41"/>
        <v>41.715986257165973</v>
      </c>
      <c r="CW49" s="20">
        <f t="shared" si="13"/>
        <v>358.07619273123083</v>
      </c>
      <c r="CX49" s="59">
        <f t="shared" si="14"/>
        <v>651.40952606456415</v>
      </c>
      <c r="CY49" s="59">
        <f ca="1">AVERAGE(OFFSET($CX$3,0,0,'Données projet'!$E$13+1,1))-AVERAGE(OFFSET($H$3,0,0,'Données projet'!$E$13+1,1))</f>
        <v>190.06335940156185</v>
      </c>
      <c r="CZ49" s="59">
        <f t="shared" si="42"/>
        <v>166.43663896839928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2.8661725519149868</v>
      </c>
      <c r="DH49" s="21">
        <f>EXP(-LN(2)/2)*DH48+(1-EXP(-LN(2)/2))/(LN(2)/2)*DB49*DE49*VLOOKUP('Données projet'!$B$13,Paramètres!$A$1:$I$89,3,0)*0.475*44/12</f>
        <v>2.0806245515383903E-2</v>
      </c>
      <c r="DI49" s="22">
        <f t="shared" si="15"/>
        <v>2.8869787974303707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8.3000000000000007</v>
      </c>
      <c r="DO49" s="12">
        <f>IF('Données projet'!$A$166&gt;35,DO48+DN49-DW48,IF(A49&lt;'Données projet'!$A$166,$DL$205^A49,IF(A49='Données projet'!$A$166,'Données projet'!$B$166,DO48+DN49-DW48)))</f>
        <v>165.8</v>
      </c>
      <c r="DP49" s="17">
        <f>DO49*VLOOKUP('Données projet'!$B$14,Paramètres!$A$1:$I$89,3,0)*VLOOKUP('Données projet'!$B$14,Paramètres!$A$1:$I$89,5,0)</f>
        <v>160.36176</v>
      </c>
      <c r="DQ49" s="13">
        <f t="shared" si="43"/>
        <v>40.924100656281027</v>
      </c>
      <c r="DR49" s="20">
        <f t="shared" si="16"/>
        <v>350.57287397635611</v>
      </c>
      <c r="DS49" s="59">
        <f t="shared" si="17"/>
        <v>643.90620730968942</v>
      </c>
      <c r="DT49" s="59">
        <f ca="1">AVERAGE(OFFSET($DS$3,0,0,'Données projet'!$E$14+1,1))-AVERAGE(OFFSET($H$3,0,0,'Données projet'!$E$14+1,1))</f>
        <v>261.22357949323879</v>
      </c>
      <c r="DU49" s="59">
        <f t="shared" si="44"/>
        <v>163.41029152029387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2.1305773463945723</v>
      </c>
      <c r="EC49" s="21">
        <f>EXP(-LN(2)/2)*EC48+(1-EXP(-LN(2)/2))/(LN(2)/2)*DW49*DZ49*VLOOKUP('Données projet'!$B$14,Paramètres!$A$1:$I$89,3,0)*0.475*44/12</f>
        <v>2.5844529025765249E-2</v>
      </c>
      <c r="ED49" s="22">
        <f t="shared" si="18"/>
        <v>2.1564218754203375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7.0000000000000027</v>
      </c>
      <c r="EJ49" s="12">
        <f>IF('Données projet'!$A$192&gt;35,EJ48+EI49-ER48,IF(A49&lt;'Données projet'!$A$192,$EG$205^A49,IF(A49='Données projet'!$A$192,'Données projet'!$B$192,EJ48+EI49-ER48)))</f>
        <v>213.39999999999998</v>
      </c>
      <c r="EK49" s="17">
        <f>EJ49*VLOOKUP('Données projet'!$B$15,Paramètres!$A$1:$I$89,3,0)*VLOOKUP('Données projet'!$B$15,Paramètres!$A$1:$I$89,5,0)</f>
        <v>99.871199999999988</v>
      </c>
      <c r="EL49" s="13">
        <f t="shared" si="45"/>
        <v>26.931310423172796</v>
      </c>
      <c r="EM49" s="20">
        <f t="shared" si="19"/>
        <v>220.8477056536926</v>
      </c>
      <c r="EN49" s="59">
        <f t="shared" si="20"/>
        <v>514.18103898702589</v>
      </c>
      <c r="EO49" s="59">
        <f ca="1">AVERAGE(OFFSET($EN$3,0,0,'Données projet'!$E$15+1,1))-AVERAGE(OFFSET($H$3,0,0,'Données projet'!$E$15+1,1))</f>
        <v>123.60520571614535</v>
      </c>
      <c r="EP49" s="59">
        <f t="shared" si="46"/>
        <v>119.00926870519527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0.63176695096698876</v>
      </c>
      <c r="EW49" s="21">
        <f>EXP(-LN(2)/25)*EW48+(1-EXP(-LN(2)/25))/(LN(2)/25)*Calculateur!ER49*Calculateur!ET49*VLOOKUP('Données projet'!$B$15,Paramètres!$A$1:$I$89,3,0)*0.475*44/12</f>
        <v>3.0653075922155097</v>
      </c>
      <c r="EX49" s="21">
        <f>EXP(-LN(2)/2)*EX48+(1-EXP(-LN(2)/2))/(LN(2)/2)*ER49*EU49*VLOOKUP('Données projet'!$B$15,Paramètres!$A$1:$I$89,3,0)*0.475*44/12</f>
        <v>2.3881681605791193E-2</v>
      </c>
      <c r="EY49" s="22">
        <f t="shared" si="21"/>
        <v>3.7209562247882899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6</v>
      </c>
      <c r="FE49" s="12">
        <f>IF('Données projet'!$A$218&gt;35,FE48+FD49-FM48,IF(A49&lt;'Données projet'!$A$218,$FB$205^A49,IF(A49='Données projet'!$A$218,'Données projet'!$B$218,FE48+FD49-FM48)))</f>
        <v>167.99999999999997</v>
      </c>
      <c r="FF49" s="17">
        <f>FE49*VLOOKUP('Données projet'!$B$16,Paramètres!$A$1:$I$89,3,0)*VLOOKUP('Données projet'!$B$16,Paramètres!$A$1:$I$89,5,0)</f>
        <v>123.17759999999997</v>
      </c>
      <c r="FG49" s="13">
        <f t="shared" si="47"/>
        <v>32.414991240570416</v>
      </c>
      <c r="FH49" s="20">
        <f t="shared" si="22"/>
        <v>270.99042974399339</v>
      </c>
      <c r="FI49" s="59">
        <f t="shared" si="23"/>
        <v>564.3237630773267</v>
      </c>
      <c r="FJ49" s="59">
        <f ca="1">AVERAGE(OFFSET($FI$3,0,0,'Données projet'!$E$16+1,1))-AVERAGE(OFFSET($H$3,0,0,'Données projet'!$E$16+1,1))</f>
        <v>124.15919323713428</v>
      </c>
      <c r="FK49" s="59">
        <f t="shared" si="48"/>
        <v>157.85954678210715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0</v>
      </c>
      <c r="FR49" s="21">
        <f>EXP(-LN(2)/25)*FR48+(1-EXP(-LN(2)/25))/(LN(2)/25)*Calculateur!FM49*Calculateur!FO49*VLOOKUP('Données projet'!$B$16,Paramètres!$A$1:$I$89,3,0)*0.475*44/12</f>
        <v>3.2254975461028033</v>
      </c>
      <c r="FS49" s="21">
        <f>EXP(-LN(2)/2)*FS48+(1-EXP(-LN(2)/2))/(LN(2)/2)*FM49*FP49*VLOOKUP('Données projet'!$B$16,Paramètres!$A$1:$I$89,3,0)*0.475*44/12</f>
        <v>2.8817709949387683E-2</v>
      </c>
      <c r="FT49" s="22">
        <f t="shared" si="24"/>
        <v>3.2543152560521911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8.3000000000000007</v>
      </c>
      <c r="N50" s="13">
        <f>IF('Données projet'!$A$36&gt;35,N49+M50-V49,IF(A50&lt;'Données projet'!$A$36,$K$205^A50,IF(A50='Données projet'!$A$36,'Données projet'!$B$36,N49+M50-V49)))</f>
        <v>174.10000000000002</v>
      </c>
      <c r="O50" s="13">
        <f>N50*VLOOKUP('Données projet'!$B$9,Paramètres!$A$1:$I$89,3,0)*VLOOKUP('Données projet'!$B$9,Paramètres!$A$1:$I$89,5,0)</f>
        <v>157.52568000000002</v>
      </c>
      <c r="P50" s="13">
        <f t="shared" si="33"/>
        <v>40.283920409774808</v>
      </c>
      <c r="Q50" s="20">
        <f t="shared" si="53"/>
        <v>344.51838738035781</v>
      </c>
      <c r="R50" s="59">
        <f t="shared" si="0"/>
        <v>637.85172071369107</v>
      </c>
      <c r="S50" s="59">
        <f ca="1">AVERAGE(OFFSET($R$3,0,0,'Données projet'!$E$9+1,1))-AVERAGE(OFFSET($H$3,0,0,'Données projet'!$E$9+1,1))</f>
        <v>237.22177246688199</v>
      </c>
      <c r="T50" s="59">
        <f t="shared" si="34"/>
        <v>149.27472147904302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1.9386187518593989</v>
      </c>
      <c r="AB50" s="21">
        <f>EXP(-LN(2)/2)*AB49+(1-EXP(-LN(2)/2))/(LN(2)/2)*V50*Y50*VLOOKUP('Données projet'!$B$9,Paramètres!$A$1:$I$89,3,0)*0.475*44/12</f>
        <v>1.7095819683549802E-2</v>
      </c>
      <c r="AC50" s="22">
        <f t="shared" si="3"/>
        <v>1.9557145715429487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7.2</v>
      </c>
      <c r="AI50" s="13">
        <f>IF('Données projet'!$A$62&gt;35,AI49+AH50-AQ49,IF(A50&lt;'Données projet'!$A$62,$AF$205^A50,IF(A50='Données projet'!$A$62,'Données projet'!$B$62,AI49+AH50-AQ49)))</f>
        <v>192.39999999999978</v>
      </c>
      <c r="AJ50" s="13">
        <f>AI50*VLOOKUP('Données projet'!$B$10,Paramètres!$A$1:$I$89,3,0)*VLOOKUP('Données projet'!$B$10,Paramètres!$A$1:$I$89,5,0)</f>
        <v>168.08063999999982</v>
      </c>
      <c r="AK50" s="13">
        <f t="shared" si="35"/>
        <v>42.659867131343425</v>
      </c>
      <c r="AL50" s="20">
        <f t="shared" si="4"/>
        <v>367.03971658708946</v>
      </c>
      <c r="AM50" s="59">
        <f t="shared" si="5"/>
        <v>660.37304992042277</v>
      </c>
      <c r="AN50" s="59">
        <f ca="1">AVERAGE(OFFSET($AM$3,0,0,'Données projet'!$E$10+1,1))-AVERAGE(OFFSET($H$3,0,0,'Données projet'!$E$10+1,1))</f>
        <v>191.94797389630673</v>
      </c>
      <c r="AO50" s="59">
        <f t="shared" si="36"/>
        <v>273.52540822767878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1.8386764410984477</v>
      </c>
      <c r="AV50" s="21">
        <f>EXP(-LN(2)/25)*AV49+(1-EXP(-LN(2)/25))/(LN(2)/25)*Calculateur!AQ50*Calculateur!AS50*VLOOKUP('Données projet'!$B$10,Paramètres!$A$1:$I$89,3,0)*0.475*44/12</f>
        <v>8.7683680546337897</v>
      </c>
      <c r="AW50" s="21">
        <f>EXP(-LN(2)/2)*AW49+(1-EXP(-LN(2)/2))/(LN(2)/2)*AQ50*AT50*VLOOKUP('Données projet'!$B$10,Paramètres!$A$1:$I$89,3,0)*0.475*44/12</f>
        <v>6.4090012245298228E-2</v>
      </c>
      <c r="AX50" s="21">
        <f t="shared" si="6"/>
        <v>10.671134507977536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3.75</v>
      </c>
      <c r="BD50" s="12">
        <f>IF('Données projet'!$A$88&gt;35,BD49+BC50-BL49,IF(A50&lt;'Données projet'!$A$88,$BA$205^A50,IF(A50='Données projet'!$A$88,'Données projet'!$B$88,BD49+BC50-BL49)))</f>
        <v>157.75</v>
      </c>
      <c r="BE50" s="13">
        <f>BD50*VLOOKUP('Données projet'!$B$11,Paramètres!$A$1:$I$89,3,0)*VLOOKUP('Données projet'!$B$11,Paramètres!$A$1:$I$89,5,0)</f>
        <v>94.334500000000006</v>
      </c>
      <c r="BF50" s="13">
        <f t="shared" si="37"/>
        <v>25.607723068147099</v>
      </c>
      <c r="BG50" s="20">
        <f t="shared" si="7"/>
        <v>208.89937184368952</v>
      </c>
      <c r="BH50" s="59">
        <f t="shared" si="8"/>
        <v>502.23270517702281</v>
      </c>
      <c r="BI50" s="59">
        <f ca="1">AVERAGE(OFFSET($BH$3,0,0,'Données projet'!$E$11+1,1))-AVERAGE(OFFSET($H$3,0,0,'Données projet'!$E$11+1,1))</f>
        <v>72.647148358003676</v>
      </c>
      <c r="BJ50" s="59">
        <f t="shared" si="38"/>
        <v>87.231299224620898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0.90873372259471641</v>
      </c>
      <c r="BQ50" s="21">
        <f>EXP(-LN(2)/25)*BQ49+(1-EXP(-LN(2)/25))/(LN(2)/25)*Calculateur!BL50*Calculateur!BN50*VLOOKUP('Données projet'!$B$11,Paramètres!$A$1:$I$89,3,0)*0.475*44/12</f>
        <v>2.8281727191871706</v>
      </c>
      <c r="BR50" s="21">
        <f>EXP(-LN(2)/2)*BR49+(1-EXP(-LN(2)/2))/(LN(2)/2)*BL50*BO50*VLOOKUP('Données projet'!$B$11,Paramètres!$A$1:$I$89,3,0)*0.475*44/12</f>
        <v>6.3001449648325478E-3</v>
      </c>
      <c r="BS50" s="22">
        <f t="shared" si="9"/>
        <v>3.7432065867467195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10.7</v>
      </c>
      <c r="BY50" s="12">
        <f>IF('Données projet'!$A$114&gt;35,BY49+BX50-CG49,IF(A50&lt;'Données projet'!$A$114,$BV$205^A50,IF(A50='Données projet'!$A$114,'Données projet'!$B$114,BY49+BX50-CG49)))</f>
        <v>251.89999999999989</v>
      </c>
      <c r="BZ50" s="13">
        <f>BY50*VLOOKUP('Données projet'!$B$12,Paramètres!$A$1:$I$89,3,0)*VLOOKUP('Données projet'!$B$12,Paramètres!$A$1:$I$89,5,0)</f>
        <v>150.63619999999995</v>
      </c>
      <c r="CA50" s="13">
        <f t="shared" si="39"/>
        <v>38.723128721349489</v>
      </c>
      <c r="CB50" s="20">
        <f t="shared" si="10"/>
        <v>329.80083085635027</v>
      </c>
      <c r="CC50" s="59">
        <f t="shared" si="11"/>
        <v>623.13416418968359</v>
      </c>
      <c r="CD50" s="59">
        <f ca="1">AVERAGE(OFFSET($CC$3,0,0,'Données projet'!$E$12+1,1))-AVERAGE(OFFSET($H$3,0,0,'Données projet'!$E$12+1,1))</f>
        <v>165.39579887388538</v>
      </c>
      <c r="CE50" s="59">
        <f t="shared" si="40"/>
        <v>155.89639262545802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4.5496937054532838</v>
      </c>
      <c r="CM50" s="21">
        <f>EXP(-LN(2)/2)*CM49+(1-EXP(-LN(2)/2))/(LN(2)/2)*CG50*CJ50*VLOOKUP('Données projet'!$B$12,Paramètres!$A$1:$I$89,3,0)*0.475*44/12</f>
        <v>3.8338544498424415E-2</v>
      </c>
      <c r="CN50" s="22">
        <f t="shared" si="12"/>
        <v>4.5880322499517083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8.1</v>
      </c>
      <c r="CT50" s="12">
        <f>IF('Données projet'!$A$140&gt;35,CT49+CS50-DB49,IF(A50&lt;'Données projet'!$A$140,$CQ$205^A50,IF(A50='Données projet'!$A$140,'Données projet'!$B$140,CT49+CS50-DB49)))</f>
        <v>218.20000000000007</v>
      </c>
      <c r="CU50" s="17">
        <f>CT50*VLOOKUP('Données projet'!$B$13,Paramètres!$A$1:$I$89,3,0)*VLOOKUP('Données projet'!$B$13,Paramètres!$A$1:$I$89,5,0)</f>
        <v>170.19600000000005</v>
      </c>
      <c r="CV50" s="13">
        <f t="shared" si="41"/>
        <v>43.13391812093576</v>
      </c>
      <c r="CW50" s="20">
        <f t="shared" si="13"/>
        <v>371.54960739396319</v>
      </c>
      <c r="CX50" s="59">
        <f t="shared" si="14"/>
        <v>664.8829407272965</v>
      </c>
      <c r="CY50" s="59">
        <f ca="1">AVERAGE(OFFSET($CX$3,0,0,'Données projet'!$E$13+1,1))-AVERAGE(OFFSET($H$3,0,0,'Données projet'!$E$13+1,1))</f>
        <v>190.06335940156185</v>
      </c>
      <c r="CZ50" s="59">
        <f t="shared" si="42"/>
        <v>166.43663896839928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2.7877969127574076</v>
      </c>
      <c r="DH50" s="21">
        <f>EXP(-LN(2)/2)*DH49+(1-EXP(-LN(2)/2))/(LN(2)/2)*DB50*DE50*VLOOKUP('Données projet'!$B$13,Paramètres!$A$1:$I$89,3,0)*0.475*44/12</f>
        <v>1.4712237294960153E-2</v>
      </c>
      <c r="DI50" s="22">
        <f t="shared" si="15"/>
        <v>2.8025091500523676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8.3000000000000007</v>
      </c>
      <c r="DO50" s="12">
        <f>IF('Données projet'!$A$166&gt;35,DO49+DN50-DW49,IF(A50&lt;'Données projet'!$A$166,$DL$205^A50,IF(A50='Données projet'!$A$166,'Données projet'!$B$166,DO49+DN50-DW49)))</f>
        <v>174.10000000000002</v>
      </c>
      <c r="DP50" s="17">
        <f>DO50*VLOOKUP('Données projet'!$B$14,Paramètres!$A$1:$I$89,3,0)*VLOOKUP('Données projet'!$B$14,Paramètres!$A$1:$I$89,5,0)</f>
        <v>168.38952</v>
      </c>
      <c r="DQ50" s="13">
        <f t="shared" si="43"/>
        <v>42.729130064815024</v>
      </c>
      <c r="DR50" s="20">
        <f t="shared" si="16"/>
        <v>367.69831552955276</v>
      </c>
      <c r="DS50" s="59">
        <f t="shared" si="17"/>
        <v>661.03164886288607</v>
      </c>
      <c r="DT50" s="59">
        <f ca="1">AVERAGE(OFFSET($DS$3,0,0,'Données projet'!$E$14+1,1))-AVERAGE(OFFSET($H$3,0,0,'Données projet'!$E$14+1,1))</f>
        <v>261.22357949323879</v>
      </c>
      <c r="DU50" s="59">
        <f t="shared" si="44"/>
        <v>163.41029152029387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2.0723165968152197</v>
      </c>
      <c r="EC50" s="21">
        <f>EXP(-LN(2)/2)*EC49+(1-EXP(-LN(2)/2))/(LN(2)/2)*DW50*DZ50*VLOOKUP('Données projet'!$B$14,Paramètres!$A$1:$I$89,3,0)*0.475*44/12</f>
        <v>1.8274841730691164E-2</v>
      </c>
      <c r="ED50" s="22">
        <f t="shared" si="18"/>
        <v>2.090591438545911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7.0000000000000027</v>
      </c>
      <c r="EJ50" s="12">
        <f>IF('Données projet'!$A$192&gt;35,EJ49+EI50-ER49,IF(A50&lt;'Données projet'!$A$192,$EG$205^A50,IF(A50='Données projet'!$A$192,'Données projet'!$B$192,EJ49+EI50-ER49)))</f>
        <v>220.39999999999998</v>
      </c>
      <c r="EK50" s="17">
        <f>EJ50*VLOOKUP('Données projet'!$B$15,Paramètres!$A$1:$I$89,3,0)*VLOOKUP('Données projet'!$B$15,Paramètres!$A$1:$I$89,5,0)</f>
        <v>103.1472</v>
      </c>
      <c r="EL50" s="13">
        <f t="shared" si="45"/>
        <v>27.710417026801451</v>
      </c>
      <c r="EM50" s="20">
        <f t="shared" si="19"/>
        <v>227.91034965501251</v>
      </c>
      <c r="EN50" s="59">
        <f t="shared" si="20"/>
        <v>521.24368298834588</v>
      </c>
      <c r="EO50" s="59">
        <f ca="1">AVERAGE(OFFSET($EN$3,0,0,'Données projet'!$E$15+1,1))-AVERAGE(OFFSET($H$3,0,0,'Données projet'!$E$15+1,1))</f>
        <v>123.60520571614535</v>
      </c>
      <c r="EP50" s="59">
        <f t="shared" si="46"/>
        <v>119.00926870519527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0.6193783863983171</v>
      </c>
      <c r="EW50" s="21">
        <f>EXP(-LN(2)/25)*EW49+(1-EXP(-LN(2)/25))/(LN(2)/25)*Calculateur!ER50*Calculateur!ET50*VLOOKUP('Données projet'!$B$15,Paramètres!$A$1:$I$89,3,0)*0.475*44/12</f>
        <v>2.9814865949088563</v>
      </c>
      <c r="EX50" s="21">
        <f>EXP(-LN(2)/2)*EX49+(1-EXP(-LN(2)/2))/(LN(2)/2)*ER50*EU50*VLOOKUP('Données projet'!$B$15,Paramètres!$A$1:$I$89,3,0)*0.475*44/12</f>
        <v>1.688689900959299E-2</v>
      </c>
      <c r="EY50" s="22">
        <f t="shared" si="21"/>
        <v>3.6177518803167663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6</v>
      </c>
      <c r="FE50" s="12">
        <f>IF('Données projet'!$A$218&gt;35,FE49+FD50-FM49,IF(A50&lt;'Données projet'!$A$218,$FB$205^A50,IF(A50='Données projet'!$A$218,'Données projet'!$B$218,FE49+FD50-FM49)))</f>
        <v>173.99999999999997</v>
      </c>
      <c r="FF50" s="17">
        <f>FE50*VLOOKUP('Données projet'!$B$16,Paramètres!$A$1:$I$89,3,0)*VLOOKUP('Données projet'!$B$16,Paramètres!$A$1:$I$89,5,0)</f>
        <v>127.57679999999998</v>
      </c>
      <c r="FG50" s="13">
        <f t="shared" si="47"/>
        <v>33.435817264319823</v>
      </c>
      <c r="FH50" s="20">
        <f t="shared" si="22"/>
        <v>280.43030840202363</v>
      </c>
      <c r="FI50" s="59">
        <f t="shared" si="23"/>
        <v>573.76364173535694</v>
      </c>
      <c r="FJ50" s="59">
        <f ca="1">AVERAGE(OFFSET($FI$3,0,0,'Données projet'!$E$16+1,1))-AVERAGE(OFFSET($H$3,0,0,'Données projet'!$E$16+1,1))</f>
        <v>124.15919323713428</v>
      </c>
      <c r="FK50" s="59">
        <f t="shared" si="48"/>
        <v>157.85954678210715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0</v>
      </c>
      <c r="FR50" s="21">
        <f>EXP(-LN(2)/25)*FR49+(1-EXP(-LN(2)/25))/(LN(2)/25)*Calculateur!FM50*Calculateur!FO50*VLOOKUP('Données projet'!$B$16,Paramètres!$A$1:$I$89,3,0)*0.475*44/12</f>
        <v>3.1372961460830782</v>
      </c>
      <c r="FS50" s="21">
        <f>EXP(-LN(2)/2)*FS49+(1-EXP(-LN(2)/2))/(LN(2)/2)*FM50*FP50*VLOOKUP('Données projet'!$B$16,Paramètres!$A$1:$I$89,3,0)*0.475*44/12</f>
        <v>2.037719812347907E-2</v>
      </c>
      <c r="FT50" s="22">
        <f t="shared" si="24"/>
        <v>3.1576733442065574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8.3000000000000007</v>
      </c>
      <c r="N51" s="13">
        <f>IF('Données projet'!$A$36&gt;35,N50+M51-V50,IF(A51&lt;'Données projet'!$A$36,$K$205^A51,IF(A51='Données projet'!$A$36,'Données projet'!$B$36,N50+M51-V50)))</f>
        <v>182.40000000000003</v>
      </c>
      <c r="O51" s="13">
        <f>N51*VLOOKUP('Données projet'!$B$9,Paramètres!$A$1:$I$89,3,0)*VLOOKUP('Données projet'!$B$9,Paramètres!$A$1:$I$89,5,0)</f>
        <v>165.03552000000002</v>
      </c>
      <c r="P51" s="13">
        <f t="shared" si="33"/>
        <v>41.976234598846517</v>
      </c>
      <c r="Q51" s="20">
        <f t="shared" si="53"/>
        <v>360.54547259299108</v>
      </c>
      <c r="R51" s="59">
        <f t="shared" si="0"/>
        <v>653.87880592632439</v>
      </c>
      <c r="S51" s="59">
        <f ca="1">AVERAGE(OFFSET($R$3,0,0,'Données projet'!$E$9+1,1))-AVERAGE(OFFSET($H$3,0,0,'Données projet'!$E$9+1,1))</f>
        <v>237.22177246688199</v>
      </c>
      <c r="T51" s="59">
        <f t="shared" si="34"/>
        <v>149.27472147904302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1.8856071201422742</v>
      </c>
      <c r="AB51" s="21">
        <f>EXP(-LN(2)/2)*AB50+(1-EXP(-LN(2)/2))/(LN(2)/2)*V51*Y51*VLOOKUP('Données projet'!$B$9,Paramètres!$A$1:$I$89,3,0)*0.475*44/12</f>
        <v>1.2088570028180522E-2</v>
      </c>
      <c r="AC51" s="22">
        <f t="shared" si="3"/>
        <v>1.8976956901704547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7.2</v>
      </c>
      <c r="AI51" s="13">
        <f>IF('Données projet'!$A$62&gt;35,AI50+AH51-AQ50,IF(A51&lt;'Données projet'!$A$62,$AF$205^A51,IF(A51='Données projet'!$A$62,'Données projet'!$B$62,AI50+AH51-AQ50)))</f>
        <v>199.59999999999977</v>
      </c>
      <c r="AJ51" s="13">
        <f>AI51*VLOOKUP('Données projet'!$B$10,Paramètres!$A$1:$I$89,3,0)*VLOOKUP('Données projet'!$B$10,Paramètres!$A$1:$I$89,5,0)</f>
        <v>174.37055999999981</v>
      </c>
      <c r="AK51" s="13">
        <f t="shared" si="35"/>
        <v>44.067432817877425</v>
      </c>
      <c r="AL51" s="20">
        <f t="shared" si="4"/>
        <v>380.44617082446945</v>
      </c>
      <c r="AM51" s="59">
        <f t="shared" si="5"/>
        <v>673.77950415780276</v>
      </c>
      <c r="AN51" s="59">
        <f ca="1">AVERAGE(OFFSET($AM$3,0,0,'Données projet'!$E$10+1,1))-AVERAGE(OFFSET($H$3,0,0,'Données projet'!$E$10+1,1))</f>
        <v>191.94797389630673</v>
      </c>
      <c r="AO51" s="59">
        <f t="shared" si="36"/>
        <v>273.52540822767878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1.8026211175703992</v>
      </c>
      <c r="AV51" s="21">
        <f>EXP(-LN(2)/25)*AV50+(1-EXP(-LN(2)/25))/(LN(2)/25)*Calculateur!AQ51*Calculateur!AS51*VLOOKUP('Données projet'!$B$10,Paramètres!$A$1:$I$89,3,0)*0.475*44/12</f>
        <v>8.528596569071393</v>
      </c>
      <c r="AW51" s="21">
        <f>EXP(-LN(2)/2)*AW50+(1-EXP(-LN(2)/2))/(LN(2)/2)*AQ51*AT51*VLOOKUP('Données projet'!$B$10,Paramètres!$A$1:$I$89,3,0)*0.475*44/12</f>
        <v>4.5318482264979247E-2</v>
      </c>
      <c r="AX51" s="21">
        <f t="shared" si="6"/>
        <v>10.376536168906773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3.75</v>
      </c>
      <c r="BD51" s="12">
        <f>IF('Données projet'!$A$88&gt;35,BD50+BC51-BL50,IF(A51&lt;'Données projet'!$A$88,$BA$205^A51,IF(A51='Données projet'!$A$88,'Données projet'!$B$88,BD50+BC51-BL50)))</f>
        <v>161.5</v>
      </c>
      <c r="BE51" s="13">
        <f>BD51*VLOOKUP('Données projet'!$B$11,Paramètres!$A$1:$I$89,3,0)*VLOOKUP('Données projet'!$B$11,Paramètres!$A$1:$I$89,5,0)</f>
        <v>96.577000000000012</v>
      </c>
      <c r="BF51" s="13">
        <f t="shared" si="37"/>
        <v>26.144869330200713</v>
      </c>
      <c r="BG51" s="20">
        <f t="shared" si="7"/>
        <v>213.74058908343292</v>
      </c>
      <c r="BH51" s="59">
        <f t="shared" si="8"/>
        <v>507.07392241676621</v>
      </c>
      <c r="BI51" s="59">
        <f ca="1">AVERAGE(OFFSET($BH$3,0,0,'Données projet'!$E$11+1,1))-AVERAGE(OFFSET($H$3,0,0,'Données projet'!$E$11+1,1))</f>
        <v>72.647148358003676</v>
      </c>
      <c r="BJ51" s="59">
        <f t="shared" si="38"/>
        <v>87.231299224620898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0.89091400856747494</v>
      </c>
      <c r="BQ51" s="21">
        <f>EXP(-LN(2)/25)*BQ50+(1-EXP(-LN(2)/25))/(LN(2)/25)*Calculateur!BL51*Calculateur!BN51*VLOOKUP('Données projet'!$B$11,Paramètres!$A$1:$I$89,3,0)*0.475*44/12</f>
        <v>2.7508361874538578</v>
      </c>
      <c r="BR51" s="21">
        <f>EXP(-LN(2)/2)*BR50+(1-EXP(-LN(2)/2))/(LN(2)/2)*BL51*BO51*VLOOKUP('Données projet'!$B$11,Paramètres!$A$1:$I$89,3,0)*0.475*44/12</f>
        <v>4.4548752270913775E-3</v>
      </c>
      <c r="BS51" s="22">
        <f t="shared" si="9"/>
        <v>3.6462050712484237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10.7</v>
      </c>
      <c r="BY51" s="12">
        <f>IF('Données projet'!$A$114&gt;35,BY50+BX51-CG50,IF(A51&lt;'Données projet'!$A$114,$BV$205^A51,IF(A51='Données projet'!$A$114,'Données projet'!$B$114,BY50+BX51-CG50)))</f>
        <v>262.59999999999991</v>
      </c>
      <c r="BZ51" s="13">
        <f>BY51*VLOOKUP('Données projet'!$B$12,Paramètres!$A$1:$I$89,3,0)*VLOOKUP('Données projet'!$B$12,Paramètres!$A$1:$I$89,5,0)</f>
        <v>157.03479999999996</v>
      </c>
      <c r="CA51" s="13">
        <f t="shared" si="39"/>
        <v>40.172979873645495</v>
      </c>
      <c r="CB51" s="20">
        <f t="shared" si="10"/>
        <v>343.47021661326585</v>
      </c>
      <c r="CC51" s="59">
        <f t="shared" si="11"/>
        <v>636.80354994659911</v>
      </c>
      <c r="CD51" s="59">
        <f ca="1">AVERAGE(OFFSET($CC$3,0,0,'Données projet'!$E$12+1,1))-AVERAGE(OFFSET($H$3,0,0,'Données projet'!$E$12+1,1))</f>
        <v>165.39579887388538</v>
      </c>
      <c r="CE51" s="59">
        <f t="shared" si="40"/>
        <v>155.89639262545802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4.4252820918196702</v>
      </c>
      <c r="CM51" s="21">
        <f>EXP(-LN(2)/2)*CM50+(1-EXP(-LN(2)/2))/(LN(2)/2)*CG51*CJ51*VLOOKUP('Données projet'!$B$12,Paramètres!$A$1:$I$89,3,0)*0.475*44/12</f>
        <v>2.7109444795658109E-2</v>
      </c>
      <c r="CN51" s="22">
        <f t="shared" si="12"/>
        <v>4.4523915366153286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8.1</v>
      </c>
      <c r="CT51" s="12">
        <f>IF('Données projet'!$A$140&gt;35,CT50+CS51-DB50,IF(A51&lt;'Données projet'!$A$140,$CQ$205^A51,IF(A51='Données projet'!$A$140,'Données projet'!$B$140,CT50+CS51-DB50)))</f>
        <v>226.30000000000007</v>
      </c>
      <c r="CU51" s="17">
        <f>CT51*VLOOKUP('Données projet'!$B$13,Paramètres!$A$1:$I$89,3,0)*VLOOKUP('Données projet'!$B$13,Paramètres!$A$1:$I$89,5,0)</f>
        <v>176.51400000000007</v>
      </c>
      <c r="CV51" s="13">
        <f t="shared" si="41"/>
        <v>44.545734849936593</v>
      </c>
      <c r="CW51" s="20">
        <f t="shared" si="13"/>
        <v>385.01237153030632</v>
      </c>
      <c r="CX51" s="59">
        <f t="shared" si="14"/>
        <v>678.34570486363964</v>
      </c>
      <c r="CY51" s="59">
        <f ca="1">AVERAGE(OFFSET($CX$3,0,0,'Données projet'!$E$13+1,1))-AVERAGE(OFFSET($H$3,0,0,'Données projet'!$E$13+1,1))</f>
        <v>190.06335940156185</v>
      </c>
      <c r="CZ51" s="59">
        <f t="shared" si="42"/>
        <v>166.43663896839928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2.7115644595741881</v>
      </c>
      <c r="DH51" s="21">
        <f>EXP(-LN(2)/2)*DH50+(1-EXP(-LN(2)/2))/(LN(2)/2)*DB51*DE51*VLOOKUP('Données projet'!$B$13,Paramètres!$A$1:$I$89,3,0)*0.475*44/12</f>
        <v>1.0403122757691953E-2</v>
      </c>
      <c r="DI51" s="22">
        <f t="shared" si="15"/>
        <v>2.7219675823318803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8.3000000000000007</v>
      </c>
      <c r="DO51" s="12">
        <f>IF('Données projet'!$A$166&gt;35,DO50+DN51-DW50,IF(A51&lt;'Données projet'!$A$166,$DL$205^A51,IF(A51='Données projet'!$A$166,'Données projet'!$B$166,DO50+DN51-DW50)))</f>
        <v>182.40000000000003</v>
      </c>
      <c r="DP51" s="17">
        <f>DO51*VLOOKUP('Données projet'!$B$14,Paramètres!$A$1:$I$89,3,0)*VLOOKUP('Données projet'!$B$14,Paramètres!$A$1:$I$89,5,0)</f>
        <v>176.41728000000003</v>
      </c>
      <c r="DQ51" s="13">
        <f t="shared" si="43"/>
        <v>44.524166703747291</v>
      </c>
      <c r="DR51" s="20">
        <f t="shared" si="16"/>
        <v>384.80635300902651</v>
      </c>
      <c r="DS51" s="59">
        <f t="shared" si="17"/>
        <v>678.13968634235982</v>
      </c>
      <c r="DT51" s="59">
        <f ca="1">AVERAGE(OFFSET($DS$3,0,0,'Données projet'!$E$14+1,1))-AVERAGE(OFFSET($H$3,0,0,'Données projet'!$E$14+1,1))</f>
        <v>261.22357949323879</v>
      </c>
      <c r="DU51" s="59">
        <f t="shared" si="44"/>
        <v>163.41029152029387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2.0156489904969139</v>
      </c>
      <c r="EC51" s="21">
        <f>EXP(-LN(2)/2)*EC50+(1-EXP(-LN(2)/2))/(LN(2)/2)*DW51*DZ51*VLOOKUP('Données projet'!$B$14,Paramètres!$A$1:$I$89,3,0)*0.475*44/12</f>
        <v>1.2922264512882625E-2</v>
      </c>
      <c r="ED51" s="22">
        <f t="shared" si="18"/>
        <v>2.0285712550097967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7.0000000000000027</v>
      </c>
      <c r="EJ51" s="12">
        <f>IF('Données projet'!$A$192&gt;35,EJ50+EI51-ER50,IF(A51&lt;'Données projet'!$A$192,$EG$205^A51,IF(A51='Données projet'!$A$192,'Données projet'!$B$192,EJ50+EI51-ER50)))</f>
        <v>227.39999999999998</v>
      </c>
      <c r="EK51" s="17">
        <f>EJ51*VLOOKUP('Données projet'!$B$15,Paramètres!$A$1:$I$89,3,0)*VLOOKUP('Données projet'!$B$15,Paramètres!$A$1:$I$89,5,0)</f>
        <v>106.42319999999999</v>
      </c>
      <c r="EL51" s="13">
        <f t="shared" si="45"/>
        <v>28.486648146569141</v>
      </c>
      <c r="EM51" s="20">
        <f t="shared" si="19"/>
        <v>234.96798552194124</v>
      </c>
      <c r="EN51" s="59">
        <f t="shared" si="20"/>
        <v>528.30131885527453</v>
      </c>
      <c r="EO51" s="59">
        <f ca="1">AVERAGE(OFFSET($EN$3,0,0,'Données projet'!$E$15+1,1))-AVERAGE(OFFSET($H$3,0,0,'Données projet'!$E$15+1,1))</f>
        <v>123.60520571614535</v>
      </c>
      <c r="EP51" s="59">
        <f t="shared" si="46"/>
        <v>119.00926870519527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0.60723275402455879</v>
      </c>
      <c r="EW51" s="21">
        <f>EXP(-LN(2)/25)*EW50+(1-EXP(-LN(2)/25))/(LN(2)/25)*Calculateur!ER51*Calculateur!ET51*VLOOKUP('Données projet'!$B$15,Paramètres!$A$1:$I$89,3,0)*0.475*44/12</f>
        <v>2.8999576871815078</v>
      </c>
      <c r="EX51" s="21">
        <f>EXP(-LN(2)/2)*EX50+(1-EXP(-LN(2)/2))/(LN(2)/2)*ER51*EU51*VLOOKUP('Données projet'!$B$15,Paramètres!$A$1:$I$89,3,0)*0.475*44/12</f>
        <v>1.1940840802895597E-2</v>
      </c>
      <c r="EY51" s="22">
        <f t="shared" si="21"/>
        <v>3.5191312820089626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6</v>
      </c>
      <c r="FE51" s="12">
        <f>IF('Données projet'!$A$218&gt;35,FE50+FD51-FM50,IF(A51&lt;'Données projet'!$A$218,$FB$205^A51,IF(A51='Données projet'!$A$218,'Données projet'!$B$218,FE50+FD51-FM50)))</f>
        <v>179.99999999999997</v>
      </c>
      <c r="FF51" s="17">
        <f>FE51*VLOOKUP('Données projet'!$B$16,Paramètres!$A$1:$I$89,3,0)*VLOOKUP('Données projet'!$B$16,Paramètres!$A$1:$I$89,5,0)</f>
        <v>131.97599999999997</v>
      </c>
      <c r="FG51" s="13">
        <f t="shared" si="47"/>
        <v>34.452553259401945</v>
      </c>
      <c r="FH51" s="20">
        <f t="shared" si="22"/>
        <v>289.86306359345832</v>
      </c>
      <c r="FI51" s="59">
        <f t="shared" si="23"/>
        <v>583.19639692679164</v>
      </c>
      <c r="FJ51" s="59">
        <f ca="1">AVERAGE(OFFSET($FI$3,0,0,'Données projet'!$E$16+1,1))-AVERAGE(OFFSET($H$3,0,0,'Données projet'!$E$16+1,1))</f>
        <v>124.15919323713428</v>
      </c>
      <c r="FK51" s="59">
        <f t="shared" si="48"/>
        <v>157.85954678210715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0</v>
      </c>
      <c r="FR51" s="21">
        <f>EXP(-LN(2)/25)*FR50+(1-EXP(-LN(2)/25))/(LN(2)/25)*Calculateur!FM51*Calculateur!FO51*VLOOKUP('Données projet'!$B$16,Paramètres!$A$1:$I$89,3,0)*0.475*44/12</f>
        <v>3.0515066179852024</v>
      </c>
      <c r="FS51" s="21">
        <f>EXP(-LN(2)/2)*FS50+(1-EXP(-LN(2)/2))/(LN(2)/2)*FM51*FP51*VLOOKUP('Données projet'!$B$16,Paramètres!$A$1:$I$89,3,0)*0.475*44/12</f>
        <v>1.4408854974693842E-2</v>
      </c>
      <c r="FT51" s="22">
        <f t="shared" si="24"/>
        <v>3.0659154729598961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8.3000000000000007</v>
      </c>
      <c r="N52" s="13">
        <f>IF('Données projet'!$A$36&gt;35,N51+M52-V51,IF(A52&lt;'Données projet'!$A$36,$K$205^A52,IF(A52='Données projet'!$A$36,'Données projet'!$B$36,N51+M52-V51)))</f>
        <v>190.70000000000005</v>
      </c>
      <c r="O52" s="13">
        <f>N52*VLOOKUP('Données projet'!$B$9,Paramètres!$A$1:$I$89,3,0)*VLOOKUP('Données projet'!$B$9,Paramètres!$A$1:$I$89,5,0)</f>
        <v>172.54536000000004</v>
      </c>
      <c r="P52" s="13">
        <f t="shared" si="33"/>
        <v>43.65960552772448</v>
      </c>
      <c r="Q52" s="20">
        <f t="shared" si="53"/>
        <v>376.55698162745358</v>
      </c>
      <c r="R52" s="59">
        <f t="shared" si="0"/>
        <v>669.8903149607869</v>
      </c>
      <c r="S52" s="59">
        <f ca="1">AVERAGE(OFFSET($R$3,0,0,'Données projet'!$E$9+1,1))-AVERAGE(OFFSET($H$3,0,0,'Données projet'!$E$9+1,1))</f>
        <v>237.22177246688199</v>
      </c>
      <c r="T52" s="59">
        <f t="shared" si="34"/>
        <v>149.27472147904302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1.8340450942822148</v>
      </c>
      <c r="AB52" s="21">
        <f>EXP(-LN(2)/2)*AB51+(1-EXP(-LN(2)/2))/(LN(2)/2)*V52*Y52*VLOOKUP('Données projet'!$B$9,Paramètres!$A$1:$I$89,3,0)*0.475*44/12</f>
        <v>8.5479098417749009E-3</v>
      </c>
      <c r="AC52" s="22">
        <f t="shared" si="3"/>
        <v>1.8425930041239897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7.2</v>
      </c>
      <c r="AI52" s="13">
        <f>IF('Données projet'!$A$62&gt;35,AI51+AH52-AQ51,IF(A52&lt;'Données projet'!$A$62,$AF$205^A52,IF(A52='Données projet'!$A$62,'Données projet'!$B$62,AI51+AH52-AQ51)))</f>
        <v>206.79999999999976</v>
      </c>
      <c r="AJ52" s="13">
        <f>AI52*VLOOKUP('Données projet'!$B$10,Paramètres!$A$1:$I$89,3,0)*VLOOKUP('Données projet'!$B$10,Paramètres!$A$1:$I$89,5,0)</f>
        <v>180.66047999999981</v>
      </c>
      <c r="AK52" s="13">
        <f t="shared" si="35"/>
        <v>45.469099459918716</v>
      </c>
      <c r="AL52" s="20">
        <f t="shared" si="4"/>
        <v>393.8423508926914</v>
      </c>
      <c r="AM52" s="59">
        <f t="shared" si="5"/>
        <v>687.17568422602471</v>
      </c>
      <c r="AN52" s="59">
        <f ca="1">AVERAGE(OFFSET($AM$3,0,0,'Données projet'!$E$10+1,1))-AVERAGE(OFFSET($H$3,0,0,'Données projet'!$E$10+1,1))</f>
        <v>191.94797389630673</v>
      </c>
      <c r="AO52" s="59">
        <f t="shared" si="36"/>
        <v>273.52540822767878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1.7672728169451597</v>
      </c>
      <c r="AV52" s="21">
        <f>EXP(-LN(2)/25)*AV51+(1-EXP(-LN(2)/25))/(LN(2)/25)*Calculateur!AQ52*Calculateur!AS52*VLOOKUP('Données projet'!$B$10,Paramètres!$A$1:$I$89,3,0)*0.475*44/12</f>
        <v>8.2953816473907338</v>
      </c>
      <c r="AW52" s="21">
        <f>EXP(-LN(2)/2)*AW51+(1-EXP(-LN(2)/2))/(LN(2)/2)*AQ52*AT52*VLOOKUP('Données projet'!$B$10,Paramètres!$A$1:$I$89,3,0)*0.475*44/12</f>
        <v>3.2045006122649114E-2</v>
      </c>
      <c r="AX52" s="21">
        <f t="shared" si="6"/>
        <v>10.094699470458542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3.75</v>
      </c>
      <c r="BD52" s="12">
        <f>IF('Données projet'!$A$88&gt;35,BD51+BC52-BL51,IF(A52&lt;'Données projet'!$A$88,$BA$205^A52,IF(A52='Données projet'!$A$88,'Données projet'!$B$88,BD51+BC52-BL51)))</f>
        <v>165.25</v>
      </c>
      <c r="BE52" s="13">
        <f>BD52*VLOOKUP('Données projet'!$B$11,Paramètres!$A$1:$I$89,3,0)*VLOOKUP('Données projet'!$B$11,Paramètres!$A$1:$I$89,5,0)</f>
        <v>98.819500000000005</v>
      </c>
      <c r="BF52" s="13">
        <f t="shared" si="37"/>
        <v>26.680565623120266</v>
      </c>
      <c r="BG52" s="20">
        <f t="shared" si="7"/>
        <v>218.57928096026777</v>
      </c>
      <c r="BH52" s="59">
        <f t="shared" si="8"/>
        <v>511.91261429360111</v>
      </c>
      <c r="BI52" s="59">
        <f ca="1">AVERAGE(OFFSET($BH$3,0,0,'Données projet'!$E$11+1,1))-AVERAGE(OFFSET($H$3,0,0,'Données projet'!$E$11+1,1))</f>
        <v>72.647148358003676</v>
      </c>
      <c r="BJ52" s="59">
        <f t="shared" si="38"/>
        <v>87.231299224620898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0.87344372826335526</v>
      </c>
      <c r="BQ52" s="21">
        <f>EXP(-LN(2)/25)*BQ51+(1-EXP(-LN(2)/25))/(LN(2)/25)*Calculateur!BL52*Calculateur!BN52*VLOOKUP('Données projet'!$B$11,Paramètres!$A$1:$I$89,3,0)*0.475*44/12</f>
        <v>2.6756144272477442</v>
      </c>
      <c r="BR52" s="21">
        <f>EXP(-LN(2)/2)*BR51+(1-EXP(-LN(2)/2))/(LN(2)/2)*BL52*BO52*VLOOKUP('Données projet'!$B$11,Paramètres!$A$1:$I$89,3,0)*0.475*44/12</f>
        <v>3.1500724824162739E-3</v>
      </c>
      <c r="BS52" s="22">
        <f t="shared" si="9"/>
        <v>3.5522082279935159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10.7</v>
      </c>
      <c r="BY52" s="12">
        <f>IF('Données projet'!$A$114&gt;35,BY51+BX52-CG51,IF(A52&lt;'Données projet'!$A$114,$BV$205^A52,IF(A52='Données projet'!$A$114,'Données projet'!$B$114,BY51+BX52-CG51)))</f>
        <v>273.2999999999999</v>
      </c>
      <c r="BZ52" s="13">
        <f>BY52*VLOOKUP('Données projet'!$B$12,Paramètres!$A$1:$I$89,3,0)*VLOOKUP('Données projet'!$B$12,Paramètres!$A$1:$I$89,5,0)</f>
        <v>163.43339999999995</v>
      </c>
      <c r="CA52" s="13">
        <f t="shared" si="39"/>
        <v>41.615968833471683</v>
      </c>
      <c r="CB52" s="20">
        <f t="shared" si="10"/>
        <v>357.12765071829648</v>
      </c>
      <c r="CC52" s="59">
        <f t="shared" si="11"/>
        <v>650.46098405162979</v>
      </c>
      <c r="CD52" s="59">
        <f ca="1">AVERAGE(OFFSET($CC$3,0,0,'Données projet'!$E$12+1,1))-AVERAGE(OFFSET($H$3,0,0,'Données projet'!$E$12+1,1))</f>
        <v>165.39579887388538</v>
      </c>
      <c r="CE52" s="59">
        <f t="shared" si="40"/>
        <v>155.89639262545802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4.3042725203033907</v>
      </c>
      <c r="CM52" s="21">
        <f>EXP(-LN(2)/2)*CM51+(1-EXP(-LN(2)/2))/(LN(2)/2)*CG52*CJ52*VLOOKUP('Données projet'!$B$12,Paramètres!$A$1:$I$89,3,0)*0.475*44/12</f>
        <v>1.9169272249212208E-2</v>
      </c>
      <c r="CN52" s="22">
        <f t="shared" si="12"/>
        <v>4.323441792552603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8.1</v>
      </c>
      <c r="CT52" s="12">
        <f>IF('Données projet'!$A$140&gt;35,CT51+CS52-DB51,IF(A52&lt;'Données projet'!$A$140,$CQ$205^A52,IF(A52='Données projet'!$A$140,'Données projet'!$B$140,CT51+CS52-DB51)))</f>
        <v>234.40000000000006</v>
      </c>
      <c r="CU52" s="17">
        <f>CT52*VLOOKUP('Données projet'!$B$13,Paramètres!$A$1:$I$89,3,0)*VLOOKUP('Données projet'!$B$13,Paramètres!$A$1:$I$89,5,0)</f>
        <v>182.83200000000005</v>
      </c>
      <c r="CV52" s="13">
        <f t="shared" si="41"/>
        <v>45.951680399636224</v>
      </c>
      <c r="CW52" s="20">
        <f t="shared" si="13"/>
        <v>398.46491002936642</v>
      </c>
      <c r="CX52" s="59">
        <f t="shared" si="14"/>
        <v>691.79824336269974</v>
      </c>
      <c r="CY52" s="59">
        <f ca="1">AVERAGE(OFFSET($CX$3,0,0,'Données projet'!$E$13+1,1))-AVERAGE(OFFSET($H$3,0,0,'Données projet'!$E$13+1,1))</f>
        <v>190.06335940156185</v>
      </c>
      <c r="CZ52" s="59">
        <f t="shared" si="42"/>
        <v>166.43663896839928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2.6374165868321544</v>
      </c>
      <c r="DH52" s="21">
        <f>EXP(-LN(2)/2)*DH51+(1-EXP(-LN(2)/2))/(LN(2)/2)*DB52*DE52*VLOOKUP('Données projet'!$B$13,Paramètres!$A$1:$I$89,3,0)*0.475*44/12</f>
        <v>7.3561186474800774E-3</v>
      </c>
      <c r="DI52" s="22">
        <f t="shared" si="15"/>
        <v>2.6447727054796344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8.3000000000000007</v>
      </c>
      <c r="DO52" s="12">
        <f>IF('Données projet'!$A$166&gt;35,DO51+DN52-DW51,IF(A52&lt;'Données projet'!$A$166,$DL$205^A52,IF(A52='Données projet'!$A$166,'Données projet'!$B$166,DO51+DN52-DW51)))</f>
        <v>190.70000000000005</v>
      </c>
      <c r="DP52" s="17">
        <f>DO52*VLOOKUP('Données projet'!$B$14,Paramètres!$A$1:$I$89,3,0)*VLOOKUP('Données projet'!$B$14,Paramètres!$A$1:$I$89,5,0)</f>
        <v>184.44504000000003</v>
      </c>
      <c r="DQ52" s="13">
        <f t="shared" si="43"/>
        <v>46.309717231989865</v>
      </c>
      <c r="DR52" s="20">
        <f t="shared" si="16"/>
        <v>401.89786884571572</v>
      </c>
      <c r="DS52" s="59">
        <f t="shared" si="17"/>
        <v>695.23120217904898</v>
      </c>
      <c r="DT52" s="59">
        <f ca="1">AVERAGE(OFFSET($DS$3,0,0,'Données projet'!$E$14+1,1))-AVERAGE(OFFSET($H$3,0,0,'Données projet'!$E$14+1,1))</f>
        <v>261.22357949323879</v>
      </c>
      <c r="DU52" s="59">
        <f t="shared" si="44"/>
        <v>163.41029152029387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1.9605309628534022</v>
      </c>
      <c r="EC52" s="21">
        <f>EXP(-LN(2)/2)*EC51+(1-EXP(-LN(2)/2))/(LN(2)/2)*DW52*DZ52*VLOOKUP('Données projet'!$B$14,Paramètres!$A$1:$I$89,3,0)*0.475*44/12</f>
        <v>9.1374208653455819E-3</v>
      </c>
      <c r="ED52" s="22">
        <f t="shared" si="18"/>
        <v>1.9696683837187479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7.0000000000000027</v>
      </c>
      <c r="EJ52" s="12">
        <f>IF('Données projet'!$A$192&gt;35,EJ51+EI52-ER51,IF(A52&lt;'Données projet'!$A$192,$EG$205^A52,IF(A52='Données projet'!$A$192,'Données projet'!$B$192,EJ51+EI52-ER51)))</f>
        <v>234.39999999999998</v>
      </c>
      <c r="EK52" s="17">
        <f>EJ52*VLOOKUP('Données projet'!$B$15,Paramètres!$A$1:$I$89,3,0)*VLOOKUP('Données projet'!$B$15,Paramètres!$A$1:$I$89,5,0)</f>
        <v>109.69919999999999</v>
      </c>
      <c r="EL52" s="13">
        <f t="shared" si="45"/>
        <v>29.260102455780586</v>
      </c>
      <c r="EM52" s="20">
        <f t="shared" si="19"/>
        <v>242.02078511048447</v>
      </c>
      <c r="EN52" s="59">
        <f t="shared" si="20"/>
        <v>535.35411844381781</v>
      </c>
      <c r="EO52" s="59">
        <f ca="1">AVERAGE(OFFSET($EN$3,0,0,'Données projet'!$E$15+1,1))-AVERAGE(OFFSET($H$3,0,0,'Données projet'!$E$15+1,1))</f>
        <v>123.60520571614535</v>
      </c>
      <c r="EP52" s="59">
        <f t="shared" si="46"/>
        <v>119.00926870519527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0.59532529009354562</v>
      </c>
      <c r="EW52" s="21">
        <f>EXP(-LN(2)/25)*EW51+(1-EXP(-LN(2)/25))/(LN(2)/25)*Calculateur!ER52*Calculateur!ET52*VLOOKUP('Données projet'!$B$15,Paramètres!$A$1:$I$89,3,0)*0.475*44/12</f>
        <v>2.8206581917233828</v>
      </c>
      <c r="EX52" s="21">
        <f>EXP(-LN(2)/2)*EX51+(1-EXP(-LN(2)/2))/(LN(2)/2)*ER52*EU52*VLOOKUP('Données projet'!$B$15,Paramètres!$A$1:$I$89,3,0)*0.475*44/12</f>
        <v>8.443449504796495E-3</v>
      </c>
      <c r="EY52" s="22">
        <f t="shared" si="21"/>
        <v>3.424426931321725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6</v>
      </c>
      <c r="FE52" s="12">
        <f>IF('Données projet'!$A$218&gt;35,FE51+FD52-FM51,IF(A52&lt;'Données projet'!$A$218,$FB$205^A52,IF(A52='Données projet'!$A$218,'Données projet'!$B$218,FE51+FD52-FM51)))</f>
        <v>185.99999999999997</v>
      </c>
      <c r="FF52" s="17">
        <f>FE52*VLOOKUP('Données projet'!$B$16,Paramètres!$A$1:$I$89,3,0)*VLOOKUP('Données projet'!$B$16,Paramètres!$A$1:$I$89,5,0)</f>
        <v>136.37519999999998</v>
      </c>
      <c r="FG52" s="13">
        <f t="shared" si="47"/>
        <v>35.465351191683979</v>
      </c>
      <c r="FH52" s="20">
        <f t="shared" si="22"/>
        <v>299.28895999218292</v>
      </c>
      <c r="FI52" s="59">
        <f t="shared" si="23"/>
        <v>592.62229332551624</v>
      </c>
      <c r="FJ52" s="59">
        <f ca="1">AVERAGE(OFFSET($FI$3,0,0,'Données projet'!$E$16+1,1))-AVERAGE(OFFSET($H$3,0,0,'Données projet'!$E$16+1,1))</f>
        <v>124.15919323713428</v>
      </c>
      <c r="FK52" s="59">
        <f t="shared" si="48"/>
        <v>157.85954678210715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0</v>
      </c>
      <c r="FR52" s="21">
        <f>EXP(-LN(2)/25)*FR51+(1-EXP(-LN(2)/25))/(LN(2)/25)*Calculateur!FM52*Calculateur!FO52*VLOOKUP('Données projet'!$B$16,Paramètres!$A$1:$I$89,3,0)*0.475*44/12</f>
        <v>2.9680630090446383</v>
      </c>
      <c r="FS52" s="21">
        <f>EXP(-LN(2)/2)*FS51+(1-EXP(-LN(2)/2))/(LN(2)/2)*FM52*FP52*VLOOKUP('Données projet'!$B$16,Paramètres!$A$1:$I$89,3,0)*0.475*44/12</f>
        <v>1.0188599061739535E-2</v>
      </c>
      <c r="FT52" s="22">
        <f t="shared" si="24"/>
        <v>2.9782516081063779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199</v>
      </c>
      <c r="L53" s="12">
        <f>VLOOKUP(A53,'Données projet'!$A$35:$I$55,9,0)</f>
        <v>8.3000000000000007</v>
      </c>
      <c r="M53" s="12">
        <f t="array" ref="M53">INDEX(L:L,MIN(IF(ISNUMBER(L53:L249),ROW(L53:L249),"")))</f>
        <v>8.3000000000000007</v>
      </c>
      <c r="N53" s="13">
        <f>IF('Données projet'!$A$36&gt;35,N52+M53-V52,IF(A53&lt;'Données projet'!$A$36,$K$205^A53,IF(A53='Données projet'!$A$36,'Données projet'!$B$36,N52+M53-V52)))</f>
        <v>199.00000000000006</v>
      </c>
      <c r="O53" s="13">
        <f>N53*VLOOKUP('Données projet'!$B$9,Paramètres!$A$1:$I$89,3,0)*VLOOKUP('Données projet'!$B$9,Paramètres!$A$1:$I$89,5,0)</f>
        <v>180.05520000000004</v>
      </c>
      <c r="P53" s="13">
        <f t="shared" si="33"/>
        <v>45.334466930398399</v>
      </c>
      <c r="Q53" s="20">
        <f t="shared" si="53"/>
        <v>392.55366990377729</v>
      </c>
      <c r="R53" s="59">
        <f t="shared" si="0"/>
        <v>685.88700323711055</v>
      </c>
      <c r="S53" s="59">
        <f ca="1">AVERAGE(OFFSET($R$3,0,0,'Données projet'!$E$9+1,1))-AVERAGE(OFFSET($H$3,0,0,'Données projet'!$E$9+1,1))</f>
        <v>237.22177246688199</v>
      </c>
      <c r="T53" s="59">
        <f t="shared" si="34"/>
        <v>149.27472147904302</v>
      </c>
      <c r="U53" s="15">
        <f>IF(ISNA(VLOOKUP(A53,'Données projet'!$A$35:$I$55,3,0)),0,VLOOKUP(A53,'Données projet'!$A$35:$I$55,3,0))</f>
        <v>3</v>
      </c>
      <c r="V53" s="15">
        <f>IF(ISNA(VLOOKUP(A53,'Données projet'!$A$35:$I$55,4,0)),0,VLOOKUP(A53,'Données projet'!$A$35:$I$55,4,0))</f>
        <v>42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1.7838930347308279</v>
      </c>
      <c r="AB53" s="21">
        <f>EXP(-LN(2)/2)*AB52+(1-EXP(-LN(2)/2))/(LN(2)/2)*V53*Y53*VLOOKUP('Données projet'!$B$9,Paramètres!$A$1:$I$89,3,0)*0.475*44/12</f>
        <v>6.044285014090261E-3</v>
      </c>
      <c r="AC53" s="22">
        <f t="shared" si="3"/>
        <v>1.7899373197449182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214</v>
      </c>
      <c r="AG53" s="12">
        <f>VLOOKUP(A53,'Données projet'!$A$61:$I$81,9,0)</f>
        <v>7.2</v>
      </c>
      <c r="AH53" s="12">
        <f t="array" ref="AH53">INDEX(AG:AG,MIN(IF(ISNUMBER(AG53:AG249),ROW(AG53:AG249),"")))</f>
        <v>7.2</v>
      </c>
      <c r="AI53" s="13">
        <f>IF('Données projet'!$A$62&gt;35,AI52+AH53-AQ52,IF(A53&lt;'Données projet'!$A$62,$AF$205^A53,IF(A53='Données projet'!$A$62,'Données projet'!$B$62,AI52+AH53-AQ52)))</f>
        <v>213.99999999999974</v>
      </c>
      <c r="AJ53" s="13">
        <f>AI53*VLOOKUP('Données projet'!$B$10,Paramètres!$A$1:$I$89,3,0)*VLOOKUP('Données projet'!$B$10,Paramètres!$A$1:$I$89,5,0)</f>
        <v>186.9503999999998</v>
      </c>
      <c r="AK53" s="13">
        <f t="shared" si="35"/>
        <v>46.86509597661761</v>
      </c>
      <c r="AL53" s="20">
        <f t="shared" si="4"/>
        <v>407.2286554926086</v>
      </c>
      <c r="AM53" s="59">
        <f t="shared" si="5"/>
        <v>700.56198882594185</v>
      </c>
      <c r="AN53" s="59">
        <f ca="1">AVERAGE(OFFSET($AM$3,0,0,'Données projet'!$E$10+1,1))-AVERAGE(OFFSET($H$3,0,0,'Données projet'!$E$10+1,1))</f>
        <v>191.94797389630673</v>
      </c>
      <c r="AO53" s="59">
        <f t="shared" si="36"/>
        <v>273.52540822767878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50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1.7326176749348468</v>
      </c>
      <c r="AV53" s="21">
        <f>EXP(-LN(2)/25)*AV52+(1-EXP(-LN(2)/25))/(LN(2)/25)*Calculateur!AQ53*Calculateur!AS53*VLOOKUP('Données projet'!$B$10,Paramètres!$A$1:$I$89,3,0)*0.475*44/12</f>
        <v>8.0685440000076731</v>
      </c>
      <c r="AW53" s="21">
        <f>EXP(-LN(2)/2)*AW52+(1-EXP(-LN(2)/2))/(LN(2)/2)*AQ53*AT53*VLOOKUP('Données projet'!$B$10,Paramètres!$A$1:$I$89,3,0)*0.475*44/12</f>
        <v>2.2659241132489624E-2</v>
      </c>
      <c r="AX53" s="21">
        <f t="shared" si="6"/>
        <v>9.8238209160750092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3.75</v>
      </c>
      <c r="BD53" s="12">
        <f>IF('Données projet'!$A$88&gt;35,BD52+BC53-BL52,IF(A53&lt;'Données projet'!$A$88,$BA$205^A53,IF(A53='Données projet'!$A$88,'Données projet'!$B$88,BD52+BC53-BL52)))</f>
        <v>169</v>
      </c>
      <c r="BE53" s="13">
        <f>BD53*VLOOKUP('Données projet'!$B$11,Paramètres!$A$1:$I$89,3,0)*VLOOKUP('Données projet'!$B$11,Paramètres!$A$1:$I$89,5,0)</f>
        <v>101.06200000000001</v>
      </c>
      <c r="BF53" s="13">
        <f t="shared" si="37"/>
        <v>27.214848638810562</v>
      </c>
      <c r="BG53" s="20">
        <f t="shared" si="7"/>
        <v>223.41551137926174</v>
      </c>
      <c r="BH53" s="59">
        <f t="shared" si="8"/>
        <v>516.74884471259509</v>
      </c>
      <c r="BI53" s="59">
        <f ca="1">AVERAGE(OFFSET($BH$3,0,0,'Données projet'!$E$11+1,1))-AVERAGE(OFFSET($H$3,0,0,'Données projet'!$E$11+1,1))</f>
        <v>72.647148358003676</v>
      </c>
      <c r="BJ53" s="59">
        <f t="shared" si="38"/>
        <v>87.231299224620898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0.8563160295001806</v>
      </c>
      <c r="BQ53" s="21">
        <f>EXP(-LN(2)/25)*BQ52+(1-EXP(-LN(2)/25))/(LN(2)/25)*Calculateur!BL53*Calculateur!BN53*VLOOKUP('Données projet'!$B$11,Paramètres!$A$1:$I$89,3,0)*0.475*44/12</f>
        <v>2.6024496100302072</v>
      </c>
      <c r="BR53" s="21">
        <f>EXP(-LN(2)/2)*BR52+(1-EXP(-LN(2)/2))/(LN(2)/2)*BL53*BO53*VLOOKUP('Données projet'!$B$11,Paramètres!$A$1:$I$89,3,0)*0.475*44/12</f>
        <v>2.2274376135456887E-3</v>
      </c>
      <c r="BS53" s="22">
        <f t="shared" si="9"/>
        <v>3.4609930771439337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284</v>
      </c>
      <c r="BW53" s="12">
        <f>VLOOKUP(A53,'Données projet'!$A$113:$I$133,9,0)</f>
        <v>10.7</v>
      </c>
      <c r="BX53" s="12">
        <f t="array" ref="BX53">INDEX(BW:BW,MIN(IF(ISNUMBER(BW53:BW249),ROW(BW53:BW249),"")))</f>
        <v>10.7</v>
      </c>
      <c r="BY53" s="12">
        <f>IF('Données projet'!$A$114&gt;35,BY52+BX53-CG52,IF(A53&lt;'Données projet'!$A$114,$BV$205^A53,IF(A53='Données projet'!$A$114,'Données projet'!$B$114,BY52+BX53-CG52)))</f>
        <v>283.99999999999989</v>
      </c>
      <c r="BZ53" s="13">
        <f>BY53*VLOOKUP('Données projet'!$B$12,Paramètres!$A$1:$I$89,3,0)*VLOOKUP('Données projet'!$B$12,Paramètres!$A$1:$I$89,5,0)</f>
        <v>169.83199999999997</v>
      </c>
      <c r="CA53" s="13">
        <f t="shared" si="39"/>
        <v>43.052395009050464</v>
      </c>
      <c r="CB53" s="20">
        <f t="shared" si="10"/>
        <v>370.7736546407628</v>
      </c>
      <c r="CC53" s="59">
        <f t="shared" si="11"/>
        <v>664.10698797409611</v>
      </c>
      <c r="CD53" s="59">
        <f ca="1">AVERAGE(OFFSET($CC$3,0,0,'Données projet'!$E$12+1,1))-AVERAGE(OFFSET($H$3,0,0,'Données projet'!$E$12+1,1))</f>
        <v>165.39579887388538</v>
      </c>
      <c r="CE53" s="59">
        <f t="shared" si="40"/>
        <v>155.89639262545802</v>
      </c>
      <c r="CF53" s="15">
        <f>IF(ISNA(VLOOKUP(A53,'Données projet'!$A$113:$I$133,3,0)),0,VLOOKUP(A53,'Données projet'!$A$113:$I$133,3,0))</f>
        <v>3</v>
      </c>
      <c r="CG53" s="15">
        <f>IF(ISNA(VLOOKUP(A53,'Données projet'!$A$113:$I$133,4,0)),0,VLOOKUP(A53,'Données projet'!$A$113:$I$133,4,0))</f>
        <v>56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4.18657196188384</v>
      </c>
      <c r="CM53" s="21">
        <f>EXP(-LN(2)/2)*CM52+(1-EXP(-LN(2)/2))/(LN(2)/2)*CG53*CJ53*VLOOKUP('Données projet'!$B$12,Paramètres!$A$1:$I$89,3,0)*0.475*44/12</f>
        <v>1.3554722397829054E-2</v>
      </c>
      <c r="CN53" s="22">
        <f t="shared" si="12"/>
        <v>4.2001266842816687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8.1</v>
      </c>
      <c r="CT53" s="12">
        <f>IF('Données projet'!$A$140&gt;35,CT52+CS53-DB52,IF(A53&lt;'Données projet'!$A$140,$CQ$205^A53,IF(A53='Données projet'!$A$140,'Données projet'!$B$140,CT52+CS53-DB52)))</f>
        <v>242.50000000000006</v>
      </c>
      <c r="CU53" s="17">
        <f>CT53*VLOOKUP('Données projet'!$B$13,Paramètres!$A$1:$I$89,3,0)*VLOOKUP('Données projet'!$B$13,Paramètres!$A$1:$I$89,5,0)</f>
        <v>189.15000000000006</v>
      </c>
      <c r="CV53" s="13">
        <f t="shared" si="41"/>
        <v>47.351980908861961</v>
      </c>
      <c r="CW53" s="20">
        <f t="shared" si="13"/>
        <v>411.90761674960135</v>
      </c>
      <c r="CX53" s="59">
        <f t="shared" si="14"/>
        <v>705.24095008293466</v>
      </c>
      <c r="CY53" s="59">
        <f ca="1">AVERAGE(OFFSET($CX$3,0,0,'Données projet'!$E$13+1,1))-AVERAGE(OFFSET($H$3,0,0,'Données projet'!$E$13+1,1))</f>
        <v>190.06335940156185</v>
      </c>
      <c r="CZ53" s="59">
        <f t="shared" si="42"/>
        <v>166.43663896839928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2.5652962915695188</v>
      </c>
      <c r="DH53" s="21">
        <f>EXP(-LN(2)/2)*DH52+(1-EXP(-LN(2)/2))/(LN(2)/2)*DB53*DE53*VLOOKUP('Données projet'!$B$13,Paramètres!$A$1:$I$89,3,0)*0.475*44/12</f>
        <v>5.2015613788459775E-3</v>
      </c>
      <c r="DI53" s="22">
        <f t="shared" si="15"/>
        <v>2.5704978529483649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199</v>
      </c>
      <c r="DM53" s="12">
        <f>VLOOKUP(A53,'Données projet'!$A$165:$I$185,9,0)</f>
        <v>8.3000000000000007</v>
      </c>
      <c r="DN53" s="12">
        <f t="array" ref="DN53">INDEX(DM:DM,MIN(IF(ISNUMBER(DM53:DM249),ROW(DM53:DM249),"")))</f>
        <v>8.3000000000000007</v>
      </c>
      <c r="DO53" s="12">
        <f>IF('Données projet'!$A$166&gt;35,DO52+DN53-DW52,IF(A53&lt;'Données projet'!$A$166,$DL$205^A53,IF(A53='Données projet'!$A$166,'Données projet'!$B$166,DO52+DN53-DW52)))</f>
        <v>199.00000000000006</v>
      </c>
      <c r="DP53" s="17">
        <f>DO53*VLOOKUP('Données projet'!$B$14,Paramètres!$A$1:$I$89,3,0)*VLOOKUP('Données projet'!$B$14,Paramètres!$A$1:$I$89,5,0)</f>
        <v>192.47280000000006</v>
      </c>
      <c r="DQ53" s="13">
        <f t="shared" si="43"/>
        <v>48.086241710923829</v>
      </c>
      <c r="DR53" s="20">
        <f t="shared" si="16"/>
        <v>418.97366431319239</v>
      </c>
      <c r="DS53" s="59">
        <f t="shared" si="17"/>
        <v>712.3069976465257</v>
      </c>
      <c r="DT53" s="59">
        <f ca="1">AVERAGE(OFFSET($DS$3,0,0,'Données projet'!$E$14+1,1))-AVERAGE(OFFSET($H$3,0,0,'Données projet'!$E$14+1,1))</f>
        <v>261.22357949323879</v>
      </c>
      <c r="DU53" s="59">
        <f t="shared" si="44"/>
        <v>163.41029152029387</v>
      </c>
      <c r="DV53" s="15">
        <f>IF(ISNA(VLOOKUP(A53,'Données projet'!$A$165:$I$185,3,0)),0,VLOOKUP(A53,'Données projet'!$A$165:$I$185,3,0))</f>
        <v>3</v>
      </c>
      <c r="DW53" s="15">
        <f>IF(ISNA(VLOOKUP(A53,'Données projet'!$A$165:$I$185,4,0)),0,VLOOKUP(A53,'Données projet'!$A$165:$I$185,4,0))</f>
        <v>42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1.9069201405743335</v>
      </c>
      <c r="EC53" s="21">
        <f>EXP(-LN(2)/2)*EC52+(1-EXP(-LN(2)/2))/(LN(2)/2)*DW53*DZ53*VLOOKUP('Données projet'!$B$14,Paramètres!$A$1:$I$89,3,0)*0.475*44/12</f>
        <v>6.4611322564413123E-3</v>
      </c>
      <c r="ED53" s="22">
        <f t="shared" si="18"/>
        <v>1.9133812728307749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241.4</v>
      </c>
      <c r="EH53" s="12">
        <f>VLOOKUP(A53,'Données projet'!$A$191:$I$211,9,0)</f>
        <v>7.0000000000000027</v>
      </c>
      <c r="EI53" s="12">
        <f t="array" ref="EI53">INDEX(EH:EH,MIN(IF(ISNUMBER(EH53:EH249),ROW(EH53:EH249),"")))</f>
        <v>7.0000000000000027</v>
      </c>
      <c r="EJ53" s="12">
        <f>IF('Données projet'!$A$192&gt;35,EJ52+EI53-ER52,IF(A53&lt;'Données projet'!$A$192,$EG$205^A53,IF(A53='Données projet'!$A$192,'Données projet'!$B$192,EJ52+EI53-ER52)))</f>
        <v>241.39999999999998</v>
      </c>
      <c r="EK53" s="17">
        <f>EJ53*VLOOKUP('Données projet'!$B$15,Paramètres!$A$1:$I$89,3,0)*VLOOKUP('Données projet'!$B$15,Paramètres!$A$1:$I$89,5,0)</f>
        <v>112.97519999999999</v>
      </c>
      <c r="EL53" s="13">
        <f t="shared" si="45"/>
        <v>30.030872399306435</v>
      </c>
      <c r="EM53" s="20">
        <f t="shared" si="19"/>
        <v>249.06890942879204</v>
      </c>
      <c r="EN53" s="59">
        <f t="shared" si="20"/>
        <v>542.4022427621253</v>
      </c>
      <c r="EO53" s="59">
        <f ca="1">AVERAGE(OFFSET($EN$3,0,0,'Données projet'!$E$15+1,1))-AVERAGE(OFFSET($H$3,0,0,'Données projet'!$E$15+1,1))</f>
        <v>123.60520571614535</v>
      </c>
      <c r="EP53" s="59">
        <f t="shared" si="46"/>
        <v>119.00926870519527</v>
      </c>
      <c r="EQ53" s="15">
        <f>IF(ISNA(VLOOKUP(A53,'Données projet'!$A$191:$I$211,3,0)),0,VLOOKUP(A53,'Données projet'!$A$191:$I$211,3,0))</f>
        <v>4</v>
      </c>
      <c r="ER53" s="15">
        <f>IF(ISNA(VLOOKUP(A53,'Données projet'!$A$191:$I$211,4,0)),0,VLOOKUP(A53,'Données projet'!$A$191:$I$211,4,0))</f>
        <v>46.3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0.58365132426738375</v>
      </c>
      <c r="EW53" s="21">
        <f>EXP(-LN(2)/25)*EW52+(1-EXP(-LN(2)/25))/(LN(2)/25)*Calculateur!ER53*Calculateur!ET53*VLOOKUP('Données projet'!$B$15,Paramètres!$A$1:$I$89,3,0)*0.475*44/12</f>
        <v>2.7435271451387395</v>
      </c>
      <c r="EX53" s="21">
        <f>EXP(-LN(2)/2)*EX52+(1-EXP(-LN(2)/2))/(LN(2)/2)*ER53*EU53*VLOOKUP('Données projet'!$B$15,Paramètres!$A$1:$I$89,3,0)*0.475*44/12</f>
        <v>5.9704204014477983E-3</v>
      </c>
      <c r="EY53" s="22">
        <f t="shared" si="21"/>
        <v>3.3331488898075712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192</v>
      </c>
      <c r="FC53" s="12">
        <f>VLOOKUP(A53,'Données projet'!$A$217:$I$237,9,0)</f>
        <v>6</v>
      </c>
      <c r="FD53" s="12">
        <f t="array" ref="FD53">INDEX(FC:FC,MIN(IF(ISNUMBER(FC53:FC249),ROW(FC53:FC249),"")))</f>
        <v>6</v>
      </c>
      <c r="FE53" s="12">
        <f>IF('Données projet'!$A$218&gt;35,FE52+FD53-FM52,IF(A53&lt;'Données projet'!$A$218,$FB$205^A53,IF(A53='Données projet'!$A$218,'Données projet'!$B$218,FE52+FD53-FM52)))</f>
        <v>191.99999999999997</v>
      </c>
      <c r="FF53" s="17">
        <f>FE53*VLOOKUP('Données projet'!$B$16,Paramètres!$A$1:$I$89,3,0)*VLOOKUP('Données projet'!$B$16,Paramètres!$A$1:$I$89,5,0)</f>
        <v>140.77439999999999</v>
      </c>
      <c r="FG53" s="13">
        <f t="shared" si="47"/>
        <v>36.474352666172102</v>
      </c>
      <c r="FH53" s="20">
        <f t="shared" si="22"/>
        <v>308.70824422691641</v>
      </c>
      <c r="FI53" s="59">
        <f t="shared" si="23"/>
        <v>602.04157756024972</v>
      </c>
      <c r="FJ53" s="59">
        <f ca="1">AVERAGE(OFFSET($FI$3,0,0,'Données projet'!$E$16+1,1))-AVERAGE(OFFSET($H$3,0,0,'Données projet'!$E$16+1,1))</f>
        <v>124.15919323713428</v>
      </c>
      <c r="FK53" s="59">
        <f t="shared" si="48"/>
        <v>157.85954678210715</v>
      </c>
      <c r="FL53" s="15">
        <f>IF(ISNA(VLOOKUP(A53,'Données projet'!$A$217:$I$237,3,0)),0,VLOOKUP(A53,'Données projet'!$A$217:$I$237,3,0))</f>
        <v>4</v>
      </c>
      <c r="FM53" s="15">
        <f>IF(ISNA(VLOOKUP(A53,'Données projet'!$A$217:$I$237,4,0)),0,VLOOKUP(A53,'Données projet'!$A$217:$I$237,4,0))</f>
        <v>31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0</v>
      </c>
      <c r="FR53" s="21">
        <f>EXP(-LN(2)/25)*FR52+(1-EXP(-LN(2)/25))/(LN(2)/25)*Calculateur!FM53*Calculateur!FO53*VLOOKUP('Données projet'!$B$16,Paramètres!$A$1:$I$89,3,0)*0.475*44/12</f>
        <v>2.8869011699786626</v>
      </c>
      <c r="FS53" s="21">
        <f>EXP(-LN(2)/2)*FS52+(1-EXP(-LN(2)/2))/(LN(2)/2)*FM53*FP53*VLOOKUP('Données projet'!$B$16,Paramètres!$A$1:$I$89,3,0)*0.475*44/12</f>
        <v>7.2044274873469209E-3</v>
      </c>
      <c r="FT53" s="22">
        <f t="shared" si="24"/>
        <v>2.8941055974660097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7.8</v>
      </c>
      <c r="N54" s="13">
        <f>IF('Données projet'!$A$36&gt;35,N53+M54-V53,IF(A54&lt;'Données projet'!$A$36,$K$205^A54,IF(A54='Données projet'!$A$36,'Données projet'!$B$36,N53+M54-V53)))</f>
        <v>164.80000000000007</v>
      </c>
      <c r="O54" s="13">
        <f>N54*VLOOKUP('Données projet'!$B$9,Paramètres!$A$1:$I$89,3,0)*VLOOKUP('Données projet'!$B$9,Paramètres!$A$1:$I$89,5,0)</f>
        <v>149.11104000000006</v>
      </c>
      <c r="P54" s="13">
        <f t="shared" si="33"/>
        <v>38.376496436982386</v>
      </c>
      <c r="Q54" s="20">
        <f t="shared" si="53"/>
        <v>326.54079262774445</v>
      </c>
      <c r="R54" s="59">
        <f t="shared" si="0"/>
        <v>619.87412596107777</v>
      </c>
      <c r="S54" s="59">
        <f ca="1">AVERAGE(OFFSET($R$3,0,0,'Données projet'!$E$9+1,1))-AVERAGE(OFFSET($H$3,0,0,'Données projet'!$E$9+1,1))</f>
        <v>237.22177246688199</v>
      </c>
      <c r="T54" s="59">
        <f t="shared" si="34"/>
        <v>149.27472147904302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1.735112385885256</v>
      </c>
      <c r="AB54" s="21">
        <f>EXP(-LN(2)/2)*AB53+(1-EXP(-LN(2)/2))/(LN(2)/2)*V54*Y54*VLOOKUP('Données projet'!$B$9,Paramètres!$A$1:$I$89,3,0)*0.475*44/12</f>
        <v>4.2739549208874504E-3</v>
      </c>
      <c r="AC54" s="22">
        <f t="shared" si="3"/>
        <v>1.7393863408061434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5.6</v>
      </c>
      <c r="AI54" s="13">
        <f>IF('Données projet'!$A$62&gt;35,AI53+AH54-AQ53,IF(A54&lt;'Données projet'!$A$62,$AF$205^A54,IF(A54='Données projet'!$A$62,'Données projet'!$B$62,AI53+AH54-AQ53)))</f>
        <v>169.59999999999974</v>
      </c>
      <c r="AJ54" s="13">
        <f>AI54*VLOOKUP('Données projet'!$B$10,Paramètres!$A$1:$I$89,3,0)*VLOOKUP('Données projet'!$B$10,Paramètres!$A$1:$I$89,5,0)</f>
        <v>148.16255999999979</v>
      </c>
      <c r="AK54" s="13">
        <f t="shared" si="35"/>
        <v>38.160721728430708</v>
      </c>
      <c r="AL54" s="20">
        <f t="shared" si="4"/>
        <v>324.51304901034973</v>
      </c>
      <c r="AM54" s="59">
        <f t="shared" si="5"/>
        <v>617.84638234368299</v>
      </c>
      <c r="AN54" s="59">
        <f ca="1">AVERAGE(OFFSET($AM$3,0,0,'Données projet'!$E$10+1,1))-AVERAGE(OFFSET($H$3,0,0,'Données projet'!$E$10+1,1))</f>
        <v>191.94797389630673</v>
      </c>
      <c r="AO54" s="59">
        <f t="shared" si="36"/>
        <v>273.52540822767878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1.6986420991218065</v>
      </c>
      <c r="AV54" s="21">
        <f>EXP(-LN(2)/25)*AV53+(1-EXP(-LN(2)/25))/(LN(2)/25)*Calculateur!AQ54*Calculateur!AS54*VLOOKUP('Données projet'!$B$10,Paramètres!$A$1:$I$89,3,0)*0.475*44/12</f>
        <v>7.847909240021175</v>
      </c>
      <c r="AW54" s="21">
        <f>EXP(-LN(2)/2)*AW53+(1-EXP(-LN(2)/2))/(LN(2)/2)*AQ54*AT54*VLOOKUP('Données projet'!$B$10,Paramètres!$A$1:$I$89,3,0)*0.475*44/12</f>
        <v>1.6022503061324557E-2</v>
      </c>
      <c r="AX54" s="21">
        <f t="shared" si="6"/>
        <v>9.562573842204305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3.75</v>
      </c>
      <c r="BD54" s="12">
        <f>IF('Données projet'!$A$88&gt;35,BD53+BC54-BL53,IF(A54&lt;'Données projet'!$A$88,$BA$205^A54,IF(A54='Données projet'!$A$88,'Données projet'!$B$88,BD53+BC54-BL53)))</f>
        <v>172.75</v>
      </c>
      <c r="BE54" s="13">
        <f>BD54*VLOOKUP('Données projet'!$B$11,Paramètres!$A$1:$I$89,3,0)*VLOOKUP('Données projet'!$B$11,Paramètres!$A$1:$I$89,5,0)</f>
        <v>103.3045</v>
      </c>
      <c r="BF54" s="13">
        <f t="shared" si="37"/>
        <v>27.747753347866851</v>
      </c>
      <c r="BG54" s="20">
        <f t="shared" si="7"/>
        <v>228.24934124753477</v>
      </c>
      <c r="BH54" s="59">
        <f t="shared" si="8"/>
        <v>521.58267458086812</v>
      </c>
      <c r="BI54" s="59">
        <f ca="1">AVERAGE(OFFSET($BH$3,0,0,'Données projet'!$E$11+1,1))-AVERAGE(OFFSET($H$3,0,0,'Données projet'!$E$11+1,1))</f>
        <v>72.647148358003676</v>
      </c>
      <c r="BJ54" s="59">
        <f t="shared" si="38"/>
        <v>87.231299224620898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0.83952419446288706</v>
      </c>
      <c r="BQ54" s="21">
        <f>EXP(-LN(2)/25)*BQ53+(1-EXP(-LN(2)/25))/(LN(2)/25)*Calculateur!BL54*Calculateur!BN54*VLOOKUP('Données projet'!$B$11,Paramètres!$A$1:$I$89,3,0)*0.475*44/12</f>
        <v>2.5312854885870544</v>
      </c>
      <c r="BR54" s="21">
        <f>EXP(-LN(2)/2)*BR53+(1-EXP(-LN(2)/2))/(LN(2)/2)*BL54*BO54*VLOOKUP('Données projet'!$B$11,Paramètres!$A$1:$I$89,3,0)*0.475*44/12</f>
        <v>1.5750362412081369E-3</v>
      </c>
      <c r="BS54" s="22">
        <f t="shared" si="9"/>
        <v>3.3723847192911496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9.6</v>
      </c>
      <c r="BY54" s="12">
        <f>IF('Données projet'!$A$114&gt;35,BY53+BX54-CG53,IF(A54&lt;'Données projet'!$A$114,$BV$205^A54,IF(A54='Données projet'!$A$114,'Données projet'!$B$114,BY53+BX54-CG53)))</f>
        <v>237.59999999999991</v>
      </c>
      <c r="BZ54" s="13">
        <f>BY54*VLOOKUP('Données projet'!$B$12,Paramètres!$A$1:$I$89,3,0)*VLOOKUP('Données projet'!$B$12,Paramètres!$A$1:$I$89,5,0)</f>
        <v>142.08479999999994</v>
      </c>
      <c r="CA54" s="13">
        <f t="shared" si="39"/>
        <v>36.77419224965486</v>
      </c>
      <c r="CB54" s="20">
        <f t="shared" si="10"/>
        <v>311.51274483481546</v>
      </c>
      <c r="CC54" s="59">
        <f t="shared" si="11"/>
        <v>604.84607816814878</v>
      </c>
      <c r="CD54" s="59">
        <f ca="1">AVERAGE(OFFSET($CC$3,0,0,'Données projet'!$E$12+1,1))-AVERAGE(OFFSET($H$3,0,0,'Données projet'!$E$12+1,1))</f>
        <v>165.39579887388538</v>
      </c>
      <c r="CE54" s="59">
        <f t="shared" si="40"/>
        <v>155.89639262545802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4.072089931423875</v>
      </c>
      <c r="CM54" s="21">
        <f>EXP(-LN(2)/2)*CM53+(1-EXP(-LN(2)/2))/(LN(2)/2)*CG54*CJ54*VLOOKUP('Données projet'!$B$12,Paramètres!$A$1:$I$89,3,0)*0.475*44/12</f>
        <v>9.5846361246061038E-3</v>
      </c>
      <c r="CN54" s="22">
        <f t="shared" si="12"/>
        <v>4.0816745675484807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8.1</v>
      </c>
      <c r="CT54" s="12">
        <f>IF('Données projet'!$A$140&gt;35,CT53+CS54-DB53,IF(A54&lt;'Données projet'!$A$140,$CQ$205^A54,IF(A54='Données projet'!$A$140,'Données projet'!$B$140,CT53+CS54-DB53)))</f>
        <v>250.60000000000005</v>
      </c>
      <c r="CU54" s="17">
        <f>CT54*VLOOKUP('Données projet'!$B$13,Paramètres!$A$1:$I$89,3,0)*VLOOKUP('Données projet'!$B$13,Paramètres!$A$1:$I$89,5,0)</f>
        <v>195.46800000000005</v>
      </c>
      <c r="CV54" s="13">
        <f t="shared" si="41"/>
        <v>48.746846552216553</v>
      </c>
      <c r="CW54" s="20">
        <f t="shared" si="13"/>
        <v>425.34085774511055</v>
      </c>
      <c r="CX54" s="59">
        <f t="shared" si="14"/>
        <v>718.67419107844387</v>
      </c>
      <c r="CY54" s="59">
        <f ca="1">AVERAGE(OFFSET($CX$3,0,0,'Données projet'!$E$13+1,1))-AVERAGE(OFFSET($H$3,0,0,'Données projet'!$E$13+1,1))</f>
        <v>190.06335940156185</v>
      </c>
      <c r="CZ54" s="59">
        <f t="shared" si="42"/>
        <v>166.43663896839928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2.4951481295734812</v>
      </c>
      <c r="DH54" s="21">
        <f>EXP(-LN(2)/2)*DH53+(1-EXP(-LN(2)/2))/(LN(2)/2)*DB54*DE54*VLOOKUP('Données projet'!$B$13,Paramètres!$A$1:$I$89,3,0)*0.475*44/12</f>
        <v>3.6780593237400391E-3</v>
      </c>
      <c r="DI54" s="22">
        <f t="shared" si="15"/>
        <v>2.4988261888972212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7.8</v>
      </c>
      <c r="DO54" s="12">
        <f>IF('Données projet'!$A$166&gt;35,DO53+DN54-DW53,IF(A54&lt;'Données projet'!$A$166,$DL$205^A54,IF(A54='Données projet'!$A$166,'Données projet'!$B$166,DO53+DN54-DW53)))</f>
        <v>164.80000000000007</v>
      </c>
      <c r="DP54" s="17">
        <f>DO54*VLOOKUP('Données projet'!$B$14,Paramètres!$A$1:$I$89,3,0)*VLOOKUP('Données projet'!$B$14,Paramètres!$A$1:$I$89,5,0)</f>
        <v>159.39456000000007</v>
      </c>
      <c r="DQ54" s="13">
        <f t="shared" si="43"/>
        <v>40.70592660812224</v>
      </c>
      <c r="DR54" s="20">
        <f t="shared" si="16"/>
        <v>348.5083475091464</v>
      </c>
      <c r="DS54" s="59">
        <f t="shared" si="17"/>
        <v>641.84168084247972</v>
      </c>
      <c r="DT54" s="59">
        <f ca="1">AVERAGE(OFFSET($DS$3,0,0,'Données projet'!$E$14+1,1))-AVERAGE(OFFSET($H$3,0,0,'Données projet'!$E$14+1,1))</f>
        <v>261.22357949323879</v>
      </c>
      <c r="DU54" s="59">
        <f t="shared" si="44"/>
        <v>163.41029152029387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1.8547753090497565</v>
      </c>
      <c r="EC54" s="21">
        <f>EXP(-LN(2)/2)*EC53+(1-EXP(-LN(2)/2))/(LN(2)/2)*DW54*DZ54*VLOOKUP('Données projet'!$B$14,Paramètres!$A$1:$I$89,3,0)*0.475*44/12</f>
        <v>4.568710432672791E-3</v>
      </c>
      <c r="ED54" s="22">
        <f t="shared" si="18"/>
        <v>1.8593440194824293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8</v>
      </c>
      <c r="EJ54" s="12">
        <f>IF('Données projet'!$A$192&gt;35,EJ53+EI54-ER53,IF(A54&lt;'Données projet'!$A$192,$EG$205^A54,IF(A54='Données projet'!$A$192,'Données projet'!$B$192,EJ53+EI54-ER53)))</f>
        <v>203.09999999999997</v>
      </c>
      <c r="EK54" s="17">
        <f>EJ54*VLOOKUP('Données projet'!$B$15,Paramètres!$A$1:$I$89,3,0)*VLOOKUP('Données projet'!$B$15,Paramètres!$A$1:$I$89,5,0)</f>
        <v>95.050799999999981</v>
      </c>
      <c r="EL54" s="13">
        <f t="shared" si="45"/>
        <v>25.779458396145792</v>
      </c>
      <c r="EM54" s="20">
        <f t="shared" si="19"/>
        <v>210.44603337328724</v>
      </c>
      <c r="EN54" s="59">
        <f t="shared" si="20"/>
        <v>503.77936670662052</v>
      </c>
      <c r="EO54" s="59">
        <f ca="1">AVERAGE(OFFSET($EN$3,0,0,'Données projet'!$E$15+1,1))-AVERAGE(OFFSET($H$3,0,0,'Données projet'!$E$15+1,1))</f>
        <v>123.60520571614535</v>
      </c>
      <c r="EP54" s="59">
        <f t="shared" si="46"/>
        <v>119.00926870519527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0.5722062777906568</v>
      </c>
      <c r="EW54" s="21">
        <f>EXP(-LN(2)/25)*EW53+(1-EXP(-LN(2)/25))/(LN(2)/25)*Calculateur!ER54*Calculateur!ET54*VLOOKUP('Données projet'!$B$15,Paramètres!$A$1:$I$89,3,0)*0.475*44/12</f>
        <v>2.6685052510790985</v>
      </c>
      <c r="EX54" s="21">
        <f>EXP(-LN(2)/2)*EX53+(1-EXP(-LN(2)/2))/(LN(2)/2)*ER54*EU54*VLOOKUP('Données projet'!$B$15,Paramètres!$A$1:$I$89,3,0)*0.475*44/12</f>
        <v>4.2217247523982475E-3</v>
      </c>
      <c r="EY54" s="22">
        <f t="shared" si="21"/>
        <v>3.2449332536221536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4.4000000000000004</v>
      </c>
      <c r="FE54" s="12">
        <f>IF('Données projet'!$A$218&gt;35,FE53+FD54-FM53,IF(A54&lt;'Données projet'!$A$218,$FB$205^A54,IF(A54='Données projet'!$A$218,'Données projet'!$B$218,FE53+FD54-FM53)))</f>
        <v>165.39999999999998</v>
      </c>
      <c r="FF54" s="17">
        <f>FE54*VLOOKUP('Données projet'!$B$16,Paramètres!$A$1:$I$89,3,0)*VLOOKUP('Données projet'!$B$16,Paramètres!$A$1:$I$89,5,0)</f>
        <v>121.27127999999998</v>
      </c>
      <c r="FG54" s="13">
        <f t="shared" si="47"/>
        <v>31.971322377615959</v>
      </c>
      <c r="FH54" s="20">
        <f t="shared" si="22"/>
        <v>266.89753247434771</v>
      </c>
      <c r="FI54" s="59">
        <f t="shared" si="23"/>
        <v>560.23086580768108</v>
      </c>
      <c r="FJ54" s="59">
        <f ca="1">AVERAGE(OFFSET($FI$3,0,0,'Données projet'!$E$16+1,1))-AVERAGE(OFFSET($H$3,0,0,'Données projet'!$E$16+1,1))</f>
        <v>124.15919323713428</v>
      </c>
      <c r="FK54" s="59">
        <f t="shared" si="48"/>
        <v>157.85954678210715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0</v>
      </c>
      <c r="FR54" s="21">
        <f>EXP(-LN(2)/25)*FR53+(1-EXP(-LN(2)/25))/(LN(2)/25)*Calculateur!FM54*Calculateur!FO54*VLOOKUP('Données projet'!$B$16,Paramètres!$A$1:$I$89,3,0)*0.475*44/12</f>
        <v>2.8079587056700617</v>
      </c>
      <c r="FS54" s="21">
        <f>EXP(-LN(2)/2)*FS53+(1-EXP(-LN(2)/2))/(LN(2)/2)*FM54*FP54*VLOOKUP('Données projet'!$B$16,Paramètres!$A$1:$I$89,3,0)*0.475*44/12</f>
        <v>5.0942995308697675E-3</v>
      </c>
      <c r="FT54" s="22">
        <f t="shared" si="24"/>
        <v>2.8130530052009313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7.8</v>
      </c>
      <c r="N55" s="13">
        <f>IF('Données projet'!$A$36&gt;35,N54+M55-V54,IF(A55&lt;'Données projet'!$A$36,$K$205^A55,IF(A55='Données projet'!$A$36,'Données projet'!$B$36,N54+M55-V54)))</f>
        <v>172.60000000000008</v>
      </c>
      <c r="O55" s="13">
        <f>N55*VLOOKUP('Données projet'!$B$9,Paramètres!$A$1:$I$89,3,0)*VLOOKUP('Données projet'!$B$9,Paramètres!$A$1:$I$89,5,0)</f>
        <v>156.16848000000005</v>
      </c>
      <c r="P55" s="13">
        <f t="shared" si="33"/>
        <v>39.977090041212335</v>
      </c>
      <c r="Q55" s="20">
        <f t="shared" si="53"/>
        <v>341.62020115511154</v>
      </c>
      <c r="R55" s="59">
        <f t="shared" si="0"/>
        <v>634.9535344884448</v>
      </c>
      <c r="S55" s="59">
        <f ca="1">AVERAGE(OFFSET($R$3,0,0,'Données projet'!$E$9+1,1))-AVERAGE(OFFSET($H$3,0,0,'Données projet'!$E$9+1,1))</f>
        <v>237.22177246688199</v>
      </c>
      <c r="T55" s="59">
        <f t="shared" si="34"/>
        <v>149.27472147904302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1.687665646447629</v>
      </c>
      <c r="AB55" s="21">
        <f>EXP(-LN(2)/2)*AB54+(1-EXP(-LN(2)/2))/(LN(2)/2)*V55*Y55*VLOOKUP('Données projet'!$B$9,Paramètres!$A$1:$I$89,3,0)*0.475*44/12</f>
        <v>3.0221425070451305E-3</v>
      </c>
      <c r="AC55" s="22">
        <f t="shared" si="3"/>
        <v>1.6906877889546741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5.6</v>
      </c>
      <c r="AI55" s="13">
        <f>IF('Données projet'!$A$62&gt;35,AI54+AH55-AQ54,IF(A55&lt;'Données projet'!$A$62,$AF$205^A55,IF(A55='Données projet'!$A$62,'Données projet'!$B$62,AI54+AH55-AQ54)))</f>
        <v>175.19999999999973</v>
      </c>
      <c r="AJ55" s="13">
        <f>AI55*VLOOKUP('Données projet'!$B$10,Paramètres!$A$1:$I$89,3,0)*VLOOKUP('Données projet'!$B$10,Paramètres!$A$1:$I$89,5,0)</f>
        <v>153.05471999999978</v>
      </c>
      <c r="AK55" s="13">
        <f t="shared" si="35"/>
        <v>39.27196508838513</v>
      </c>
      <c r="AL55" s="20">
        <f t="shared" si="4"/>
        <v>334.96897652893705</v>
      </c>
      <c r="AM55" s="59">
        <f t="shared" si="5"/>
        <v>628.30230986227036</v>
      </c>
      <c r="AN55" s="59">
        <f ca="1">AVERAGE(OFFSET($AM$3,0,0,'Données projet'!$E$10+1,1))-AVERAGE(OFFSET($H$3,0,0,'Données projet'!$E$10+1,1))</f>
        <v>191.94797389630673</v>
      </c>
      <c r="AO55" s="59">
        <f t="shared" si="36"/>
        <v>273.52540822767878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1.6653327636274049</v>
      </c>
      <c r="AV55" s="21">
        <f>EXP(-LN(2)/25)*AV54+(1-EXP(-LN(2)/25))/(LN(2)/25)*Calculateur!AQ55*Calculateur!AS55*VLOOKUP('Données projet'!$B$10,Paramètres!$A$1:$I$89,3,0)*0.475*44/12</f>
        <v>7.6333077491491856</v>
      </c>
      <c r="AW55" s="21">
        <f>EXP(-LN(2)/2)*AW54+(1-EXP(-LN(2)/2))/(LN(2)/2)*AQ55*AT55*VLOOKUP('Données projet'!$B$10,Paramètres!$A$1:$I$89,3,0)*0.475*44/12</f>
        <v>1.1329620566244812E-2</v>
      </c>
      <c r="AX55" s="21">
        <f t="shared" si="6"/>
        <v>9.3099701333428353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3.75</v>
      </c>
      <c r="BD55" s="12">
        <f>IF('Données projet'!$A$88&gt;35,BD54+BC55-BL54,IF(A55&lt;'Données projet'!$A$88,$BA$205^A55,IF(A55='Données projet'!$A$88,'Données projet'!$B$88,BD54+BC55-BL54)))</f>
        <v>176.5</v>
      </c>
      <c r="BE55" s="13">
        <f>BD55*VLOOKUP('Données projet'!$B$11,Paramètres!$A$1:$I$89,3,0)*VLOOKUP('Données projet'!$B$11,Paramètres!$A$1:$I$89,5,0)</f>
        <v>105.547</v>
      </c>
      <c r="BF55" s="13">
        <f t="shared" si="37"/>
        <v>28.279313115910643</v>
      </c>
      <c r="BG55" s="20">
        <f t="shared" si="7"/>
        <v>233.08082867687767</v>
      </c>
      <c r="BH55" s="59">
        <f t="shared" si="8"/>
        <v>526.41416201021093</v>
      </c>
      <c r="BI55" s="59">
        <f ca="1">AVERAGE(OFFSET($BH$3,0,0,'Données projet'!$E$11+1,1))-AVERAGE(OFFSET($H$3,0,0,'Données projet'!$E$11+1,1))</f>
        <v>72.647148358003676</v>
      </c>
      <c r="BJ55" s="59">
        <f t="shared" si="38"/>
        <v>87.231299224620898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0.82306163706866686</v>
      </c>
      <c r="BQ55" s="21">
        <f>EXP(-LN(2)/25)*BQ54+(1-EXP(-LN(2)/25))/(LN(2)/25)*Calculateur!BL55*Calculateur!BN55*VLOOKUP('Données projet'!$B$11,Paramètres!$A$1:$I$89,3,0)*0.475*44/12</f>
        <v>2.4620673537871229</v>
      </c>
      <c r="BR55" s="21">
        <f>EXP(-LN(2)/2)*BR54+(1-EXP(-LN(2)/2))/(LN(2)/2)*BL55*BO55*VLOOKUP('Données projet'!$B$11,Paramètres!$A$1:$I$89,3,0)*0.475*44/12</f>
        <v>1.1137188067728444E-3</v>
      </c>
      <c r="BS55" s="22">
        <f t="shared" si="9"/>
        <v>3.2862427096625626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9.6</v>
      </c>
      <c r="BY55" s="12">
        <f>IF('Données projet'!$A$114&gt;35,BY54+BX55-CG54,IF(A55&lt;'Données projet'!$A$114,$BV$205^A55,IF(A55='Données projet'!$A$114,'Données projet'!$B$114,BY54+BX55-CG54)))</f>
        <v>247.1999999999999</v>
      </c>
      <c r="BZ55" s="13">
        <f>BY55*VLOOKUP('Données projet'!$B$12,Paramètres!$A$1:$I$89,3,0)*VLOOKUP('Données projet'!$B$12,Paramètres!$A$1:$I$89,5,0)</f>
        <v>147.82559999999995</v>
      </c>
      <c r="CA55" s="13">
        <f t="shared" si="39"/>
        <v>38.084026262138629</v>
      </c>
      <c r="CB55" s="20">
        <f t="shared" si="10"/>
        <v>323.79259907322466</v>
      </c>
      <c r="CC55" s="59">
        <f t="shared" si="11"/>
        <v>617.12593240655792</v>
      </c>
      <c r="CD55" s="59">
        <f ca="1">AVERAGE(OFFSET($CC$3,0,0,'Données projet'!$E$12+1,1))-AVERAGE(OFFSET($H$3,0,0,'Données projet'!$E$12+1,1))</f>
        <v>165.39579887388538</v>
      </c>
      <c r="CE55" s="59">
        <f t="shared" si="40"/>
        <v>155.89639262545802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3.9607384181071863</v>
      </c>
      <c r="CM55" s="21">
        <f>EXP(-LN(2)/2)*CM54+(1-EXP(-LN(2)/2))/(LN(2)/2)*CG55*CJ55*VLOOKUP('Données projet'!$B$12,Paramètres!$A$1:$I$89,3,0)*0.475*44/12</f>
        <v>6.7773611989145272E-3</v>
      </c>
      <c r="CN55" s="22">
        <f t="shared" si="12"/>
        <v>3.9675157793061007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8.1</v>
      </c>
      <c r="CT55" s="12">
        <f>IF('Données projet'!$A$140&gt;35,CT54+CS55-DB54,IF(A55&lt;'Données projet'!$A$140,$CQ$205^A55,IF(A55='Données projet'!$A$140,'Données projet'!$B$140,CT54+CS55-DB54)))</f>
        <v>258.70000000000005</v>
      </c>
      <c r="CU55" s="17">
        <f>CT55*VLOOKUP('Données projet'!$B$13,Paramètres!$A$1:$I$89,3,0)*VLOOKUP('Données projet'!$B$13,Paramètres!$A$1:$I$89,5,0)</f>
        <v>201.78600000000003</v>
      </c>
      <c r="CV55" s="13">
        <f t="shared" si="41"/>
        <v>50.136473146268756</v>
      </c>
      <c r="CW55" s="20">
        <f t="shared" si="13"/>
        <v>438.76497406308476</v>
      </c>
      <c r="CX55" s="59">
        <f t="shared" si="14"/>
        <v>732.09830739641802</v>
      </c>
      <c r="CY55" s="59">
        <f ca="1">AVERAGE(OFFSET($CX$3,0,0,'Données projet'!$E$13+1,1))-AVERAGE(OFFSET($H$3,0,0,'Données projet'!$E$13+1,1))</f>
        <v>190.06335940156185</v>
      </c>
      <c r="CZ55" s="59">
        <f t="shared" si="42"/>
        <v>166.43663896839928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2.4269181727561571</v>
      </c>
      <c r="DH55" s="21">
        <f>EXP(-LN(2)/2)*DH54+(1-EXP(-LN(2)/2))/(LN(2)/2)*DB55*DE55*VLOOKUP('Données projet'!$B$13,Paramètres!$A$1:$I$89,3,0)*0.475*44/12</f>
        <v>2.6007806894229892E-3</v>
      </c>
      <c r="DI55" s="22">
        <f t="shared" si="15"/>
        <v>2.4295189534455801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7.8</v>
      </c>
      <c r="DO55" s="12">
        <f>IF('Données projet'!$A$166&gt;35,DO54+DN55-DW54,IF(A55&lt;'Données projet'!$A$166,$DL$205^A55,IF(A55='Données projet'!$A$166,'Données projet'!$B$166,DO54+DN55-DW54)))</f>
        <v>172.60000000000008</v>
      </c>
      <c r="DP55" s="17">
        <f>DO55*VLOOKUP('Données projet'!$B$14,Paramètres!$A$1:$I$89,3,0)*VLOOKUP('Données projet'!$B$14,Paramètres!$A$1:$I$89,5,0)</f>
        <v>166.93872000000007</v>
      </c>
      <c r="DQ55" s="13">
        <f t="shared" si="43"/>
        <v>42.403675278071923</v>
      </c>
      <c r="DR55" s="20">
        <f t="shared" si="16"/>
        <v>364.60467177597531</v>
      </c>
      <c r="DS55" s="59">
        <f t="shared" si="17"/>
        <v>657.93800510930862</v>
      </c>
      <c r="DT55" s="59">
        <f ca="1">AVERAGE(OFFSET($DS$3,0,0,'Données projet'!$E$14+1,1))-AVERAGE(OFFSET($H$3,0,0,'Données projet'!$E$14+1,1))</f>
        <v>261.22357949323879</v>
      </c>
      <c r="DU55" s="59">
        <f t="shared" si="44"/>
        <v>163.41029152029387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</v>
      </c>
      <c r="EB55" s="21">
        <f>EXP(-LN(2)/25)*EB54+(1-EXP(-LN(2)/25))/(LN(2)/25)*Calculateur!DW55*Calculateur!DY55*VLOOKUP('Données projet'!$B$14,Paramètres!$A$1:$I$89,3,0)*0.475*44/12</f>
        <v>1.8040563806853966</v>
      </c>
      <c r="EC55" s="21">
        <f>EXP(-LN(2)/2)*EC54+(1-EXP(-LN(2)/2))/(LN(2)/2)*DW55*DZ55*VLOOKUP('Données projet'!$B$14,Paramètres!$A$1:$I$89,3,0)*0.475*44/12</f>
        <v>3.2305661282206561E-3</v>
      </c>
      <c r="ED55" s="22">
        <f t="shared" si="18"/>
        <v>1.8072869468136172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8</v>
      </c>
      <c r="EJ55" s="12">
        <f>IF('Données projet'!$A$192&gt;35,EJ54+EI55-ER54,IF(A55&lt;'Données projet'!$A$192,$EG$205^A55,IF(A55='Données projet'!$A$192,'Données projet'!$B$192,EJ54+EI55-ER54)))</f>
        <v>211.09999999999997</v>
      </c>
      <c r="EK55" s="17">
        <f>EJ55*VLOOKUP('Données projet'!$B$15,Paramètres!$A$1:$I$89,3,0)*VLOOKUP('Données projet'!$B$15,Paramètres!$A$1:$I$89,5,0)</f>
        <v>98.794799999999981</v>
      </c>
      <c r="EL55" s="13">
        <f t="shared" si="45"/>
        <v>26.674672963454121</v>
      </c>
      <c r="EM55" s="20">
        <f t="shared" si="19"/>
        <v>218.52599874468254</v>
      </c>
      <c r="EN55" s="59">
        <f t="shared" si="20"/>
        <v>511.85933207801588</v>
      </c>
      <c r="EO55" s="59">
        <f ca="1">AVERAGE(OFFSET($EN$3,0,0,'Données projet'!$E$15+1,1))-AVERAGE(OFFSET($H$3,0,0,'Données projet'!$E$15+1,1))</f>
        <v>123.60520571614535</v>
      </c>
      <c r="EP55" s="59">
        <f t="shared" si="46"/>
        <v>119.00926870519527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0.56098566169454944</v>
      </c>
      <c r="EW55" s="21">
        <f>EXP(-LN(2)/25)*EW54+(1-EXP(-LN(2)/25))/(LN(2)/25)*Calculateur!ER55*Calculateur!ET55*VLOOKUP('Données projet'!$B$15,Paramètres!$A$1:$I$89,3,0)*0.475*44/12</f>
        <v>2.5955348346577485</v>
      </c>
      <c r="EX55" s="21">
        <f>EXP(-LN(2)/2)*EX54+(1-EXP(-LN(2)/2))/(LN(2)/2)*ER55*EU55*VLOOKUP('Données projet'!$B$15,Paramètres!$A$1:$I$89,3,0)*0.475*44/12</f>
        <v>2.9852102007238992E-3</v>
      </c>
      <c r="EY55" s="22">
        <f t="shared" si="21"/>
        <v>3.1595057065530217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4.4000000000000004</v>
      </c>
      <c r="FE55" s="12">
        <f>IF('Données projet'!$A$218&gt;35,FE54+FD55-FM54,IF(A55&lt;'Données projet'!$A$218,$FB$205^A55,IF(A55='Données projet'!$A$218,'Données projet'!$B$218,FE54+FD55-FM54)))</f>
        <v>169.79999999999998</v>
      </c>
      <c r="FF55" s="17">
        <f>FE55*VLOOKUP('Données projet'!$B$16,Paramètres!$A$1:$I$89,3,0)*VLOOKUP('Données projet'!$B$16,Paramètres!$A$1:$I$89,5,0)</f>
        <v>124.49735999999997</v>
      </c>
      <c r="FG55" s="13">
        <f t="shared" si="47"/>
        <v>32.721677992091536</v>
      </c>
      <c r="FH55" s="20">
        <f t="shared" si="22"/>
        <v>273.82315783622602</v>
      </c>
      <c r="FI55" s="59">
        <f t="shared" si="23"/>
        <v>567.15649116955933</v>
      </c>
      <c r="FJ55" s="59">
        <f ca="1">AVERAGE(OFFSET($FI$3,0,0,'Données projet'!$E$16+1,1))-AVERAGE(OFFSET($H$3,0,0,'Données projet'!$E$16+1,1))</f>
        <v>124.15919323713428</v>
      </c>
      <c r="FK55" s="59">
        <f t="shared" si="48"/>
        <v>157.85954678210715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0</v>
      </c>
      <c r="FR55" s="21">
        <f>EXP(-LN(2)/25)*FR54+(1-EXP(-LN(2)/25))/(LN(2)/25)*Calculateur!FM55*Calculateur!FO55*VLOOKUP('Données projet'!$B$16,Paramètres!$A$1:$I$89,3,0)*0.475*44/12</f>
        <v>2.7311749271993833</v>
      </c>
      <c r="FS55" s="21">
        <f>EXP(-LN(2)/2)*FS54+(1-EXP(-LN(2)/2))/(LN(2)/2)*FM55*FP55*VLOOKUP('Données projet'!$B$16,Paramètres!$A$1:$I$89,3,0)*0.475*44/12</f>
        <v>3.6022137436734604E-3</v>
      </c>
      <c r="FT55" s="22">
        <f t="shared" si="24"/>
        <v>2.7347771409430566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7.8</v>
      </c>
      <c r="N56" s="13">
        <f>IF('Données projet'!$A$36&gt;35,N55+M56-V55,IF(A56&lt;'Données projet'!$A$36,$K$205^A56,IF(A56='Données projet'!$A$36,'Données projet'!$B$36,N55+M56-V55)))</f>
        <v>180.40000000000009</v>
      </c>
      <c r="O56" s="13">
        <f>N56*VLOOKUP('Données projet'!$B$9,Paramètres!$A$1:$I$89,3,0)*VLOOKUP('Données projet'!$B$9,Paramètres!$A$1:$I$89,5,0)</f>
        <v>163.22592000000009</v>
      </c>
      <c r="P56" s="13">
        <f t="shared" si="33"/>
        <v>41.569283201466128</v>
      </c>
      <c r="Q56" s="20">
        <f t="shared" si="53"/>
        <v>356.68497890922026</v>
      </c>
      <c r="R56" s="59">
        <f t="shared" si="0"/>
        <v>650.01831224255352</v>
      </c>
      <c r="S56" s="59">
        <f ca="1">AVERAGE(OFFSET($R$3,0,0,'Données projet'!$E$9+1,1))-AVERAGE(OFFSET($H$3,0,0,'Données projet'!$E$9+1,1))</f>
        <v>237.22177246688199</v>
      </c>
      <c r="T56" s="59">
        <f t="shared" si="34"/>
        <v>149.27472147904302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1.6415163405950395</v>
      </c>
      <c r="AB56" s="21">
        <f>EXP(-LN(2)/2)*AB55+(1-EXP(-LN(2)/2))/(LN(2)/2)*V56*Y56*VLOOKUP('Données projet'!$B$9,Paramètres!$A$1:$I$89,3,0)*0.475*44/12</f>
        <v>2.1369774604437252E-3</v>
      </c>
      <c r="AC56" s="22">
        <f t="shared" si="3"/>
        <v>1.6436533180554833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5.6</v>
      </c>
      <c r="AI56" s="13">
        <f>IF('Données projet'!$A$62&gt;35,AI55+AH56-AQ55,IF(A56&lt;'Données projet'!$A$62,$AF$205^A56,IF(A56='Données projet'!$A$62,'Données projet'!$B$62,AI55+AH56-AQ55)))</f>
        <v>180.79999999999973</v>
      </c>
      <c r="AJ56" s="13">
        <f>AI56*VLOOKUP('Données projet'!$B$10,Paramètres!$A$1:$I$89,3,0)*VLOOKUP('Données projet'!$B$10,Paramètres!$A$1:$I$89,5,0)</f>
        <v>157.94687999999979</v>
      </c>
      <c r="AK56" s="13">
        <f t="shared" si="35"/>
        <v>40.379080953267021</v>
      </c>
      <c r="AL56" s="20">
        <f t="shared" si="4"/>
        <v>345.41771532693969</v>
      </c>
      <c r="AM56" s="59">
        <f t="shared" si="5"/>
        <v>638.751048660273</v>
      </c>
      <c r="AN56" s="59">
        <f ca="1">AVERAGE(OFFSET($AM$3,0,0,'Données projet'!$E$10+1,1))-AVERAGE(OFFSET($H$3,0,0,'Données projet'!$E$10+1,1))</f>
        <v>191.94797389630673</v>
      </c>
      <c r="AO56" s="59">
        <f t="shared" si="36"/>
        <v>273.52540822767878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1.63267660388536</v>
      </c>
      <c r="AV56" s="21">
        <f>EXP(-LN(2)/25)*AV55+(1-EXP(-LN(2)/25))/(LN(2)/25)*Calculateur!AQ56*Calculateur!AS56*VLOOKUP('Données projet'!$B$10,Paramètres!$A$1:$I$89,3,0)*0.475*44/12</f>
        <v>7.4245745473304927</v>
      </c>
      <c r="AW56" s="21">
        <f>EXP(-LN(2)/2)*AW55+(1-EXP(-LN(2)/2))/(LN(2)/2)*AQ56*AT56*VLOOKUP('Données projet'!$B$10,Paramètres!$A$1:$I$89,3,0)*0.475*44/12</f>
        <v>8.0112515306622785E-3</v>
      </c>
      <c r="AX56" s="21">
        <f t="shared" si="6"/>
        <v>9.0652624027465158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3.75</v>
      </c>
      <c r="BD56" s="12">
        <f>IF('Données projet'!$A$88&gt;35,BD55+BC56-BL55,IF(A56&lt;'Données projet'!$A$88,$BA$205^A56,IF(A56='Données projet'!$A$88,'Données projet'!$B$88,BD55+BC56-BL55)))</f>
        <v>180.25</v>
      </c>
      <c r="BE56" s="13">
        <f>BD56*VLOOKUP('Données projet'!$B$11,Paramètres!$A$1:$I$89,3,0)*VLOOKUP('Données projet'!$B$11,Paramètres!$A$1:$I$89,5,0)</f>
        <v>107.78950000000002</v>
      </c>
      <c r="BF56" s="13">
        <f t="shared" si="37"/>
        <v>28.80955980975984</v>
      </c>
      <c r="BG56" s="20">
        <f t="shared" si="7"/>
        <v>237.91002916866509</v>
      </c>
      <c r="BH56" s="59">
        <f t="shared" si="8"/>
        <v>531.24336250199838</v>
      </c>
      <c r="BI56" s="59">
        <f ca="1">AVERAGE(OFFSET($BH$3,0,0,'Données projet'!$E$11+1,1))-AVERAGE(OFFSET($H$3,0,0,'Données projet'!$E$11+1,1))</f>
        <v>72.647148358003676</v>
      </c>
      <c r="BJ56" s="59">
        <f t="shared" si="38"/>
        <v>87.231299224620898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0.80692190038377876</v>
      </c>
      <c r="BQ56" s="21">
        <f>EXP(-LN(2)/25)*BQ55+(1-EXP(-LN(2)/25))/(LN(2)/25)*Calculateur!BL56*Calculateur!BN56*VLOOKUP('Données projet'!$B$11,Paramètres!$A$1:$I$89,3,0)*0.475*44/12</f>
        <v>2.3947419925233189</v>
      </c>
      <c r="BR56" s="21">
        <f>EXP(-LN(2)/2)*BR55+(1-EXP(-LN(2)/2))/(LN(2)/2)*BL56*BO56*VLOOKUP('Données projet'!$B$11,Paramètres!$A$1:$I$89,3,0)*0.475*44/12</f>
        <v>7.8751812060406847E-4</v>
      </c>
      <c r="BS56" s="22">
        <f t="shared" si="9"/>
        <v>3.2024514110277016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9.6</v>
      </c>
      <c r="BY56" s="12">
        <f>IF('Données projet'!$A$114&gt;35,BY55+BX56-CG55,IF(A56&lt;'Données projet'!$A$114,$BV$205^A56,IF(A56='Données projet'!$A$114,'Données projet'!$B$114,BY55+BX56-CG55)))</f>
        <v>256.7999999999999</v>
      </c>
      <c r="BZ56" s="13">
        <f>BY56*VLOOKUP('Données projet'!$B$12,Paramètres!$A$1:$I$89,3,0)*VLOOKUP('Données projet'!$B$12,Paramètres!$A$1:$I$89,5,0)</f>
        <v>153.56639999999996</v>
      </c>
      <c r="CA56" s="13">
        <f t="shared" si="39"/>
        <v>39.387951109795566</v>
      </c>
      <c r="CB56" s="20">
        <f t="shared" si="10"/>
        <v>336.06216151622726</v>
      </c>
      <c r="CC56" s="59">
        <f t="shared" si="11"/>
        <v>629.39549484956058</v>
      </c>
      <c r="CD56" s="59">
        <f ca="1">AVERAGE(OFFSET($CC$3,0,0,'Données projet'!$E$12+1,1))-AVERAGE(OFFSET($H$3,0,0,'Données projet'!$E$12+1,1))</f>
        <v>165.39579887388538</v>
      </c>
      <c r="CE56" s="59">
        <f t="shared" si="40"/>
        <v>155.89639262545802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3.8524318177778643</v>
      </c>
      <c r="CM56" s="21">
        <f>EXP(-LN(2)/2)*CM55+(1-EXP(-LN(2)/2))/(LN(2)/2)*CG56*CJ56*VLOOKUP('Données projet'!$B$12,Paramètres!$A$1:$I$89,3,0)*0.475*44/12</f>
        <v>4.7923180623030519E-3</v>
      </c>
      <c r="CN56" s="22">
        <f t="shared" si="12"/>
        <v>3.8572241358401671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8.1</v>
      </c>
      <c r="CT56" s="12">
        <f>IF('Données projet'!$A$140&gt;35,CT55+CS56-DB55,IF(A56&lt;'Données projet'!$A$140,$CQ$205^A56,IF(A56='Données projet'!$A$140,'Données projet'!$B$140,CT55+CS56-DB55)))</f>
        <v>266.80000000000007</v>
      </c>
      <c r="CU56" s="17">
        <f>CT56*VLOOKUP('Données projet'!$B$13,Paramètres!$A$1:$I$89,3,0)*VLOOKUP('Données projet'!$B$13,Paramètres!$A$1:$I$89,5,0)</f>
        <v>208.10400000000007</v>
      </c>
      <c r="CV56" s="13">
        <f t="shared" si="41"/>
        <v>51.52104354893045</v>
      </c>
      <c r="CW56" s="20">
        <f t="shared" si="13"/>
        <v>452.18028418105399</v>
      </c>
      <c r="CX56" s="59">
        <f t="shared" si="14"/>
        <v>745.51361751438731</v>
      </c>
      <c r="CY56" s="59">
        <f ca="1">AVERAGE(OFFSET($CX$3,0,0,'Données projet'!$E$13+1,1))-AVERAGE(OFFSET($H$3,0,0,'Données projet'!$E$13+1,1))</f>
        <v>190.06335940156185</v>
      </c>
      <c r="CZ56" s="59">
        <f t="shared" si="42"/>
        <v>166.43663896839928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2.3605539676960601</v>
      </c>
      <c r="DH56" s="21">
        <f>EXP(-LN(2)/2)*DH55+(1-EXP(-LN(2)/2))/(LN(2)/2)*DB56*DE56*VLOOKUP('Données projet'!$B$13,Paramètres!$A$1:$I$89,3,0)*0.475*44/12</f>
        <v>1.83902966187002E-3</v>
      </c>
      <c r="DI56" s="22">
        <f t="shared" si="15"/>
        <v>2.3623929973579303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7.8</v>
      </c>
      <c r="DO56" s="12">
        <f>IF('Données projet'!$A$166&gt;35,DO55+DN56-DW55,IF(A56&lt;'Données projet'!$A$166,$DL$205^A56,IF(A56='Données projet'!$A$166,'Données projet'!$B$166,DO55+DN56-DW55)))</f>
        <v>180.40000000000009</v>
      </c>
      <c r="DP56" s="17">
        <f>DO56*VLOOKUP('Données projet'!$B$14,Paramètres!$A$1:$I$89,3,0)*VLOOKUP('Données projet'!$B$14,Paramètres!$A$1:$I$89,5,0)</f>
        <v>174.48288000000008</v>
      </c>
      <c r="DQ56" s="13">
        <f t="shared" si="43"/>
        <v>44.092513602166207</v>
      </c>
      <c r="DR56" s="20">
        <f t="shared" si="16"/>
        <v>380.6854771904396</v>
      </c>
      <c r="DS56" s="59">
        <f t="shared" si="17"/>
        <v>674.01881052377291</v>
      </c>
      <c r="DT56" s="59">
        <f ca="1">AVERAGE(OFFSET($DS$3,0,0,'Données projet'!$E$14+1,1))-AVERAGE(OFFSET($H$3,0,0,'Données projet'!$E$14+1,1))</f>
        <v>261.22357949323879</v>
      </c>
      <c r="DU56" s="59">
        <f t="shared" si="44"/>
        <v>163.41029152029387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</v>
      </c>
      <c r="EB56" s="21">
        <f>EXP(-LN(2)/25)*EB55+(1-EXP(-LN(2)/25))/(LN(2)/25)*Calculateur!DW56*Calculateur!DY56*VLOOKUP('Données projet'!$B$14,Paramètres!$A$1:$I$89,3,0)*0.475*44/12</f>
        <v>1.7547243640843526</v>
      </c>
      <c r="EC56" s="21">
        <f>EXP(-LN(2)/2)*EC55+(1-EXP(-LN(2)/2))/(LN(2)/2)*DW56*DZ56*VLOOKUP('Données projet'!$B$14,Paramètres!$A$1:$I$89,3,0)*0.475*44/12</f>
        <v>2.2843552163363955E-3</v>
      </c>
      <c r="ED56" s="22">
        <f t="shared" si="18"/>
        <v>1.7570087193006889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8</v>
      </c>
      <c r="EJ56" s="12">
        <f>IF('Données projet'!$A$192&gt;35,EJ55+EI56-ER55,IF(A56&lt;'Données projet'!$A$192,$EG$205^A56,IF(A56='Données projet'!$A$192,'Données projet'!$B$192,EJ55+EI56-ER55)))</f>
        <v>219.09999999999997</v>
      </c>
      <c r="EK56" s="17">
        <f>EJ56*VLOOKUP('Données projet'!$B$15,Paramètres!$A$1:$I$89,3,0)*VLOOKUP('Données projet'!$B$15,Paramètres!$A$1:$I$89,5,0)</f>
        <v>102.53879999999999</v>
      </c>
      <c r="EL56" s="13">
        <f t="shared" si="45"/>
        <v>27.565946279127903</v>
      </c>
      <c r="EM56" s="20">
        <f t="shared" si="19"/>
        <v>226.59909976948109</v>
      </c>
      <c r="EN56" s="59">
        <f t="shared" si="20"/>
        <v>519.93243310281446</v>
      </c>
      <c r="EO56" s="59">
        <f ca="1">AVERAGE(OFFSET($EN$3,0,0,'Données projet'!$E$15+1,1))-AVERAGE(OFFSET($H$3,0,0,'Données projet'!$E$15+1,1))</f>
        <v>123.60520571614535</v>
      </c>
      <c r="EP56" s="59">
        <f t="shared" si="46"/>
        <v>119.00926870519527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0.54998507503618677</v>
      </c>
      <c r="EW56" s="21">
        <f>EXP(-LN(2)/25)*EW55+(1-EXP(-LN(2)/25))/(LN(2)/25)*Calculateur!ER56*Calculateur!ET56*VLOOKUP('Données projet'!$B$15,Paramètres!$A$1:$I$89,3,0)*0.475*44/12</f>
        <v>2.5245597981107877</v>
      </c>
      <c r="EX56" s="21">
        <f>EXP(-LN(2)/2)*EX55+(1-EXP(-LN(2)/2))/(LN(2)/2)*ER56*EU56*VLOOKUP('Données projet'!$B$15,Paramètres!$A$1:$I$89,3,0)*0.475*44/12</f>
        <v>2.1108623761991237E-3</v>
      </c>
      <c r="EY56" s="22">
        <f t="shared" si="21"/>
        <v>3.0766557355231736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4.4000000000000004</v>
      </c>
      <c r="FE56" s="12">
        <f>IF('Données projet'!$A$218&gt;35,FE55+FD56-FM55,IF(A56&lt;'Données projet'!$A$218,$FB$205^A56,IF(A56='Données projet'!$A$218,'Données projet'!$B$218,FE55+FD56-FM55)))</f>
        <v>174.2</v>
      </c>
      <c r="FF56" s="17">
        <f>FE56*VLOOKUP('Données projet'!$B$16,Paramètres!$A$1:$I$89,3,0)*VLOOKUP('Données projet'!$B$16,Paramètres!$A$1:$I$89,5,0)</f>
        <v>127.72344</v>
      </c>
      <c r="FG56" s="13">
        <f t="shared" si="47"/>
        <v>33.469773485693828</v>
      </c>
      <c r="FH56" s="20">
        <f t="shared" si="22"/>
        <v>280.74484682091673</v>
      </c>
      <c r="FI56" s="59">
        <f t="shared" si="23"/>
        <v>574.07818015425005</v>
      </c>
      <c r="FJ56" s="59">
        <f ca="1">AVERAGE(OFFSET($FI$3,0,0,'Données projet'!$E$16+1,1))-AVERAGE(OFFSET($H$3,0,0,'Données projet'!$E$16+1,1))</f>
        <v>124.15919323713428</v>
      </c>
      <c r="FK56" s="59">
        <f t="shared" si="48"/>
        <v>157.85954678210715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0</v>
      </c>
      <c r="FR56" s="21">
        <f>EXP(-LN(2)/25)*FR55+(1-EXP(-LN(2)/25))/(LN(2)/25)*Calculateur!FM56*Calculateur!FO56*VLOOKUP('Données projet'!$B$16,Paramètres!$A$1:$I$89,3,0)*0.475*44/12</f>
        <v>2.6564908051888687</v>
      </c>
      <c r="FS56" s="21">
        <f>EXP(-LN(2)/2)*FS55+(1-EXP(-LN(2)/2))/(LN(2)/2)*FM56*FP56*VLOOKUP('Données projet'!$B$16,Paramètres!$A$1:$I$89,3,0)*0.475*44/12</f>
        <v>2.5471497654348837E-3</v>
      </c>
      <c r="FT56" s="22">
        <f t="shared" si="24"/>
        <v>2.6590379549543037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7.8</v>
      </c>
      <c r="N57" s="13">
        <f>IF('Données projet'!$A$36&gt;35,N56+M57-V56,IF(A57&lt;'Données projet'!$A$36,$K$205^A57,IF(A57='Données projet'!$A$36,'Données projet'!$B$36,N56+M57-V56)))</f>
        <v>188.2000000000001</v>
      </c>
      <c r="O57" s="13">
        <f>N57*VLOOKUP('Données projet'!$B$9,Paramètres!$A$1:$I$89,3,0)*VLOOKUP('Données projet'!$B$9,Paramètres!$A$1:$I$89,5,0)</f>
        <v>170.28336000000007</v>
      </c>
      <c r="P57" s="13">
        <f t="shared" si="33"/>
        <v>43.153480646462619</v>
      </c>
      <c r="Q57" s="20">
        <f t="shared" si="53"/>
        <v>371.73583079258918</v>
      </c>
      <c r="R57" s="59">
        <f t="shared" si="0"/>
        <v>665.0691641259225</v>
      </c>
      <c r="S57" s="59">
        <f ca="1">AVERAGE(OFFSET($R$3,0,0,'Données projet'!$E$9+1,1))-AVERAGE(OFFSET($H$3,0,0,'Données projet'!$E$9+1,1))</f>
        <v>237.22177246688199</v>
      </c>
      <c r="T57" s="59">
        <f t="shared" si="34"/>
        <v>149.27472147904302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1.5966289899378756</v>
      </c>
      <c r="AB57" s="21">
        <f>EXP(-LN(2)/2)*AB56+(1-EXP(-LN(2)/2))/(LN(2)/2)*V57*Y57*VLOOKUP('Données projet'!$B$9,Paramètres!$A$1:$I$89,3,0)*0.475*44/12</f>
        <v>1.5110712535225653E-3</v>
      </c>
      <c r="AC57" s="22">
        <f t="shared" si="3"/>
        <v>1.5981400611913981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5.6</v>
      </c>
      <c r="AI57" s="13">
        <f>IF('Données projet'!$A$62&gt;35,AI56+AH57-AQ56,IF(A57&lt;'Données projet'!$A$62,$AF$205^A57,IF(A57='Données projet'!$A$62,'Données projet'!$B$62,AI56+AH57-AQ56)))</f>
        <v>186.39999999999972</v>
      </c>
      <c r="AJ57" s="13">
        <f>AI57*VLOOKUP('Données projet'!$B$10,Paramètres!$A$1:$I$89,3,0)*VLOOKUP('Données projet'!$B$10,Paramètres!$A$1:$I$89,5,0)</f>
        <v>162.83903999999978</v>
      </c>
      <c r="AK57" s="13">
        <f t="shared" si="35"/>
        <v>41.482211836000076</v>
      </c>
      <c r="AL57" s="20">
        <f t="shared" si="4"/>
        <v>355.85951361436645</v>
      </c>
      <c r="AM57" s="59">
        <f t="shared" si="5"/>
        <v>649.19284694769976</v>
      </c>
      <c r="AN57" s="59">
        <f ca="1">AVERAGE(OFFSET($AM$3,0,0,'Données projet'!$E$10+1,1))-AVERAGE(OFFSET($H$3,0,0,'Données projet'!$E$10+1,1))</f>
        <v>191.94797389630673</v>
      </c>
      <c r="AO57" s="59">
        <f t="shared" si="36"/>
        <v>273.52540822767878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1.600660811517566</v>
      </c>
      <c r="AV57" s="21">
        <f>EXP(-LN(2)/25)*AV56+(1-EXP(-LN(2)/25))/(LN(2)/25)*Calculateur!AQ57*Calculateur!AS57*VLOOKUP('Données projet'!$B$10,Paramètres!$A$1:$I$89,3,0)*0.475*44/12</f>
        <v>7.2215491658923341</v>
      </c>
      <c r="AW57" s="21">
        <f>EXP(-LN(2)/2)*AW56+(1-EXP(-LN(2)/2))/(LN(2)/2)*AQ57*AT57*VLOOKUP('Données projet'!$B$10,Paramètres!$A$1:$I$89,3,0)*0.475*44/12</f>
        <v>5.6648102831224059E-3</v>
      </c>
      <c r="AX57" s="21">
        <f t="shared" si="6"/>
        <v>8.8278747876930215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>
        <f>VLOOKUP(A57,'Données projet'!$A$87:$I$107,2,0)</f>
        <v>184</v>
      </c>
      <c r="BB57" s="12">
        <f>VLOOKUP(A57,'Données projet'!$A$87:$I$107,9,0)</f>
        <v>3.75</v>
      </c>
      <c r="BC57" s="12">
        <f t="array" ref="BC57">INDEX(BB:BB,MIN(IF(ISNUMBER(BB57:BB253),ROW(BB57:BB253),"")))</f>
        <v>3.75</v>
      </c>
      <c r="BD57" s="12">
        <f>IF('Données projet'!$A$88&gt;35,BD56+BC57-BL56,IF(A57&lt;'Données projet'!$A$88,$BA$205^A57,IF(A57='Données projet'!$A$88,'Données projet'!$B$88,BD56+BC57-BL56)))</f>
        <v>184</v>
      </c>
      <c r="BE57" s="13">
        <f>BD57*VLOOKUP('Données projet'!$B$11,Paramètres!$A$1:$I$89,3,0)*VLOOKUP('Données projet'!$B$11,Paramètres!$A$1:$I$89,5,0)</f>
        <v>110.03200000000001</v>
      </c>
      <c r="BF57" s="13">
        <f t="shared" si="37"/>
        <v>29.338523894513916</v>
      </c>
      <c r="BG57" s="20">
        <f t="shared" si="7"/>
        <v>242.73699578294506</v>
      </c>
      <c r="BH57" s="59">
        <f t="shared" si="8"/>
        <v>536.07032911627834</v>
      </c>
      <c r="BI57" s="59">
        <f ca="1">AVERAGE(OFFSET($BH$3,0,0,'Données projet'!$E$11+1,1))-AVERAGE(OFFSET($H$3,0,0,'Données projet'!$E$11+1,1))</f>
        <v>72.647148358003676</v>
      </c>
      <c r="BJ57" s="59">
        <f t="shared" si="38"/>
        <v>87.231299224620898</v>
      </c>
      <c r="BK57" s="15">
        <f>IF(ISNA(VLOOKUP(A57,'Données projet'!$A$87:$I$107,3,0)),0,VLOOKUP(A57,'Données projet'!$A$87:$I$107,3,0))</f>
        <v>8</v>
      </c>
      <c r="BL57" s="15">
        <f>IF(ISNA(VLOOKUP(A57,'Données projet'!$A$87:$I$107,4,0)),0,VLOOKUP(A57,'Données projet'!$A$87:$I$107,4,0))</f>
        <v>16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0.79109865409101399</v>
      </c>
      <c r="BQ57" s="21">
        <f>EXP(-LN(2)/25)*BQ56+(1-EXP(-LN(2)/25))/(LN(2)/25)*Calculateur!BL57*Calculateur!BN57*VLOOKUP('Données projet'!$B$11,Paramètres!$A$1:$I$89,3,0)*0.475*44/12</f>
        <v>2.3292576468037605</v>
      </c>
      <c r="BR57" s="21">
        <f>EXP(-LN(2)/2)*BR56+(1-EXP(-LN(2)/2))/(LN(2)/2)*BL57*BO57*VLOOKUP('Données projet'!$B$11,Paramètres!$A$1:$I$89,3,0)*0.475*44/12</f>
        <v>5.5685940338642218E-4</v>
      </c>
      <c r="BS57" s="22">
        <f t="shared" si="9"/>
        <v>3.1209131602981608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9.6</v>
      </c>
      <c r="BY57" s="12">
        <f>IF('Données projet'!$A$114&gt;35,BY56+BX57-CG56,IF(A57&lt;'Données projet'!$A$114,$BV$205^A57,IF(A57='Données projet'!$A$114,'Données projet'!$B$114,BY56+BX57-CG56)))</f>
        <v>266.39999999999992</v>
      </c>
      <c r="BZ57" s="13">
        <f>BY57*VLOOKUP('Données projet'!$B$12,Paramètres!$A$1:$I$89,3,0)*VLOOKUP('Données projet'!$B$12,Paramètres!$A$1:$I$89,5,0)</f>
        <v>159.30719999999997</v>
      </c>
      <c r="CA57" s="13">
        <f t="shared" si="39"/>
        <v>40.686212990054052</v>
      </c>
      <c r="CB57" s="20">
        <f t="shared" si="10"/>
        <v>348.32186095767742</v>
      </c>
      <c r="CC57" s="59">
        <f t="shared" si="11"/>
        <v>641.65519429101073</v>
      </c>
      <c r="CD57" s="59">
        <f ca="1">AVERAGE(OFFSET($CC$3,0,0,'Données projet'!$E$12+1,1))-AVERAGE(OFFSET($H$3,0,0,'Données projet'!$E$12+1,1))</f>
        <v>165.39579887388538</v>
      </c>
      <c r="CE57" s="59">
        <f t="shared" si="40"/>
        <v>155.89639262545802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3.7470868671301441</v>
      </c>
      <c r="CM57" s="21">
        <f>EXP(-LN(2)/2)*CM56+(1-EXP(-LN(2)/2))/(LN(2)/2)*CG57*CJ57*VLOOKUP('Données projet'!$B$12,Paramètres!$A$1:$I$89,3,0)*0.475*44/12</f>
        <v>3.3886805994572636E-3</v>
      </c>
      <c r="CN57" s="22">
        <f t="shared" si="12"/>
        <v>3.7504755477296015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8.1</v>
      </c>
      <c r="CT57" s="12">
        <f>IF('Données projet'!$A$140&gt;35,CT56+CS57-DB56,IF(A57&lt;'Données projet'!$A$140,$CQ$205^A57,IF(A57='Données projet'!$A$140,'Données projet'!$B$140,CT56+CS57-DB56)))</f>
        <v>274.90000000000009</v>
      </c>
      <c r="CU57" s="17">
        <f>CT57*VLOOKUP('Données projet'!$B$13,Paramètres!$A$1:$I$89,3,0)*VLOOKUP('Données projet'!$B$13,Paramètres!$A$1:$I$89,5,0)</f>
        <v>214.42200000000008</v>
      </c>
      <c r="CV57" s="13">
        <f t="shared" si="41"/>
        <v>52.900728884120014</v>
      </c>
      <c r="CW57" s="20">
        <f t="shared" si="13"/>
        <v>465.58708613984254</v>
      </c>
      <c r="CX57" s="59">
        <f t="shared" si="14"/>
        <v>758.9204194731758</v>
      </c>
      <c r="CY57" s="59">
        <f ca="1">AVERAGE(OFFSET($CX$3,0,0,'Données projet'!$E$13+1,1))-AVERAGE(OFFSET($H$3,0,0,'Données projet'!$E$13+1,1))</f>
        <v>190.06335940156185</v>
      </c>
      <c r="CZ57" s="59">
        <f t="shared" si="42"/>
        <v>166.43663896839928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2.2960044953132734</v>
      </c>
      <c r="DH57" s="21">
        <f>EXP(-LN(2)/2)*DH56+(1-EXP(-LN(2)/2))/(LN(2)/2)*DB57*DE57*VLOOKUP('Données projet'!$B$13,Paramètres!$A$1:$I$89,3,0)*0.475*44/12</f>
        <v>1.3003903447114948E-3</v>
      </c>
      <c r="DI57" s="22">
        <f t="shared" si="15"/>
        <v>2.2973048856579847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7.8</v>
      </c>
      <c r="DO57" s="12">
        <f>IF('Données projet'!$A$166&gt;35,DO56+DN57-DW56,IF(A57&lt;'Données projet'!$A$166,$DL$205^A57,IF(A57='Données projet'!$A$166,'Données projet'!$B$166,DO56+DN57-DW56)))</f>
        <v>188.2000000000001</v>
      </c>
      <c r="DP57" s="17">
        <f>DO57*VLOOKUP('Données projet'!$B$14,Paramètres!$A$1:$I$89,3,0)*VLOOKUP('Données projet'!$B$14,Paramètres!$A$1:$I$89,5,0)</f>
        <v>182.02704000000011</v>
      </c>
      <c r="DQ57" s="13">
        <f t="shared" si="43"/>
        <v>45.772870875913057</v>
      </c>
      <c r="DR57" s="20">
        <f t="shared" si="16"/>
        <v>396.75151144221542</v>
      </c>
      <c r="DS57" s="59">
        <f t="shared" si="17"/>
        <v>690.08484477554873</v>
      </c>
      <c r="DT57" s="59">
        <f ca="1">AVERAGE(OFFSET($DS$3,0,0,'Données projet'!$E$14+1,1))-AVERAGE(OFFSET($H$3,0,0,'Données projet'!$E$14+1,1))</f>
        <v>261.22357949323879</v>
      </c>
      <c r="DU57" s="59">
        <f t="shared" si="44"/>
        <v>163.41029152029387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0</v>
      </c>
      <c r="EB57" s="21">
        <f>EXP(-LN(2)/25)*EB56+(1-EXP(-LN(2)/25))/(LN(2)/25)*Calculateur!DW57*Calculateur!DY57*VLOOKUP('Données projet'!$B$14,Paramètres!$A$1:$I$89,3,0)*0.475*44/12</f>
        <v>1.7067413340715221</v>
      </c>
      <c r="EC57" s="21">
        <f>EXP(-LN(2)/2)*EC56+(1-EXP(-LN(2)/2))/(LN(2)/2)*DW57*DZ57*VLOOKUP('Données projet'!$B$14,Paramètres!$A$1:$I$89,3,0)*0.475*44/12</f>
        <v>1.6152830641103281E-3</v>
      </c>
      <c r="ED57" s="22">
        <f t="shared" si="18"/>
        <v>1.7083566171356324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8</v>
      </c>
      <c r="EJ57" s="12">
        <f>IF('Données projet'!$A$192&gt;35,EJ56+EI57-ER56,IF(A57&lt;'Données projet'!$A$192,$EG$205^A57,IF(A57='Données projet'!$A$192,'Données projet'!$B$192,EJ56+EI57-ER56)))</f>
        <v>227.09999999999997</v>
      </c>
      <c r="EK57" s="17">
        <f>EJ57*VLOOKUP('Données projet'!$B$15,Paramètres!$A$1:$I$89,3,0)*VLOOKUP('Données projet'!$B$15,Paramètres!$A$1:$I$89,5,0)</f>
        <v>106.28279999999998</v>
      </c>
      <c r="EL57" s="13">
        <f t="shared" si="45"/>
        <v>28.453438732464605</v>
      </c>
      <c r="EM57" s="20">
        <f t="shared" si="19"/>
        <v>234.6656157923758</v>
      </c>
      <c r="EN57" s="59">
        <f t="shared" si="20"/>
        <v>527.99894912570915</v>
      </c>
      <c r="EO57" s="59">
        <f ca="1">AVERAGE(OFFSET($EN$3,0,0,'Données projet'!$E$15+1,1))-AVERAGE(OFFSET($H$3,0,0,'Données projet'!$E$15+1,1))</f>
        <v>123.60520571614535</v>
      </c>
      <c r="EP57" s="59">
        <f t="shared" si="46"/>
        <v>119.00926870519527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0.53920020317249917</v>
      </c>
      <c r="EW57" s="21">
        <f>EXP(-LN(2)/25)*EW56+(1-EXP(-LN(2)/25))/(LN(2)/25)*Calculateur!ER57*Calculateur!ET57*VLOOKUP('Données projet'!$B$15,Paramètres!$A$1:$I$89,3,0)*0.475*44/12</f>
        <v>2.4555255776706182</v>
      </c>
      <c r="EX57" s="21">
        <f>EXP(-LN(2)/2)*EX56+(1-EXP(-LN(2)/2))/(LN(2)/2)*ER57*EU57*VLOOKUP('Données projet'!$B$15,Paramètres!$A$1:$I$89,3,0)*0.475*44/12</f>
        <v>1.4926051003619496E-3</v>
      </c>
      <c r="EY57" s="22">
        <f t="shared" si="21"/>
        <v>2.9962183859434792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4.4000000000000004</v>
      </c>
      <c r="FE57" s="12">
        <f>IF('Données projet'!$A$218&gt;35,FE56+FD57-FM56,IF(A57&lt;'Données projet'!$A$218,$FB$205^A57,IF(A57='Données projet'!$A$218,'Données projet'!$B$218,FE56+FD57-FM56)))</f>
        <v>178.6</v>
      </c>
      <c r="FF57" s="17">
        <f>FE57*VLOOKUP('Données projet'!$B$16,Paramètres!$A$1:$I$89,3,0)*VLOOKUP('Données projet'!$B$16,Paramètres!$A$1:$I$89,5,0)</f>
        <v>130.94952000000001</v>
      </c>
      <c r="FG57" s="13">
        <f t="shared" si="47"/>
        <v>34.215672510296287</v>
      </c>
      <c r="FH57" s="20">
        <f t="shared" si="22"/>
        <v>287.66271028876605</v>
      </c>
      <c r="FI57" s="59">
        <f t="shared" si="23"/>
        <v>580.99604362209936</v>
      </c>
      <c r="FJ57" s="59">
        <f ca="1">AVERAGE(OFFSET($FI$3,0,0,'Données projet'!$E$16+1,1))-AVERAGE(OFFSET($H$3,0,0,'Données projet'!$E$16+1,1))</f>
        <v>124.15919323713428</v>
      </c>
      <c r="FK57" s="59">
        <f t="shared" si="48"/>
        <v>157.85954678210715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0</v>
      </c>
      <c r="FR57" s="21">
        <f>EXP(-LN(2)/25)*FR56+(1-EXP(-LN(2)/25))/(LN(2)/25)*Calculateur!FM57*Calculateur!FO57*VLOOKUP('Données projet'!$B$16,Paramètres!$A$1:$I$89,3,0)*0.475*44/12</f>
        <v>2.5838489244221989</v>
      </c>
      <c r="FS57" s="21">
        <f>EXP(-LN(2)/2)*FS56+(1-EXP(-LN(2)/2))/(LN(2)/2)*FM57*FP57*VLOOKUP('Données projet'!$B$16,Paramètres!$A$1:$I$89,3,0)*0.475*44/12</f>
        <v>1.8011068718367302E-3</v>
      </c>
      <c r="FT57" s="22">
        <f t="shared" si="24"/>
        <v>2.5856500312940356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7.8</v>
      </c>
      <c r="N58" s="13">
        <f>IF('Données projet'!$A$36&gt;35,N57+M58-V57,IF(A58&lt;'Données projet'!$A$36,$K$205^A58,IF(A58='Données projet'!$A$36,'Données projet'!$B$36,N57+M58-V57)))</f>
        <v>196.00000000000011</v>
      </c>
      <c r="O58" s="13">
        <f>N58*VLOOKUP('Données projet'!$B$9,Paramètres!$A$1:$I$89,3,0)*VLOOKUP('Données projet'!$B$9,Paramètres!$A$1:$I$89,5,0)</f>
        <v>177.34080000000012</v>
      </c>
      <c r="P58" s="13">
        <f t="shared" si="33"/>
        <v>44.730051658603102</v>
      </c>
      <c r="Q58" s="20">
        <f t="shared" si="53"/>
        <v>386.77339997206718</v>
      </c>
      <c r="R58" s="59">
        <f t="shared" si="0"/>
        <v>680.10673330540044</v>
      </c>
      <c r="S58" s="59">
        <f ca="1">AVERAGE(OFFSET($R$3,0,0,'Données projet'!$E$9+1,1))-AVERAGE(OFFSET($H$3,0,0,'Données projet'!$E$9+1,1))</f>
        <v>237.22177246688199</v>
      </c>
      <c r="T58" s="59">
        <f t="shared" si="34"/>
        <v>149.27472147904302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1.552969086244955</v>
      </c>
      <c r="AB58" s="21">
        <f>EXP(-LN(2)/2)*AB57+(1-EXP(-LN(2)/2))/(LN(2)/2)*V58*Y58*VLOOKUP('Données projet'!$B$9,Paramètres!$A$1:$I$89,3,0)*0.475*44/12</f>
        <v>1.0684887302218626E-3</v>
      </c>
      <c r="AC58" s="22">
        <f t="shared" si="3"/>
        <v>1.5540375749751769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5.6</v>
      </c>
      <c r="AI58" s="13">
        <f>IF('Données projet'!$A$62&gt;35,AI57+AH58-AQ57,IF(A58&lt;'Données projet'!$A$62,$AF$205^A58,IF(A58='Données projet'!$A$62,'Données projet'!$B$62,AI57+AH58-AQ57)))</f>
        <v>191.99999999999972</v>
      </c>
      <c r="AJ58" s="13">
        <f>AI58*VLOOKUP('Données projet'!$B$10,Paramètres!$A$1:$I$89,3,0)*VLOOKUP('Données projet'!$B$10,Paramètres!$A$1:$I$89,5,0)</f>
        <v>167.73119999999977</v>
      </c>
      <c r="AK58" s="13">
        <f t="shared" si="35"/>
        <v>42.581491199832612</v>
      </c>
      <c r="AL58" s="20">
        <f t="shared" si="4"/>
        <v>366.29460383970803</v>
      </c>
      <c r="AM58" s="59">
        <f t="shared" si="5"/>
        <v>659.62793717304135</v>
      </c>
      <c r="AN58" s="59">
        <f ca="1">AVERAGE(OFFSET($AM$3,0,0,'Données projet'!$E$10+1,1))-AVERAGE(OFFSET($H$3,0,0,'Données projet'!$E$10+1,1))</f>
        <v>191.94797389630673</v>
      </c>
      <c r="AO58" s="59">
        <f t="shared" si="36"/>
        <v>273.52540822767878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1.5692728293103992</v>
      </c>
      <c r="AV58" s="21">
        <f>EXP(-LN(2)/25)*AV57+(1-EXP(-LN(2)/25))/(LN(2)/25)*Calculateur!AQ58*Calculateur!AS58*VLOOKUP('Données projet'!$B$10,Paramètres!$A$1:$I$89,3,0)*0.475*44/12</f>
        <v>7.0240755241862427</v>
      </c>
      <c r="AW58" s="21">
        <f>EXP(-LN(2)/2)*AW57+(1-EXP(-LN(2)/2))/(LN(2)/2)*AQ58*AT58*VLOOKUP('Données projet'!$B$10,Paramètres!$A$1:$I$89,3,0)*0.475*44/12</f>
        <v>4.0056257653311392E-3</v>
      </c>
      <c r="AX58" s="21">
        <f t="shared" si="6"/>
        <v>8.5973539792619729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1.625</v>
      </c>
      <c r="BD58" s="12">
        <f>IF('Données projet'!$A$88&gt;35,BD57+BC58-BL57,IF(A58&lt;'Données projet'!$A$88,$BA$205^A58,IF(A58='Données projet'!$A$88,'Données projet'!$B$88,BD57+BC58-BL57)))</f>
        <v>169.625</v>
      </c>
      <c r="BE58" s="13">
        <f>BD58*VLOOKUP('Données projet'!$B$11,Paramètres!$A$1:$I$89,3,0)*VLOOKUP('Données projet'!$B$11,Paramètres!$A$1:$I$89,5,0)</f>
        <v>101.43575000000001</v>
      </c>
      <c r="BF58" s="13">
        <f t="shared" si="37"/>
        <v>27.303760885708478</v>
      </c>
      <c r="BG58" s="20">
        <f t="shared" si="7"/>
        <v>224.22131479260892</v>
      </c>
      <c r="BH58" s="59">
        <f t="shared" si="8"/>
        <v>517.55464812594221</v>
      </c>
      <c r="BI58" s="59">
        <f ca="1">AVERAGE(OFFSET($BH$3,0,0,'Données projet'!$E$11+1,1))-AVERAGE(OFFSET($H$3,0,0,'Données projet'!$E$11+1,1))</f>
        <v>72.647148358003676</v>
      </c>
      <c r="BJ58" s="59">
        <f t="shared" si="38"/>
        <v>87.231299224620898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0.77558569200682304</v>
      </c>
      <c r="BQ58" s="21">
        <f>EXP(-LN(2)/25)*BQ57+(1-EXP(-LN(2)/25))/(LN(2)/25)*Calculateur!BL58*Calculateur!BN58*VLOOKUP('Données projet'!$B$11,Paramètres!$A$1:$I$89,3,0)*0.475*44/12</f>
        <v>2.2655639739615756</v>
      </c>
      <c r="BR58" s="21">
        <f>EXP(-LN(2)/2)*BR57+(1-EXP(-LN(2)/2))/(LN(2)/2)*BL58*BO58*VLOOKUP('Données projet'!$B$11,Paramètres!$A$1:$I$89,3,0)*0.475*44/12</f>
        <v>3.9375906030203424E-4</v>
      </c>
      <c r="BS58" s="22">
        <f t="shared" si="9"/>
        <v>3.0415434250287006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9.6</v>
      </c>
      <c r="BY58" s="12">
        <f>IF('Données projet'!$A$114&gt;35,BY57+BX58-CG57,IF(A58&lt;'Données projet'!$A$114,$BV$205^A58,IF(A58='Données projet'!$A$114,'Données projet'!$B$114,BY57+BX58-CG57)))</f>
        <v>275.99999999999994</v>
      </c>
      <c r="BZ58" s="13">
        <f>BY58*VLOOKUP('Données projet'!$B$12,Paramètres!$A$1:$I$89,3,0)*VLOOKUP('Données projet'!$B$12,Paramètres!$A$1:$I$89,5,0)</f>
        <v>165.04799999999997</v>
      </c>
      <c r="CA58" s="13">
        <f t="shared" si="39"/>
        <v>41.979039350635581</v>
      </c>
      <c r="CB58" s="20">
        <f t="shared" si="10"/>
        <v>360.57209353569027</v>
      </c>
      <c r="CC58" s="59">
        <f t="shared" si="11"/>
        <v>653.90542686902359</v>
      </c>
      <c r="CD58" s="59">
        <f ca="1">AVERAGE(OFFSET($CC$3,0,0,'Données projet'!$E$12+1,1))-AVERAGE(OFFSET($H$3,0,0,'Données projet'!$E$12+1,1))</f>
        <v>165.39579887388538</v>
      </c>
      <c r="CE58" s="59">
        <f t="shared" si="40"/>
        <v>155.89639262545802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3.6446225796977361</v>
      </c>
      <c r="CM58" s="21">
        <f>EXP(-LN(2)/2)*CM57+(1-EXP(-LN(2)/2))/(LN(2)/2)*CG58*CJ58*VLOOKUP('Données projet'!$B$12,Paramètres!$A$1:$I$89,3,0)*0.475*44/12</f>
        <v>2.3961590311515259E-3</v>
      </c>
      <c r="CN58" s="22">
        <f t="shared" si="12"/>
        <v>3.6470187387288875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283</v>
      </c>
      <c r="CR58" s="12">
        <f>VLOOKUP(A58,'Données projet'!$A$139:$I$159,9,0)</f>
        <v>8.1</v>
      </c>
      <c r="CS58" s="12">
        <f t="array" ref="CS58">INDEX(CR:CR,MIN(IF(ISNUMBER(CR58:CR254),ROW(CR58:CR254),"")))</f>
        <v>8.1</v>
      </c>
      <c r="CT58" s="12">
        <f>IF('Données projet'!$A$140&gt;35,CT57+CS58-DB57,IF(A58&lt;'Données projet'!$A$140,$CQ$205^A58,IF(A58='Données projet'!$A$140,'Données projet'!$B$140,CT57+CS58-DB57)))</f>
        <v>283.00000000000011</v>
      </c>
      <c r="CU58" s="17">
        <f>CT58*VLOOKUP('Données projet'!$B$13,Paramètres!$A$1:$I$89,3,0)*VLOOKUP('Données projet'!$B$13,Paramètres!$A$1:$I$89,5,0)</f>
        <v>220.74000000000009</v>
      </c>
      <c r="CV58" s="13">
        <f t="shared" si="41"/>
        <v>54.275689618029304</v>
      </c>
      <c r="CW58" s="20">
        <f t="shared" si="13"/>
        <v>478.98565941806783</v>
      </c>
      <c r="CX58" s="59">
        <f t="shared" si="14"/>
        <v>772.31899275140108</v>
      </c>
      <c r="CY58" s="59">
        <f ca="1">AVERAGE(OFFSET($CX$3,0,0,'Données projet'!$E$13+1,1))-AVERAGE(OFFSET($H$3,0,0,'Données projet'!$E$13+1,1))</f>
        <v>190.06335940156185</v>
      </c>
      <c r="CZ58" s="59">
        <f t="shared" si="42"/>
        <v>166.43663896839928</v>
      </c>
      <c r="DA58" s="15">
        <f>IF(ISNA(VLOOKUP(A58,'Données projet'!$A$139:$I$159,3,0)),0,VLOOKUP(A58,'Données projet'!$A$139:$I$159,3,0))</f>
        <v>5</v>
      </c>
      <c r="DB58" s="15">
        <f>IF(ISNA(VLOOKUP(A58,'Données projet'!$A$139:$I$159,4,0)),0,VLOOKUP(A58,'Données projet'!$A$139:$I$159,4,0))</f>
        <v>60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2.233220131647303</v>
      </c>
      <c r="DH58" s="21">
        <f>EXP(-LN(2)/2)*DH57+(1-EXP(-LN(2)/2))/(LN(2)/2)*DB58*DE58*VLOOKUP('Données projet'!$B$13,Paramètres!$A$1:$I$89,3,0)*0.475*44/12</f>
        <v>9.1951483093501011E-4</v>
      </c>
      <c r="DI58" s="22">
        <f t="shared" si="15"/>
        <v>2.2341396464782379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7.8</v>
      </c>
      <c r="DO58" s="12">
        <f>IF('Données projet'!$A$166&gt;35,DO57+DN58-DW57,IF(A58&lt;'Données projet'!$A$166,$DL$205^A58,IF(A58='Données projet'!$A$166,'Données projet'!$B$166,DO57+DN58-DW57)))</f>
        <v>196.00000000000011</v>
      </c>
      <c r="DP58" s="17">
        <f>DO58*VLOOKUP('Données projet'!$B$14,Paramètres!$A$1:$I$89,3,0)*VLOOKUP('Données projet'!$B$14,Paramètres!$A$1:$I$89,5,0)</f>
        <v>189.57120000000012</v>
      </c>
      <c r="DQ58" s="13">
        <f t="shared" si="43"/>
        <v>47.445138796932483</v>
      </c>
      <c r="DR58" s="20">
        <f t="shared" si="16"/>
        <v>412.80345673799087</v>
      </c>
      <c r="DS58" s="59">
        <f t="shared" si="17"/>
        <v>706.13679007132419</v>
      </c>
      <c r="DT58" s="59">
        <f ca="1">AVERAGE(OFFSET($DS$3,0,0,'Données projet'!$E$14+1,1))-AVERAGE(OFFSET($H$3,0,0,'Données projet'!$E$14+1,1))</f>
        <v>261.22357949323879</v>
      </c>
      <c r="DU58" s="59">
        <f t="shared" si="44"/>
        <v>163.41029152029387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0</v>
      </c>
      <c r="EB58" s="21">
        <f>EXP(-LN(2)/25)*EB57+(1-EXP(-LN(2)/25))/(LN(2)/25)*Calculateur!DW58*Calculateur!DY58*VLOOKUP('Données projet'!$B$14,Paramètres!$A$1:$I$89,3,0)*0.475*44/12</f>
        <v>1.6600704025377104</v>
      </c>
      <c r="EC58" s="21">
        <f>EXP(-LN(2)/2)*EC57+(1-EXP(-LN(2)/2))/(LN(2)/2)*DW58*DZ58*VLOOKUP('Données projet'!$B$14,Paramètres!$A$1:$I$89,3,0)*0.475*44/12</f>
        <v>1.1421776081681977E-3</v>
      </c>
      <c r="ED58" s="22">
        <f t="shared" si="18"/>
        <v>1.6612125801458786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8</v>
      </c>
      <c r="EJ58" s="12">
        <f>IF('Données projet'!$A$192&gt;35,EJ57+EI58-ER57,IF(A58&lt;'Données projet'!$A$192,$EG$205^A58,IF(A58='Données projet'!$A$192,'Données projet'!$B$192,EJ57+EI58-ER57)))</f>
        <v>235.09999999999997</v>
      </c>
      <c r="EK58" s="17">
        <f>EJ58*VLOOKUP('Données projet'!$B$15,Paramètres!$A$1:$I$89,3,0)*VLOOKUP('Données projet'!$B$15,Paramètres!$A$1:$I$89,5,0)</f>
        <v>110.02679999999998</v>
      </c>
      <c r="EL58" s="13">
        <f t="shared" si="45"/>
        <v>29.337298772065111</v>
      </c>
      <c r="EM58" s="20">
        <f t="shared" si="19"/>
        <v>242.72580536134669</v>
      </c>
      <c r="EN58" s="59">
        <f t="shared" si="20"/>
        <v>536.05913869467997</v>
      </c>
      <c r="EO58" s="59">
        <f ca="1">AVERAGE(OFFSET($EN$3,0,0,'Données projet'!$E$15+1,1))-AVERAGE(OFFSET($H$3,0,0,'Données projet'!$E$15+1,1))</f>
        <v>123.60520571614535</v>
      </c>
      <c r="EP58" s="59">
        <f t="shared" si="46"/>
        <v>119.00926870519527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0.52862681606793627</v>
      </c>
      <c r="EW58" s="21">
        <f>EXP(-LN(2)/25)*EW57+(1-EXP(-LN(2)/25))/(LN(2)/25)*Calculateur!ER58*Calculateur!ET58*VLOOKUP('Données projet'!$B$15,Paramètres!$A$1:$I$89,3,0)*0.475*44/12</f>
        <v>2.388379101618737</v>
      </c>
      <c r="EX58" s="21">
        <f>EXP(-LN(2)/2)*EX57+(1-EXP(-LN(2)/2))/(LN(2)/2)*ER58*EU58*VLOOKUP('Données projet'!$B$15,Paramètres!$A$1:$I$89,3,0)*0.475*44/12</f>
        <v>1.0554311880995619E-3</v>
      </c>
      <c r="EY58" s="22">
        <f t="shared" si="21"/>
        <v>2.9180613488747729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4.4000000000000004</v>
      </c>
      <c r="FE58" s="12">
        <f>IF('Données projet'!$A$218&gt;35,FE57+FD58-FM57,IF(A58&lt;'Données projet'!$A$218,$FB$205^A58,IF(A58='Données projet'!$A$218,'Données projet'!$B$218,FE57+FD58-FM57)))</f>
        <v>183</v>
      </c>
      <c r="FF58" s="17">
        <f>FE58*VLOOKUP('Données projet'!$B$16,Paramètres!$A$1:$I$89,3,0)*VLOOKUP('Données projet'!$B$16,Paramètres!$A$1:$I$89,5,0)</f>
        <v>134.1756</v>
      </c>
      <c r="FG58" s="13">
        <f t="shared" si="47"/>
        <v>34.959435402722768</v>
      </c>
      <c r="FH58" s="20">
        <f t="shared" si="22"/>
        <v>294.57685332640881</v>
      </c>
      <c r="FI58" s="59">
        <f t="shared" si="23"/>
        <v>587.91018665974207</v>
      </c>
      <c r="FJ58" s="59">
        <f ca="1">AVERAGE(OFFSET($FI$3,0,0,'Données projet'!$E$16+1,1))-AVERAGE(OFFSET($H$3,0,0,'Données projet'!$E$16+1,1))</f>
        <v>124.15919323713428</v>
      </c>
      <c r="FK58" s="59">
        <f t="shared" si="48"/>
        <v>157.85954678210715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0</v>
      </c>
      <c r="FR58" s="21">
        <f>EXP(-LN(2)/25)*FR57+(1-EXP(-LN(2)/25))/(LN(2)/25)*Calculateur!FM58*Calculateur!FO58*VLOOKUP('Données projet'!$B$16,Paramètres!$A$1:$I$89,3,0)*0.475*44/12</f>
        <v>2.5131934397051645</v>
      </c>
      <c r="FS58" s="21">
        <f>EXP(-LN(2)/2)*FS57+(1-EXP(-LN(2)/2))/(LN(2)/2)*FM58*FP58*VLOOKUP('Données projet'!$B$16,Paramètres!$A$1:$I$89,3,0)*0.475*44/12</f>
        <v>1.2735748827174419E-3</v>
      </c>
      <c r="FT58" s="22">
        <f t="shared" si="24"/>
        <v>2.5144670145878818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7.8</v>
      </c>
      <c r="N59" s="13">
        <f>IF('Données projet'!$A$36&gt;35,N58+M59-V58,IF(A59&lt;'Données projet'!$A$36,$K$205^A59,IF(A59='Données projet'!$A$36,'Données projet'!$B$36,N58+M59-V58)))</f>
        <v>203.80000000000013</v>
      </c>
      <c r="O59" s="13">
        <f>N59*VLOOKUP('Données projet'!$B$9,Paramètres!$A$1:$I$89,3,0)*VLOOKUP('Données projet'!$B$9,Paramètres!$A$1:$I$89,5,0)</f>
        <v>184.3982400000001</v>
      </c>
      <c r="P59" s="13">
        <f t="shared" si="33"/>
        <v>46.299334464645959</v>
      </c>
      <c r="Q59" s="20">
        <f t="shared" si="53"/>
        <v>401.79827552592519</v>
      </c>
      <c r="R59" s="59">
        <f t="shared" si="0"/>
        <v>695.13160885925845</v>
      </c>
      <c r="S59" s="59">
        <f ca="1">AVERAGE(OFFSET($R$3,0,0,'Données projet'!$E$9+1,1))-AVERAGE(OFFSET($H$3,0,0,'Données projet'!$E$9+1,1))</f>
        <v>237.22177246688199</v>
      </c>
      <c r="T59" s="59">
        <f t="shared" si="34"/>
        <v>149.27472147904302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1.5105030649144917</v>
      </c>
      <c r="AB59" s="21">
        <f>EXP(-LN(2)/2)*AB58+(1-EXP(-LN(2)/2))/(LN(2)/2)*V59*Y59*VLOOKUP('Données projet'!$B$9,Paramètres!$A$1:$I$89,3,0)*0.475*44/12</f>
        <v>7.5553562676128263E-4</v>
      </c>
      <c r="AC59" s="22">
        <f t="shared" si="3"/>
        <v>1.5112586005412529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5.6</v>
      </c>
      <c r="AI59" s="13">
        <f>IF('Données projet'!$A$62&gt;35,AI58+AH59-AQ58,IF(A59&lt;'Données projet'!$A$62,$AF$205^A59,IF(A59='Données projet'!$A$62,'Données projet'!$B$62,AI58+AH59-AQ58)))</f>
        <v>197.59999999999971</v>
      </c>
      <c r="AJ59" s="13">
        <f>AI59*VLOOKUP('Données projet'!$B$10,Paramètres!$A$1:$I$89,3,0)*VLOOKUP('Données projet'!$B$10,Paramètres!$A$1:$I$89,5,0)</f>
        <v>172.62335999999976</v>
      </c>
      <c r="AK59" s="13">
        <f t="shared" si="35"/>
        <v>43.677044279986035</v>
      </c>
      <c r="AL59" s="20">
        <f t="shared" si="4"/>
        <v>376.72320412097525</v>
      </c>
      <c r="AM59" s="59">
        <f t="shared" si="5"/>
        <v>670.05653745430857</v>
      </c>
      <c r="AN59" s="59">
        <f ca="1">AVERAGE(OFFSET($AM$3,0,0,'Données projet'!$E$10+1,1))-AVERAGE(OFFSET($H$3,0,0,'Données projet'!$E$10+1,1))</f>
        <v>191.94797389630673</v>
      </c>
      <c r="AO59" s="59">
        <f t="shared" si="36"/>
        <v>273.52540822767878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1.5385003462895364</v>
      </c>
      <c r="AV59" s="21">
        <f>EXP(-LN(2)/25)*AV58+(1-EXP(-LN(2)/25))/(LN(2)/25)*Calculateur!AQ59*Calculateur!AS59*VLOOKUP('Données projet'!$B$10,Paramètres!$A$1:$I$89,3,0)*0.475*44/12</f>
        <v>6.8320018095972914</v>
      </c>
      <c r="AW59" s="21">
        <f>EXP(-LN(2)/2)*AW58+(1-EXP(-LN(2)/2))/(LN(2)/2)*AQ59*AT59*VLOOKUP('Données projet'!$B$10,Paramètres!$A$1:$I$89,3,0)*0.475*44/12</f>
        <v>2.8324051415612029E-3</v>
      </c>
      <c r="AX59" s="21">
        <f t="shared" si="6"/>
        <v>8.373334561028388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1.625</v>
      </c>
      <c r="BD59" s="12">
        <f>IF('Données projet'!$A$88&gt;35,BD58+BC59-BL58,IF(A59&lt;'Données projet'!$A$88,$BA$205^A59,IF(A59='Données projet'!$A$88,'Données projet'!$B$88,BD58+BC59-BL58)))</f>
        <v>171.25</v>
      </c>
      <c r="BE59" s="13">
        <f>BD59*VLOOKUP('Données projet'!$B$11,Paramètres!$A$1:$I$89,3,0)*VLOOKUP('Données projet'!$B$11,Paramètres!$A$1:$I$89,5,0)</f>
        <v>102.40750000000001</v>
      </c>
      <c r="BF59" s="13">
        <f t="shared" si="37"/>
        <v>27.534754690970516</v>
      </c>
      <c r="BG59" s="20">
        <f t="shared" si="7"/>
        <v>226.31609358677363</v>
      </c>
      <c r="BH59" s="59">
        <f t="shared" si="8"/>
        <v>519.64942692010698</v>
      </c>
      <c r="BI59" s="59">
        <f ca="1">AVERAGE(OFFSET($BH$3,0,0,'Données projet'!$E$11+1,1))-AVERAGE(OFFSET($H$3,0,0,'Données projet'!$E$11+1,1))</f>
        <v>72.647148358003676</v>
      </c>
      <c r="BJ59" s="59">
        <f t="shared" si="38"/>
        <v>87.231299224620898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0.76037692964713055</v>
      </c>
      <c r="BQ59" s="21">
        <f>EXP(-LN(2)/25)*BQ58+(1-EXP(-LN(2)/25))/(LN(2)/25)*Calculateur!BL59*Calculateur!BN59*VLOOKUP('Données projet'!$B$11,Paramètres!$A$1:$I$89,3,0)*0.475*44/12</f>
        <v>2.2036120079527648</v>
      </c>
      <c r="BR59" s="21">
        <f>EXP(-LN(2)/2)*BR58+(1-EXP(-LN(2)/2))/(LN(2)/2)*BL59*BO59*VLOOKUP('Données projet'!$B$11,Paramètres!$A$1:$I$89,3,0)*0.475*44/12</f>
        <v>2.7842970169321109E-4</v>
      </c>
      <c r="BS59" s="22">
        <f t="shared" si="9"/>
        <v>2.9642673673015882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9.6</v>
      </c>
      <c r="BY59" s="12">
        <f>IF('Données projet'!$A$114&gt;35,BY58+BX59-CG58,IF(A59&lt;'Données projet'!$A$114,$BV$205^A59,IF(A59='Données projet'!$A$114,'Données projet'!$B$114,BY58+BX59-CG58)))</f>
        <v>285.59999999999997</v>
      </c>
      <c r="BZ59" s="13">
        <f>BY59*VLOOKUP('Données projet'!$B$12,Paramètres!$A$1:$I$89,3,0)*VLOOKUP('Données projet'!$B$12,Paramètres!$A$1:$I$89,5,0)</f>
        <v>170.78879999999998</v>
      </c>
      <c r="CA59" s="13">
        <f t="shared" si="39"/>
        <v>43.26664091952621</v>
      </c>
      <c r="CB59" s="20">
        <f t="shared" si="10"/>
        <v>372.81322626817473</v>
      </c>
      <c r="CC59" s="59">
        <f t="shared" si="11"/>
        <v>666.14655960150799</v>
      </c>
      <c r="CD59" s="59">
        <f ca="1">AVERAGE(OFFSET($CC$3,0,0,'Données projet'!$E$12+1,1))-AVERAGE(OFFSET($H$3,0,0,'Données projet'!$E$12+1,1))</f>
        <v>165.39579887388538</v>
      </c>
      <c r="CE59" s="59">
        <f t="shared" si="40"/>
        <v>155.89639262545802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3.5449601835935298</v>
      </c>
      <c r="CM59" s="21">
        <f>EXP(-LN(2)/2)*CM58+(1-EXP(-LN(2)/2))/(LN(2)/2)*CG59*CJ59*VLOOKUP('Données projet'!$B$12,Paramètres!$A$1:$I$89,3,0)*0.475*44/12</f>
        <v>1.6943402997286318E-3</v>
      </c>
      <c r="CN59" s="22">
        <f t="shared" si="12"/>
        <v>3.5466545238932583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8</v>
      </c>
      <c r="CT59" s="12">
        <f>IF('Données projet'!$A$140&gt;35,CT58+CS59-DB58,IF(A59&lt;'Données projet'!$A$140,$CQ$205^A59,IF(A59='Données projet'!$A$140,'Données projet'!$B$140,CT58+CS59-DB58)))</f>
        <v>231.00000000000011</v>
      </c>
      <c r="CU59" s="17">
        <f>CT59*VLOOKUP('Données projet'!$B$13,Paramètres!$A$1:$I$89,3,0)*VLOOKUP('Données projet'!$B$13,Paramètres!$A$1:$I$89,5,0)</f>
        <v>180.18000000000009</v>
      </c>
      <c r="CV59" s="13">
        <f t="shared" si="41"/>
        <v>45.362230520410691</v>
      </c>
      <c r="CW59" s="20">
        <f t="shared" si="13"/>
        <v>392.81938482304878</v>
      </c>
      <c r="CX59" s="59">
        <f t="shared" si="14"/>
        <v>686.15271815638209</v>
      </c>
      <c r="CY59" s="59">
        <f ca="1">AVERAGE(OFFSET($CX$3,0,0,'Données projet'!$E$13+1,1))-AVERAGE(OFFSET($H$3,0,0,'Données projet'!$E$13+1,1))</f>
        <v>190.06335940156185</v>
      </c>
      <c r="CZ59" s="59">
        <f t="shared" si="42"/>
        <v>166.43663896839928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2.172152609707465</v>
      </c>
      <c r="DH59" s="21">
        <f>EXP(-LN(2)/2)*DH58+(1-EXP(-LN(2)/2))/(LN(2)/2)*DB59*DE59*VLOOKUP('Données projet'!$B$13,Paramètres!$A$1:$I$89,3,0)*0.475*44/12</f>
        <v>6.5019517235574752E-4</v>
      </c>
      <c r="DI59" s="22">
        <f t="shared" si="15"/>
        <v>2.1728028048798209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7.8</v>
      </c>
      <c r="DO59" s="12">
        <f>IF('Données projet'!$A$166&gt;35,DO58+DN59-DW58,IF(A59&lt;'Données projet'!$A$166,$DL$205^A59,IF(A59='Données projet'!$A$166,'Données projet'!$B$166,DO58+DN59-DW58)))</f>
        <v>203.80000000000013</v>
      </c>
      <c r="DP59" s="17">
        <f>DO59*VLOOKUP('Données projet'!$B$14,Paramètres!$A$1:$I$89,3,0)*VLOOKUP('Données projet'!$B$14,Paramètres!$A$1:$I$89,5,0)</f>
        <v>197.11536000000012</v>
      </c>
      <c r="DQ59" s="13">
        <f t="shared" si="43"/>
        <v>49.109676122143078</v>
      </c>
      <c r="DR59" s="20">
        <f t="shared" si="16"/>
        <v>428.8419379127327</v>
      </c>
      <c r="DS59" s="59">
        <f t="shared" si="17"/>
        <v>722.17527124606602</v>
      </c>
      <c r="DT59" s="59">
        <f ca="1">AVERAGE(OFFSET($DS$3,0,0,'Données projet'!$E$14+1,1))-AVERAGE(OFFSET($H$3,0,0,'Données projet'!$E$14+1,1))</f>
        <v>261.22357949323879</v>
      </c>
      <c r="DU59" s="59">
        <f t="shared" si="44"/>
        <v>163.41029152029387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0</v>
      </c>
      <c r="EB59" s="21">
        <f>EXP(-LN(2)/25)*EB58+(1-EXP(-LN(2)/25))/(LN(2)/25)*Calculateur!DW59*Calculateur!DY59*VLOOKUP('Données projet'!$B$14,Paramètres!$A$1:$I$89,3,0)*0.475*44/12</f>
        <v>1.6146756900810084</v>
      </c>
      <c r="EC59" s="21">
        <f>EXP(-LN(2)/2)*EC58+(1-EXP(-LN(2)/2))/(LN(2)/2)*DW59*DZ59*VLOOKUP('Données projet'!$B$14,Paramètres!$A$1:$I$89,3,0)*0.475*44/12</f>
        <v>8.0764153205516403E-4</v>
      </c>
      <c r="ED59" s="22">
        <f t="shared" si="18"/>
        <v>1.6154833316130637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8</v>
      </c>
      <c r="EJ59" s="12">
        <f>IF('Données projet'!$A$192&gt;35,EJ58+EI59-ER58,IF(A59&lt;'Données projet'!$A$192,$EG$205^A59,IF(A59='Données projet'!$A$192,'Données projet'!$B$192,EJ58+EI59-ER58)))</f>
        <v>243.09999999999997</v>
      </c>
      <c r="EK59" s="17">
        <f>EJ59*VLOOKUP('Données projet'!$B$15,Paramètres!$A$1:$I$89,3,0)*VLOOKUP('Données projet'!$B$15,Paramètres!$A$1:$I$89,5,0)</f>
        <v>113.77079999999999</v>
      </c>
      <c r="EL59" s="13">
        <f t="shared" si="45"/>
        <v>30.217664170580228</v>
      </c>
      <c r="EM59" s="20">
        <f t="shared" si="19"/>
        <v>250.77990843042718</v>
      </c>
      <c r="EN59" s="59">
        <f t="shared" si="20"/>
        <v>544.11324176376047</v>
      </c>
      <c r="EO59" s="59">
        <f ca="1">AVERAGE(OFFSET($EN$3,0,0,'Données projet'!$E$15+1,1))-AVERAGE(OFFSET($H$3,0,0,'Données projet'!$E$15+1,1))</f>
        <v>123.60520571614535</v>
      </c>
      <c r="EP59" s="59">
        <f t="shared" si="46"/>
        <v>119.00926870519527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0.51826076663536447</v>
      </c>
      <c r="EW59" s="21">
        <f>EXP(-LN(2)/25)*EW58+(1-EXP(-LN(2)/25))/(LN(2)/25)*Calculateur!ER59*Calculateur!ET59*VLOOKUP('Données projet'!$B$15,Paramètres!$A$1:$I$89,3,0)*0.475*44/12</f>
        <v>2.3230687494855746</v>
      </c>
      <c r="EX59" s="21">
        <f>EXP(-LN(2)/2)*EX58+(1-EXP(-LN(2)/2))/(LN(2)/2)*ER59*EU59*VLOOKUP('Données projet'!$B$15,Paramètres!$A$1:$I$89,3,0)*0.475*44/12</f>
        <v>7.4630255018097479E-4</v>
      </c>
      <c r="EY59" s="22">
        <f t="shared" si="21"/>
        <v>2.8420758186711197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4.4000000000000004</v>
      </c>
      <c r="FE59" s="12">
        <f>IF('Données projet'!$A$218&gt;35,FE58+FD59-FM58,IF(A59&lt;'Données projet'!$A$218,$FB$205^A59,IF(A59='Données projet'!$A$218,'Données projet'!$B$218,FE58+FD59-FM58)))</f>
        <v>187.4</v>
      </c>
      <c r="FF59" s="17">
        <f>FE59*VLOOKUP('Données projet'!$B$16,Paramètres!$A$1:$I$89,3,0)*VLOOKUP('Données projet'!$B$16,Paramètres!$A$1:$I$89,5,0)</f>
        <v>137.40168</v>
      </c>
      <c r="FG59" s="13">
        <f t="shared" si="47"/>
        <v>35.701119432892604</v>
      </c>
      <c r="FH59" s="20">
        <f t="shared" si="22"/>
        <v>301.48737567895461</v>
      </c>
      <c r="FI59" s="59">
        <f t="shared" si="23"/>
        <v>594.82070901228792</v>
      </c>
      <c r="FJ59" s="59">
        <f ca="1">AVERAGE(OFFSET($FI$3,0,0,'Données projet'!$E$16+1,1))-AVERAGE(OFFSET($H$3,0,0,'Données projet'!$E$16+1,1))</f>
        <v>124.15919323713428</v>
      </c>
      <c r="FK59" s="59">
        <f t="shared" si="48"/>
        <v>157.85954678210715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0</v>
      </c>
      <c r="FR59" s="21">
        <f>EXP(-LN(2)/25)*FR58+(1-EXP(-LN(2)/25))/(LN(2)/25)*Calculateur!FM59*Calculateur!FO59*VLOOKUP('Données projet'!$B$16,Paramètres!$A$1:$I$89,3,0)*0.475*44/12</f>
        <v>2.444470032933328</v>
      </c>
      <c r="FS59" s="21">
        <f>EXP(-LN(2)/2)*FS58+(1-EXP(-LN(2)/2))/(LN(2)/2)*FM59*FP59*VLOOKUP('Données projet'!$B$16,Paramètres!$A$1:$I$89,3,0)*0.475*44/12</f>
        <v>9.0055343591836511E-4</v>
      </c>
      <c r="FT59" s="22">
        <f t="shared" si="24"/>
        <v>2.4453705863692465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7.8</v>
      </c>
      <c r="N60" s="13">
        <f>IF('Données projet'!$A$36&gt;35,N59+M60-V59,IF(A60&lt;'Données projet'!$A$36,$K$205^A60,IF(A60='Données projet'!$A$36,'Données projet'!$B$36,N59+M60-V59)))</f>
        <v>211.60000000000014</v>
      </c>
      <c r="O60" s="13">
        <f>N60*VLOOKUP('Données projet'!$B$9,Paramètres!$A$1:$I$89,3,0)*VLOOKUP('Données projet'!$B$9,Paramètres!$A$1:$I$89,5,0)</f>
        <v>191.45568000000011</v>
      </c>
      <c r="P60" s="13">
        <f t="shared" si="33"/>
        <v>47.861639935303188</v>
      </c>
      <c r="Q60" s="20">
        <f t="shared" si="53"/>
        <v>416.81099888731995</v>
      </c>
      <c r="R60" s="59">
        <f t="shared" si="0"/>
        <v>710.14433222065327</v>
      </c>
      <c r="S60" s="59">
        <f ca="1">AVERAGE(OFFSET($R$3,0,0,'Données projet'!$E$9+1,1))-AVERAGE(OFFSET($H$3,0,0,'Données projet'!$E$9+1,1))</f>
        <v>237.22177246688199</v>
      </c>
      <c r="T60" s="59">
        <f t="shared" si="34"/>
        <v>149.27472147904302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1.4691982791705009</v>
      </c>
      <c r="AB60" s="21">
        <f>EXP(-LN(2)/2)*AB59+(1-EXP(-LN(2)/2))/(LN(2)/2)*V60*Y60*VLOOKUP('Données projet'!$B$9,Paramètres!$A$1:$I$89,3,0)*0.475*44/12</f>
        <v>5.3424436511093131E-4</v>
      </c>
      <c r="AC60" s="22">
        <f t="shared" si="3"/>
        <v>1.4697325235356118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5.6</v>
      </c>
      <c r="AI60" s="13">
        <f>IF('Données projet'!$A$62&gt;35,AI59+AH60-AQ59,IF(A60&lt;'Données projet'!$A$62,$AF$205^A60,IF(A60='Données projet'!$A$62,'Données projet'!$B$62,AI59+AH60-AQ59)))</f>
        <v>203.1999999999997</v>
      </c>
      <c r="AJ60" s="13">
        <f>AI60*VLOOKUP('Données projet'!$B$10,Paramètres!$A$1:$I$89,3,0)*VLOOKUP('Données projet'!$B$10,Paramètres!$A$1:$I$89,5,0)</f>
        <v>177.51551999999975</v>
      </c>
      <c r="AK60" s="13">
        <f t="shared" si="35"/>
        <v>44.768988809542861</v>
      </c>
      <c r="AL60" s="20">
        <f t="shared" si="4"/>
        <v>387.14551950995337</v>
      </c>
      <c r="AM60" s="59">
        <f t="shared" si="5"/>
        <v>680.47885284328663</v>
      </c>
      <c r="AN60" s="59">
        <f ca="1">AVERAGE(OFFSET($AM$3,0,0,'Données projet'!$E$10+1,1))-AVERAGE(OFFSET($H$3,0,0,'Données projet'!$E$10+1,1))</f>
        <v>191.94797389630673</v>
      </c>
      <c r="AO60" s="59">
        <f t="shared" si="36"/>
        <v>273.52540822767878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1.5083312928913513</v>
      </c>
      <c r="AV60" s="21">
        <f>EXP(-LN(2)/25)*AV59+(1-EXP(-LN(2)/25))/(LN(2)/25)*Calculateur!AQ60*Calculateur!AS60*VLOOKUP('Données projet'!$B$10,Paramètres!$A$1:$I$89,3,0)*0.475*44/12</f>
        <v>6.6451803608344928</v>
      </c>
      <c r="AW60" s="21">
        <f>EXP(-LN(2)/2)*AW59+(1-EXP(-LN(2)/2))/(LN(2)/2)*AQ60*AT60*VLOOKUP('Données projet'!$B$10,Paramètres!$A$1:$I$89,3,0)*0.475*44/12</f>
        <v>2.0028128826655696E-3</v>
      </c>
      <c r="AX60" s="21">
        <f t="shared" si="6"/>
        <v>8.1555144666085084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1.625</v>
      </c>
      <c r="BD60" s="12">
        <f>IF('Données projet'!$A$88&gt;35,BD59+BC60-BL59,IF(A60&lt;'Données projet'!$A$88,$BA$205^A60,IF(A60='Données projet'!$A$88,'Données projet'!$B$88,BD59+BC60-BL59)))</f>
        <v>172.875</v>
      </c>
      <c r="BE60" s="13">
        <f>BD60*VLOOKUP('Données projet'!$B$11,Paramètres!$A$1:$I$89,3,0)*VLOOKUP('Données projet'!$B$11,Paramètres!$A$1:$I$89,5,0)</f>
        <v>103.37925000000001</v>
      </c>
      <c r="BF60" s="13">
        <f t="shared" si="37"/>
        <v>27.765493494477635</v>
      </c>
      <c r="BG60" s="20">
        <f t="shared" si="7"/>
        <v>228.41042825288187</v>
      </c>
      <c r="BH60" s="59">
        <f t="shared" si="8"/>
        <v>521.74376158621521</v>
      </c>
      <c r="BI60" s="59">
        <f ca="1">AVERAGE(OFFSET($BH$3,0,0,'Données projet'!$E$11+1,1))-AVERAGE(OFFSET($H$3,0,0,'Données projet'!$E$11+1,1))</f>
        <v>72.647148358003676</v>
      </c>
      <c r="BJ60" s="59">
        <f t="shared" si="38"/>
        <v>87.231299224620898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0.74546640184088253</v>
      </c>
      <c r="BQ60" s="21">
        <f>EXP(-LN(2)/25)*BQ59+(1-EXP(-LN(2)/25))/(LN(2)/25)*Calculateur!BL60*Calculateur!BN60*VLOOKUP('Données projet'!$B$11,Paramètres!$A$1:$I$89,3,0)*0.475*44/12</f>
        <v>2.1433541217123775</v>
      </c>
      <c r="BR60" s="21">
        <f>EXP(-LN(2)/2)*BR59+(1-EXP(-LN(2)/2))/(LN(2)/2)*BL60*BO60*VLOOKUP('Données projet'!$B$11,Paramètres!$A$1:$I$89,3,0)*0.475*44/12</f>
        <v>1.9687953015101712E-4</v>
      </c>
      <c r="BS60" s="22">
        <f t="shared" si="9"/>
        <v>2.889017403083411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9.6</v>
      </c>
      <c r="BY60" s="12">
        <f>IF('Données projet'!$A$114&gt;35,BY59+BX60-CG59,IF(A60&lt;'Données projet'!$A$114,$BV$205^A60,IF(A60='Données projet'!$A$114,'Données projet'!$B$114,BY59+BX60-CG59)))</f>
        <v>295.2</v>
      </c>
      <c r="BZ60" s="13">
        <f>BY60*VLOOKUP('Données projet'!$B$12,Paramètres!$A$1:$I$89,3,0)*VLOOKUP('Données projet'!$B$12,Paramètres!$A$1:$I$89,5,0)</f>
        <v>176.52960000000002</v>
      </c>
      <c r="CA60" s="13">
        <f t="shared" si="39"/>
        <v>44.549213454343487</v>
      </c>
      <c r="CB60" s="20">
        <f t="shared" si="10"/>
        <v>385.04560009964825</v>
      </c>
      <c r="CC60" s="59">
        <f t="shared" si="11"/>
        <v>678.37893343298151</v>
      </c>
      <c r="CD60" s="59">
        <f ca="1">AVERAGE(OFFSET($CC$3,0,0,'Données projet'!$E$12+1,1))-AVERAGE(OFFSET($H$3,0,0,'Données projet'!$E$12+1,1))</f>
        <v>165.39579887388538</v>
      </c>
      <c r="CE60" s="59">
        <f t="shared" si="40"/>
        <v>155.89639262545802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3.4480230609518108</v>
      </c>
      <c r="CM60" s="21">
        <f>EXP(-LN(2)/2)*CM59+(1-EXP(-LN(2)/2))/(LN(2)/2)*CG60*CJ60*VLOOKUP('Données projet'!$B$12,Paramètres!$A$1:$I$89,3,0)*0.475*44/12</f>
        <v>1.198079515575763E-3</v>
      </c>
      <c r="CN60" s="22">
        <f t="shared" si="12"/>
        <v>3.4492211404673867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8</v>
      </c>
      <c r="CT60" s="12">
        <f>IF('Données projet'!$A$140&gt;35,CT59+CS60-DB59,IF(A60&lt;'Données projet'!$A$140,$CQ$205^A60,IF(A60='Données projet'!$A$140,'Données projet'!$B$140,CT59+CS60-DB59)))</f>
        <v>239.00000000000011</v>
      </c>
      <c r="CU60" s="17">
        <f>CT60*VLOOKUP('Données projet'!$B$13,Paramètres!$A$1:$I$89,3,0)*VLOOKUP('Données projet'!$B$13,Paramètres!$A$1:$I$89,5,0)</f>
        <v>186.4200000000001</v>
      </c>
      <c r="CV60" s="13">
        <f t="shared" si="41"/>
        <v>46.747591580384608</v>
      </c>
      <c r="CW60" s="20">
        <f t="shared" si="13"/>
        <v>406.10022200250336</v>
      </c>
      <c r="CX60" s="59">
        <f t="shared" si="14"/>
        <v>699.43355533583667</v>
      </c>
      <c r="CY60" s="59">
        <f ca="1">AVERAGE(OFFSET($CX$3,0,0,'Données projet'!$E$13+1,1))-AVERAGE(OFFSET($H$3,0,0,'Données projet'!$E$13+1,1))</f>
        <v>190.06335940156185</v>
      </c>
      <c r="CZ60" s="59">
        <f t="shared" si="42"/>
        <v>166.43663896839928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2.1127549823664733</v>
      </c>
      <c r="DH60" s="21">
        <f>EXP(-LN(2)/2)*DH59+(1-EXP(-LN(2)/2))/(LN(2)/2)*DB60*DE60*VLOOKUP('Données projet'!$B$13,Paramètres!$A$1:$I$89,3,0)*0.475*44/12</f>
        <v>4.5975741546750516E-4</v>
      </c>
      <c r="DI60" s="22">
        <f t="shared" si="15"/>
        <v>2.1132147397819407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7.8</v>
      </c>
      <c r="DO60" s="12">
        <f>IF('Données projet'!$A$166&gt;35,DO59+DN60-DW59,IF(A60&lt;'Données projet'!$A$166,$DL$205^A60,IF(A60='Données projet'!$A$166,'Données projet'!$B$166,DO59+DN60-DW59)))</f>
        <v>211.60000000000014</v>
      </c>
      <c r="DP60" s="17">
        <f>DO60*VLOOKUP('Données projet'!$B$14,Paramètres!$A$1:$I$89,3,0)*VLOOKUP('Données projet'!$B$14,Paramètres!$A$1:$I$89,5,0)</f>
        <v>204.65952000000016</v>
      </c>
      <c r="DQ60" s="13">
        <f t="shared" si="43"/>
        <v>50.766812591921436</v>
      </c>
      <c r="DR60" s="20">
        <f t="shared" si="16"/>
        <v>444.8675292642634</v>
      </c>
      <c r="DS60" s="59">
        <f t="shared" si="17"/>
        <v>738.20086259759671</v>
      </c>
      <c r="DT60" s="59">
        <f ca="1">AVERAGE(OFFSET($DS$3,0,0,'Données projet'!$E$14+1,1))-AVERAGE(OFFSET($H$3,0,0,'Données projet'!$E$14+1,1))</f>
        <v>261.22357949323879</v>
      </c>
      <c r="DU60" s="59">
        <f t="shared" si="44"/>
        <v>163.41029152029387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0</v>
      </c>
      <c r="EB60" s="21">
        <f>EXP(-LN(2)/25)*EB59+(1-EXP(-LN(2)/25))/(LN(2)/25)*Calculateur!DW60*Calculateur!DY60*VLOOKUP('Données projet'!$B$14,Paramètres!$A$1:$I$89,3,0)*0.475*44/12</f>
        <v>1.5705222984236391</v>
      </c>
      <c r="EC60" s="21">
        <f>EXP(-LN(2)/2)*EC59+(1-EXP(-LN(2)/2))/(LN(2)/2)*DW60*DZ60*VLOOKUP('Données projet'!$B$14,Paramètres!$A$1:$I$89,3,0)*0.475*44/12</f>
        <v>5.7108880408409887E-4</v>
      </c>
      <c r="ED60" s="22">
        <f t="shared" si="18"/>
        <v>1.5710933872277233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8</v>
      </c>
      <c r="EJ60" s="12">
        <f>IF('Données projet'!$A$192&gt;35,EJ59+EI60-ER59,IF(A60&lt;'Données projet'!$A$192,$EG$205^A60,IF(A60='Données projet'!$A$192,'Données projet'!$B$192,EJ59+EI60-ER59)))</f>
        <v>251.09999999999997</v>
      </c>
      <c r="EK60" s="17">
        <f>EJ60*VLOOKUP('Données projet'!$B$15,Paramètres!$A$1:$I$89,3,0)*VLOOKUP('Données projet'!$B$15,Paramètres!$A$1:$I$89,5,0)</f>
        <v>117.51479999999998</v>
      </c>
      <c r="EL60" s="13">
        <f t="shared" si="45"/>
        <v>31.094663118298477</v>
      </c>
      <c r="EM60" s="20">
        <f t="shared" si="19"/>
        <v>258.82814826436976</v>
      </c>
      <c r="EN60" s="59">
        <f t="shared" si="20"/>
        <v>552.16148159770307</v>
      </c>
      <c r="EO60" s="59">
        <f ca="1">AVERAGE(OFFSET($EN$3,0,0,'Données projet'!$E$15+1,1))-AVERAGE(OFFSET($H$3,0,0,'Données projet'!$E$15+1,1))</f>
        <v>123.60520571614535</v>
      </c>
      <c r="EP60" s="59">
        <f t="shared" si="46"/>
        <v>119.00926870519527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0.50809798910949955</v>
      </c>
      <c r="EW60" s="21">
        <f>EXP(-LN(2)/25)*EW59+(1-EXP(-LN(2)/25))/(LN(2)/25)*Calculateur!ER60*Calculateur!ET60*VLOOKUP('Données projet'!$B$15,Paramètres!$A$1:$I$89,3,0)*0.475*44/12</f>
        <v>2.2595443123660157</v>
      </c>
      <c r="EX60" s="21">
        <f>EXP(-LN(2)/2)*EX59+(1-EXP(-LN(2)/2))/(LN(2)/2)*ER60*EU60*VLOOKUP('Données projet'!$B$15,Paramètres!$A$1:$I$89,3,0)*0.475*44/12</f>
        <v>5.2771559404978094E-4</v>
      </c>
      <c r="EY60" s="22">
        <f t="shared" si="21"/>
        <v>2.7681700170695649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4.4000000000000004</v>
      </c>
      <c r="FE60" s="12">
        <f>IF('Données projet'!$A$218&gt;35,FE59+FD60-FM59,IF(A60&lt;'Données projet'!$A$218,$FB$205^A60,IF(A60='Données projet'!$A$218,'Données projet'!$B$218,FE59+FD60-FM59)))</f>
        <v>191.8</v>
      </c>
      <c r="FF60" s="17">
        <f>FE60*VLOOKUP('Données projet'!$B$16,Paramètres!$A$1:$I$89,3,0)*VLOOKUP('Données projet'!$B$16,Paramètres!$A$1:$I$89,5,0)</f>
        <v>140.62775999999999</v>
      </c>
      <c r="FG60" s="13">
        <f t="shared" si="47"/>
        <v>36.440779028004506</v>
      </c>
      <c r="FH60" s="20">
        <f t="shared" si="22"/>
        <v>308.39437214044113</v>
      </c>
      <c r="FI60" s="59">
        <f t="shared" si="23"/>
        <v>601.72770547377445</v>
      </c>
      <c r="FJ60" s="59">
        <f ca="1">AVERAGE(OFFSET($FI$3,0,0,'Données projet'!$E$16+1,1))-AVERAGE(OFFSET($H$3,0,0,'Données projet'!$E$16+1,1))</f>
        <v>124.15919323713428</v>
      </c>
      <c r="FK60" s="59">
        <f t="shared" si="48"/>
        <v>157.85954678210715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0</v>
      </c>
      <c r="FR60" s="21">
        <f>EXP(-LN(2)/25)*FR59+(1-EXP(-LN(2)/25))/(LN(2)/25)*Calculateur!FM60*Calculateur!FO60*VLOOKUP('Données projet'!$B$16,Paramètres!$A$1:$I$89,3,0)*0.475*44/12</f>
        <v>2.3776258713336742</v>
      </c>
      <c r="FS60" s="21">
        <f>EXP(-LN(2)/2)*FS59+(1-EXP(-LN(2)/2))/(LN(2)/2)*FM60*FP60*VLOOKUP('Données projet'!$B$16,Paramètres!$A$1:$I$89,3,0)*0.475*44/12</f>
        <v>6.3678744135872093E-4</v>
      </c>
      <c r="FT60" s="22">
        <f t="shared" si="24"/>
        <v>2.3782626587750331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7.8</v>
      </c>
      <c r="N61" s="13">
        <f>IF('Données projet'!$A$36&gt;35,N60+M61-V60,IF(A61&lt;'Données projet'!$A$36,$K$205^A61,IF(A61='Données projet'!$A$36,'Données projet'!$B$36,N60+M61-V60)))</f>
        <v>219.40000000000015</v>
      </c>
      <c r="O61" s="13">
        <f>N61*VLOOKUP('Données projet'!$B$9,Paramètres!$A$1:$I$89,3,0)*VLOOKUP('Données projet'!$B$9,Paramètres!$A$1:$I$89,5,0)</f>
        <v>198.51312000000013</v>
      </c>
      <c r="P61" s="13">
        <f t="shared" si="33"/>
        <v>49.417254724004458</v>
      </c>
      <c r="Q61" s="20">
        <f t="shared" si="53"/>
        <v>431.81206931097466</v>
      </c>
      <c r="R61" s="59">
        <f t="shared" si="0"/>
        <v>725.14540264430798</v>
      </c>
      <c r="S61" s="59">
        <f ca="1">AVERAGE(OFFSET($R$3,0,0,'Données projet'!$E$9+1,1))-AVERAGE(OFFSET($H$3,0,0,'Données projet'!$E$9+1,1))</f>
        <v>237.22177246688199</v>
      </c>
      <c r="T61" s="59">
        <f t="shared" si="34"/>
        <v>149.27472147904302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1.429022974964804</v>
      </c>
      <c r="AB61" s="21">
        <f>EXP(-LN(2)/2)*AB60+(1-EXP(-LN(2)/2))/(LN(2)/2)*V61*Y61*VLOOKUP('Données projet'!$B$9,Paramètres!$A$1:$I$89,3,0)*0.475*44/12</f>
        <v>3.7776781338064131E-4</v>
      </c>
      <c r="AC61" s="22">
        <f t="shared" si="3"/>
        <v>1.4294007427781847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5.6</v>
      </c>
      <c r="AI61" s="13">
        <f>IF('Données projet'!$A$62&gt;35,AI60+AH61-AQ60,IF(A61&lt;'Données projet'!$A$62,$AF$205^A61,IF(A61='Données projet'!$A$62,'Données projet'!$B$62,AI60+AH61-AQ60)))</f>
        <v>208.7999999999997</v>
      </c>
      <c r="AJ61" s="13">
        <f>AI61*VLOOKUP('Données projet'!$B$10,Paramètres!$A$1:$I$89,3,0)*VLOOKUP('Données projet'!$B$10,Paramètres!$A$1:$I$89,5,0)</f>
        <v>182.40767999999977</v>
      </c>
      <c r="AK61" s="13">
        <f t="shared" si="35"/>
        <v>45.857435663065878</v>
      </c>
      <c r="AL61" s="20">
        <f t="shared" si="4"/>
        <v>397.56174311317267</v>
      </c>
      <c r="AM61" s="59">
        <f t="shared" si="5"/>
        <v>690.89507644650598</v>
      </c>
      <c r="AN61" s="59">
        <f ca="1">AVERAGE(OFFSET($AM$3,0,0,'Données projet'!$E$10+1,1))-AVERAGE(OFFSET($H$3,0,0,'Données projet'!$E$10+1,1))</f>
        <v>191.94797389630673</v>
      </c>
      <c r="AO61" s="59">
        <f t="shared" si="36"/>
        <v>273.52540822767878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1.4787538362289989</v>
      </c>
      <c r="AV61" s="21">
        <f>EXP(-LN(2)/25)*AV60+(1-EXP(-LN(2)/25))/(LN(2)/25)*Calculateur!AQ61*Calculateur!AS61*VLOOKUP('Données projet'!$B$10,Paramètres!$A$1:$I$89,3,0)*0.475*44/12</f>
        <v>6.4634675544126265</v>
      </c>
      <c r="AW61" s="21">
        <f>EXP(-LN(2)/2)*AW60+(1-EXP(-LN(2)/2))/(LN(2)/2)*AQ61*AT61*VLOOKUP('Données projet'!$B$10,Paramètres!$A$1:$I$89,3,0)*0.475*44/12</f>
        <v>1.4162025707806015E-3</v>
      </c>
      <c r="AX61" s="21">
        <f t="shared" si="6"/>
        <v>7.9436375932124061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1.625</v>
      </c>
      <c r="BD61" s="12">
        <f>IF('Données projet'!$A$88&gt;35,BD60+BC61-BL60,IF(A61&lt;'Données projet'!$A$88,$BA$205^A61,IF(A61='Données projet'!$A$88,'Données projet'!$B$88,BD60+BC61-BL60)))</f>
        <v>174.5</v>
      </c>
      <c r="BE61" s="13">
        <f>BD61*VLOOKUP('Données projet'!$B$11,Paramètres!$A$1:$I$89,3,0)*VLOOKUP('Données projet'!$B$11,Paramètres!$A$1:$I$89,5,0)</f>
        <v>104.35100000000001</v>
      </c>
      <c r="BF61" s="13">
        <f t="shared" si="37"/>
        <v>27.995979970833542</v>
      </c>
      <c r="BG61" s="20">
        <f t="shared" si="7"/>
        <v>230.50432344920179</v>
      </c>
      <c r="BH61" s="59">
        <f t="shared" si="8"/>
        <v>523.83765678253508</v>
      </c>
      <c r="BI61" s="59">
        <f ca="1">AVERAGE(OFFSET($BH$3,0,0,'Données projet'!$E$11+1,1))-AVERAGE(OFFSET($H$3,0,0,'Données projet'!$E$11+1,1))</f>
        <v>72.647148358003676</v>
      </c>
      <c r="BJ61" s="59">
        <f t="shared" si="38"/>
        <v>87.231299224620898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0.73084826039039108</v>
      </c>
      <c r="BQ61" s="21">
        <f>EXP(-LN(2)/25)*BQ60+(1-EXP(-LN(2)/25))/(LN(2)/25)*Calculateur!BL61*Calculateur!BN61*VLOOKUP('Données projet'!$B$11,Paramètres!$A$1:$I$89,3,0)*0.475*44/12</f>
        <v>2.084743990540058</v>
      </c>
      <c r="BR61" s="21">
        <f>EXP(-LN(2)/2)*BR60+(1-EXP(-LN(2)/2))/(LN(2)/2)*BL61*BO61*VLOOKUP('Données projet'!$B$11,Paramètres!$A$1:$I$89,3,0)*0.475*44/12</f>
        <v>1.3921485084660555E-4</v>
      </c>
      <c r="BS61" s="22">
        <f t="shared" si="9"/>
        <v>2.8157314657812957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9.6</v>
      </c>
      <c r="BY61" s="12">
        <f>IF('Données projet'!$A$114&gt;35,BY60+BX61-CG60,IF(A61&lt;'Données projet'!$A$114,$BV$205^A61,IF(A61='Données projet'!$A$114,'Données projet'!$B$114,BY60+BX61-CG60)))</f>
        <v>304.8</v>
      </c>
      <c r="BZ61" s="13">
        <f>BY61*VLOOKUP('Données projet'!$B$12,Paramètres!$A$1:$I$89,3,0)*VLOOKUP('Données projet'!$B$12,Paramètres!$A$1:$I$89,5,0)</f>
        <v>182.2704</v>
      </c>
      <c r="CA61" s="13">
        <f t="shared" si="39"/>
        <v>45.826939257750922</v>
      </c>
      <c r="CB61" s="20">
        <f t="shared" si="10"/>
        <v>397.26953254058282</v>
      </c>
      <c r="CC61" s="59">
        <f t="shared" si="11"/>
        <v>690.60286587391613</v>
      </c>
      <c r="CD61" s="59">
        <f ca="1">AVERAGE(OFFSET($CC$3,0,0,'Données projet'!$E$12+1,1))-AVERAGE(OFFSET($H$3,0,0,'Données projet'!$E$12+1,1))</f>
        <v>165.39579887388538</v>
      </c>
      <c r="CE61" s="59">
        <f t="shared" si="40"/>
        <v>155.89639262545802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3.3537366890264311</v>
      </c>
      <c r="CM61" s="21">
        <f>EXP(-LN(2)/2)*CM60+(1-EXP(-LN(2)/2))/(LN(2)/2)*CG61*CJ61*VLOOKUP('Données projet'!$B$12,Paramètres!$A$1:$I$89,3,0)*0.475*44/12</f>
        <v>8.471701498643159E-4</v>
      </c>
      <c r="CN61" s="22">
        <f t="shared" si="12"/>
        <v>3.3545838591762953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8</v>
      </c>
      <c r="CT61" s="12">
        <f>IF('Données projet'!$A$140&gt;35,CT60+CS61-DB60,IF(A61&lt;'Données projet'!$A$140,$CQ$205^A61,IF(A61='Données projet'!$A$140,'Données projet'!$B$140,CT60+CS61-DB60)))</f>
        <v>247.00000000000011</v>
      </c>
      <c r="CU61" s="17">
        <f>CT61*VLOOKUP('Données projet'!$B$13,Paramètres!$A$1:$I$89,3,0)*VLOOKUP('Données projet'!$B$13,Paramètres!$A$1:$I$89,5,0)</f>
        <v>192.66000000000008</v>
      </c>
      <c r="CV61" s="13">
        <f t="shared" si="41"/>
        <v>48.127564387788738</v>
      </c>
      <c r="CW61" s="20">
        <f t="shared" si="13"/>
        <v>419.3716746420655</v>
      </c>
      <c r="CX61" s="59">
        <f t="shared" si="14"/>
        <v>712.70500797539876</v>
      </c>
      <c r="CY61" s="59">
        <f ca="1">AVERAGE(OFFSET($CX$3,0,0,'Données projet'!$E$13+1,1))-AVERAGE(OFFSET($H$3,0,0,'Données projet'!$E$13+1,1))</f>
        <v>190.06335940156185</v>
      </c>
      <c r="CZ61" s="59">
        <f t="shared" si="42"/>
        <v>166.43663896839928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2.0549815862687062</v>
      </c>
      <c r="DH61" s="21">
        <f>EXP(-LN(2)/2)*DH60+(1-EXP(-LN(2)/2))/(LN(2)/2)*DB61*DE61*VLOOKUP('Données projet'!$B$13,Paramètres!$A$1:$I$89,3,0)*0.475*44/12</f>
        <v>3.2509758617787381E-4</v>
      </c>
      <c r="DI61" s="22">
        <f t="shared" si="15"/>
        <v>2.0553066838548841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7.8</v>
      </c>
      <c r="DO61" s="12">
        <f>IF('Données projet'!$A$166&gt;35,DO60+DN61-DW60,IF(A61&lt;'Données projet'!$A$166,$DL$205^A61,IF(A61='Données projet'!$A$166,'Données projet'!$B$166,DO60+DN61-DW60)))</f>
        <v>219.40000000000015</v>
      </c>
      <c r="DP61" s="17">
        <f>DO61*VLOOKUP('Données projet'!$B$14,Paramètres!$A$1:$I$89,3,0)*VLOOKUP('Données projet'!$B$14,Paramètres!$A$1:$I$89,5,0)</f>
        <v>212.20368000000013</v>
      </c>
      <c r="DQ61" s="13">
        <f t="shared" si="43"/>
        <v>52.416852259387269</v>
      </c>
      <c r="DR61" s="20">
        <f t="shared" si="16"/>
        <v>460.88076035176641</v>
      </c>
      <c r="DS61" s="59">
        <f t="shared" si="17"/>
        <v>754.21409368509967</v>
      </c>
      <c r="DT61" s="59">
        <f ca="1">AVERAGE(OFFSET($DS$3,0,0,'Données projet'!$E$14+1,1))-AVERAGE(OFFSET($H$3,0,0,'Données projet'!$E$14+1,1))</f>
        <v>261.22357949323879</v>
      </c>
      <c r="DU61" s="59">
        <f t="shared" si="44"/>
        <v>163.41029152029387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0</v>
      </c>
      <c r="EB61" s="21">
        <f>EXP(-LN(2)/25)*EB60+(1-EXP(-LN(2)/25))/(LN(2)/25)*Calculateur!DW61*Calculateur!DY61*VLOOKUP('Données projet'!$B$14,Paramètres!$A$1:$I$89,3,0)*0.475*44/12</f>
        <v>1.5275762835830664</v>
      </c>
      <c r="EC61" s="21">
        <f>EXP(-LN(2)/2)*EC60+(1-EXP(-LN(2)/2))/(LN(2)/2)*DW61*DZ61*VLOOKUP('Données projet'!$B$14,Paramètres!$A$1:$I$89,3,0)*0.475*44/12</f>
        <v>4.0382076602758202E-4</v>
      </c>
      <c r="ED61" s="22">
        <f t="shared" si="18"/>
        <v>1.5279801043490939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8</v>
      </c>
      <c r="EJ61" s="12">
        <f>IF('Données projet'!$A$192&gt;35,EJ60+EI61-ER60,IF(A61&lt;'Données projet'!$A$192,$EG$205^A61,IF(A61='Données projet'!$A$192,'Données projet'!$B$192,EJ60+EI61-ER60)))</f>
        <v>259.09999999999997</v>
      </c>
      <c r="EK61" s="17">
        <f>EJ61*VLOOKUP('Données projet'!$B$15,Paramètres!$A$1:$I$89,3,0)*VLOOKUP('Données projet'!$B$15,Paramètres!$A$1:$I$89,5,0)</f>
        <v>121.25879999999998</v>
      </c>
      <c r="EL61" s="13">
        <f t="shared" si="45"/>
        <v>31.968415173452456</v>
      </c>
      <c r="EM61" s="20">
        <f t="shared" si="19"/>
        <v>266.87073309376296</v>
      </c>
      <c r="EN61" s="59">
        <f t="shared" si="20"/>
        <v>560.20406642709622</v>
      </c>
      <c r="EO61" s="59">
        <f ca="1">AVERAGE(OFFSET($EN$3,0,0,'Données projet'!$E$15+1,1))-AVERAGE(OFFSET($H$3,0,0,'Données projet'!$E$15+1,1))</f>
        <v>123.60520571614535</v>
      </c>
      <c r="EP61" s="59">
        <f t="shared" si="46"/>
        <v>119.00926870519527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0.49813449745223465</v>
      </c>
      <c r="EW61" s="21">
        <f>EXP(-LN(2)/25)*EW60+(1-EXP(-LN(2)/25))/(LN(2)/25)*Calculateur!ER61*Calculateur!ET61*VLOOKUP('Données projet'!$B$15,Paramètres!$A$1:$I$89,3,0)*0.475*44/12</f>
        <v>2.1977569543200959</v>
      </c>
      <c r="EX61" s="21">
        <f>EXP(-LN(2)/2)*EX60+(1-EXP(-LN(2)/2))/(LN(2)/2)*ER61*EU61*VLOOKUP('Données projet'!$B$15,Paramètres!$A$1:$I$89,3,0)*0.475*44/12</f>
        <v>3.731512750904874E-4</v>
      </c>
      <c r="EY61" s="22">
        <f t="shared" si="21"/>
        <v>2.6962646030474211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4.4000000000000004</v>
      </c>
      <c r="FE61" s="12">
        <f>IF('Données projet'!$A$218&gt;35,FE60+FD61-FM60,IF(A61&lt;'Données projet'!$A$218,$FB$205^A61,IF(A61='Données projet'!$A$218,'Données projet'!$B$218,FE60+FD61-FM60)))</f>
        <v>196.20000000000002</v>
      </c>
      <c r="FF61" s="17">
        <f>FE61*VLOOKUP('Données projet'!$B$16,Paramètres!$A$1:$I$89,3,0)*VLOOKUP('Données projet'!$B$16,Paramètres!$A$1:$I$89,5,0)</f>
        <v>143.85383999999999</v>
      </c>
      <c r="FG61" s="13">
        <f t="shared" si="47"/>
        <v>37.178465975568315</v>
      </c>
      <c r="FH61" s="20">
        <f t="shared" si="22"/>
        <v>315.29793290744811</v>
      </c>
      <c r="FI61" s="59">
        <f t="shared" si="23"/>
        <v>608.63126624078143</v>
      </c>
      <c r="FJ61" s="59">
        <f ca="1">AVERAGE(OFFSET($FI$3,0,0,'Données projet'!$E$16+1,1))-AVERAGE(OFFSET($H$3,0,0,'Données projet'!$E$16+1,1))</f>
        <v>124.15919323713428</v>
      </c>
      <c r="FK61" s="59">
        <f t="shared" si="48"/>
        <v>157.85954678210715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0</v>
      </c>
      <c r="FR61" s="21">
        <f>EXP(-LN(2)/25)*FR60+(1-EXP(-LN(2)/25))/(LN(2)/25)*Calculateur!FM61*Calculateur!FO61*VLOOKUP('Données projet'!$B$16,Paramètres!$A$1:$I$89,3,0)*0.475*44/12</f>
        <v>2.3126095668481446</v>
      </c>
      <c r="FS61" s="21">
        <f>EXP(-LN(2)/2)*FS60+(1-EXP(-LN(2)/2))/(LN(2)/2)*FM61*FP61*VLOOKUP('Données projet'!$B$16,Paramètres!$A$1:$I$89,3,0)*0.475*44/12</f>
        <v>4.5027671795918255E-4</v>
      </c>
      <c r="FT61" s="22">
        <f t="shared" si="24"/>
        <v>2.3130598435661036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7.8</v>
      </c>
      <c r="N62" s="13">
        <f>IF('Données projet'!$A$36&gt;35,N61+M62-V61,IF(A62&lt;'Données projet'!$A$36,$K$205^A62,IF(A62='Données projet'!$A$36,'Données projet'!$B$36,N61+M62-V61)))</f>
        <v>227.20000000000016</v>
      </c>
      <c r="O62" s="13">
        <f>N62*VLOOKUP('Données projet'!$B$9,Paramètres!$A$1:$I$89,3,0)*VLOOKUP('Données projet'!$B$9,Paramètres!$A$1:$I$89,5,0)</f>
        <v>205.57056000000014</v>
      </c>
      <c r="P62" s="13">
        <f t="shared" si="33"/>
        <v>50.966443946767434</v>
      </c>
      <c r="Q62" s="20">
        <f t="shared" si="53"/>
        <v>446.80194854062023</v>
      </c>
      <c r="R62" s="59">
        <f t="shared" si="0"/>
        <v>740.13528187395355</v>
      </c>
      <c r="S62" s="59">
        <f ca="1">AVERAGE(OFFSET($R$3,0,0,'Données projet'!$E$9+1,1))-AVERAGE(OFFSET($H$3,0,0,'Données projet'!$E$9+1,1))</f>
        <v>237.22177246688199</v>
      </c>
      <c r="T62" s="59">
        <f t="shared" si="34"/>
        <v>149.27472147904302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1.3899462665653393</v>
      </c>
      <c r="AB62" s="21">
        <f>EXP(-LN(2)/2)*AB61+(1-EXP(-LN(2)/2))/(LN(2)/2)*V62*Y62*VLOOKUP('Données projet'!$B$9,Paramètres!$A$1:$I$89,3,0)*0.475*44/12</f>
        <v>2.6712218255546565E-4</v>
      </c>
      <c r="AC62" s="22">
        <f t="shared" si="3"/>
        <v>1.3902133887478947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5.6</v>
      </c>
      <c r="AI62" s="13">
        <f>IF('Données projet'!$A$62&gt;35,AI61+AH62-AQ61,IF(A62&lt;'Données projet'!$A$62,$AF$205^A62,IF(A62='Données projet'!$A$62,'Données projet'!$B$62,AI61+AH62-AQ61)))</f>
        <v>214.39999999999969</v>
      </c>
      <c r="AJ62" s="13">
        <f>AI62*VLOOKUP('Données projet'!$B$10,Paramètres!$A$1:$I$89,3,0)*VLOOKUP('Données projet'!$B$10,Paramètres!$A$1:$I$89,5,0)</f>
        <v>187.29983999999976</v>
      </c>
      <c r="AK62" s="13">
        <f t="shared" si="35"/>
        <v>46.942489429228068</v>
      </c>
      <c r="AL62" s="20">
        <f t="shared" si="4"/>
        <v>407.97205708923843</v>
      </c>
      <c r="AM62" s="59">
        <f t="shared" si="5"/>
        <v>701.30539042257169</v>
      </c>
      <c r="AN62" s="59">
        <f ca="1">AVERAGE(OFFSET($AM$3,0,0,'Données projet'!$E$10+1,1))-AVERAGE(OFFSET($H$3,0,0,'Données projet'!$E$10+1,1))</f>
        <v>191.94797389630673</v>
      </c>
      <c r="AO62" s="59">
        <f t="shared" si="36"/>
        <v>273.52540822767878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1.4497563754513281</v>
      </c>
      <c r="AV62" s="21">
        <f>EXP(-LN(2)/25)*AV61+(1-EXP(-LN(2)/25))/(LN(2)/25)*Calculateur!AQ62*Calculateur!AS62*VLOOKUP('Données projet'!$B$10,Paramètres!$A$1:$I$89,3,0)*0.475*44/12</f>
        <v>6.2867236942382272</v>
      </c>
      <c r="AW62" s="21">
        <f>EXP(-LN(2)/2)*AW61+(1-EXP(-LN(2)/2))/(LN(2)/2)*AQ62*AT62*VLOOKUP('Données projet'!$B$10,Paramètres!$A$1:$I$89,3,0)*0.475*44/12</f>
        <v>1.0014064413327848E-3</v>
      </c>
      <c r="AX62" s="21">
        <f t="shared" si="6"/>
        <v>7.7374814761308883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1.625</v>
      </c>
      <c r="BD62" s="12">
        <f>IF('Données projet'!$A$88&gt;35,BD61+BC62-BL61,IF(A62&lt;'Données projet'!$A$88,$BA$205^A62,IF(A62='Données projet'!$A$88,'Données projet'!$B$88,BD61+BC62-BL61)))</f>
        <v>176.125</v>
      </c>
      <c r="BE62" s="13">
        <f>BD62*VLOOKUP('Données projet'!$B$11,Paramètres!$A$1:$I$89,3,0)*VLOOKUP('Données projet'!$B$11,Paramètres!$A$1:$I$89,5,0)</f>
        <v>105.32275</v>
      </c>
      <c r="BF62" s="13">
        <f t="shared" si="37"/>
        <v>28.226216741955572</v>
      </c>
      <c r="BG62" s="20">
        <f t="shared" si="7"/>
        <v>232.59778374223927</v>
      </c>
      <c r="BH62" s="59">
        <f t="shared" si="8"/>
        <v>525.93111707557262</v>
      </c>
      <c r="BI62" s="59">
        <f ca="1">AVERAGE(OFFSET($BH$3,0,0,'Données projet'!$E$11+1,1))-AVERAGE(OFFSET($H$3,0,0,'Données projet'!$E$11+1,1))</f>
        <v>72.647148358003676</v>
      </c>
      <c r="BJ62" s="59">
        <f t="shared" si="38"/>
        <v>87.231299224620898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0.7165167717775579</v>
      </c>
      <c r="BQ62" s="21">
        <f>EXP(-LN(2)/25)*BQ61+(1-EXP(-LN(2)/25))/(LN(2)/25)*Calculateur!BL62*Calculateur!BN62*VLOOKUP('Données projet'!$B$11,Paramètres!$A$1:$I$89,3,0)*0.475*44/12</f>
        <v>2.0277365564868184</v>
      </c>
      <c r="BR62" s="21">
        <f>EXP(-LN(2)/2)*BR61+(1-EXP(-LN(2)/2))/(LN(2)/2)*BL62*BO62*VLOOKUP('Données projet'!$B$11,Paramètres!$A$1:$I$89,3,0)*0.475*44/12</f>
        <v>9.8439765075508559E-5</v>
      </c>
      <c r="BS62" s="22">
        <f t="shared" si="9"/>
        <v>2.7443517680294516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9.6</v>
      </c>
      <c r="BY62" s="12">
        <f>IF('Données projet'!$A$114&gt;35,BY61+BX62-CG61,IF(A62&lt;'Données projet'!$A$114,$BV$205^A62,IF(A62='Données projet'!$A$114,'Données projet'!$B$114,BY61+BX62-CG61)))</f>
        <v>314.40000000000003</v>
      </c>
      <c r="BZ62" s="13">
        <f>BY62*VLOOKUP('Données projet'!$B$12,Paramètres!$A$1:$I$89,3,0)*VLOOKUP('Données projet'!$B$12,Paramètres!$A$1:$I$89,5,0)</f>
        <v>188.01120000000003</v>
      </c>
      <c r="CA62" s="13">
        <f t="shared" si="39"/>
        <v>47.099988496590989</v>
      </c>
      <c r="CB62" s="20">
        <f t="shared" si="10"/>
        <v>409.48531996489601</v>
      </c>
      <c r="CC62" s="59">
        <f t="shared" si="11"/>
        <v>702.81865329822926</v>
      </c>
      <c r="CD62" s="59">
        <f ca="1">AVERAGE(OFFSET($CC$3,0,0,'Données projet'!$E$12+1,1))-AVERAGE(OFFSET($H$3,0,0,'Données projet'!$E$12+1,1))</f>
        <v>165.39579887388538</v>
      </c>
      <c r="CE62" s="59">
        <f t="shared" si="40"/>
        <v>155.89639262545802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3.262028582899656</v>
      </c>
      <c r="CM62" s="21">
        <f>EXP(-LN(2)/2)*CM61+(1-EXP(-LN(2)/2))/(LN(2)/2)*CG62*CJ62*VLOOKUP('Données projet'!$B$12,Paramètres!$A$1:$I$89,3,0)*0.475*44/12</f>
        <v>5.9903975778788148E-4</v>
      </c>
      <c r="CN62" s="22">
        <f t="shared" si="12"/>
        <v>3.262627622657444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8</v>
      </c>
      <c r="CT62" s="12">
        <f>IF('Données projet'!$A$140&gt;35,CT61+CS62-DB61,IF(A62&lt;'Données projet'!$A$140,$CQ$205^A62,IF(A62='Données projet'!$A$140,'Données projet'!$B$140,CT61+CS62-DB61)))</f>
        <v>255.00000000000011</v>
      </c>
      <c r="CU62" s="17">
        <f>CT62*VLOOKUP('Données projet'!$B$13,Paramètres!$A$1:$I$89,3,0)*VLOOKUP('Données projet'!$B$13,Paramètres!$A$1:$I$89,5,0)</f>
        <v>198.90000000000009</v>
      </c>
      <c r="CV62" s="13">
        <f t="shared" si="41"/>
        <v>49.502343477105569</v>
      </c>
      <c r="CW62" s="20">
        <f t="shared" si="13"/>
        <v>432.63408155595903</v>
      </c>
      <c r="CX62" s="59">
        <f t="shared" si="14"/>
        <v>725.96741488929229</v>
      </c>
      <c r="CY62" s="59">
        <f ca="1">AVERAGE(OFFSET($CX$3,0,0,'Données projet'!$E$13+1,1))-AVERAGE(OFFSET($H$3,0,0,'Données projet'!$E$13+1,1))</f>
        <v>190.06335940156185</v>
      </c>
      <c r="CZ62" s="59">
        <f t="shared" si="42"/>
        <v>166.43663896839928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1.9987880067254036</v>
      </c>
      <c r="DH62" s="21">
        <f>EXP(-LN(2)/2)*DH61+(1-EXP(-LN(2)/2))/(LN(2)/2)*DB62*DE62*VLOOKUP('Données projet'!$B$13,Paramètres!$A$1:$I$89,3,0)*0.475*44/12</f>
        <v>2.2987870773375261E-4</v>
      </c>
      <c r="DI62" s="22">
        <f t="shared" si="15"/>
        <v>1.9990178854331373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7.8</v>
      </c>
      <c r="DO62" s="12">
        <f>IF('Données projet'!$A$166&gt;35,DO61+DN62-DW61,IF(A62&lt;'Données projet'!$A$166,$DL$205^A62,IF(A62='Données projet'!$A$166,'Données projet'!$B$166,DO61+DN62-DW61)))</f>
        <v>227.20000000000016</v>
      </c>
      <c r="DP62" s="17">
        <f>DO62*VLOOKUP('Données projet'!$B$14,Paramètres!$A$1:$I$89,3,0)*VLOOKUP('Données projet'!$B$14,Paramètres!$A$1:$I$89,5,0)</f>
        <v>219.74784000000014</v>
      </c>
      <c r="DQ62" s="13">
        <f t="shared" si="43"/>
        <v>54.060076332940611</v>
      </c>
      <c r="DR62" s="20">
        <f t="shared" si="16"/>
        <v>476.88212094653846</v>
      </c>
      <c r="DS62" s="59">
        <f t="shared" si="17"/>
        <v>770.21545427987178</v>
      </c>
      <c r="DT62" s="59">
        <f ca="1">AVERAGE(OFFSET($DS$3,0,0,'Données projet'!$E$14+1,1))-AVERAGE(OFFSET($H$3,0,0,'Données projet'!$E$14+1,1))</f>
        <v>261.22357949323879</v>
      </c>
      <c r="DU62" s="59">
        <f t="shared" si="44"/>
        <v>163.41029152029387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0</v>
      </c>
      <c r="EB62" s="21">
        <f>EXP(-LN(2)/25)*EB61+(1-EXP(-LN(2)/25))/(LN(2)/25)*Calculateur!DW62*Calculateur!DY62*VLOOKUP('Données projet'!$B$14,Paramètres!$A$1:$I$89,3,0)*0.475*44/12</f>
        <v>1.485804629776742</v>
      </c>
      <c r="EC62" s="21">
        <f>EXP(-LN(2)/2)*EC61+(1-EXP(-LN(2)/2))/(LN(2)/2)*DW62*DZ62*VLOOKUP('Données projet'!$B$14,Paramètres!$A$1:$I$89,3,0)*0.475*44/12</f>
        <v>2.8554440204204943E-4</v>
      </c>
      <c r="ED62" s="22">
        <f t="shared" si="18"/>
        <v>1.486090174178784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8</v>
      </c>
      <c r="EJ62" s="12">
        <f>IF('Données projet'!$A$192&gt;35,EJ61+EI62-ER61,IF(A62&lt;'Données projet'!$A$192,$EG$205^A62,IF(A62='Données projet'!$A$192,'Données projet'!$B$192,EJ61+EI62-ER61)))</f>
        <v>267.09999999999997</v>
      </c>
      <c r="EK62" s="17">
        <f>EJ62*VLOOKUP('Données projet'!$B$15,Paramètres!$A$1:$I$89,3,0)*VLOOKUP('Données projet'!$B$15,Paramètres!$A$1:$I$89,5,0)</f>
        <v>125.00279999999998</v>
      </c>
      <c r="EL62" s="13">
        <f t="shared" si="45"/>
        <v>32.839032091861341</v>
      </c>
      <c r="EM62" s="20">
        <f t="shared" si="19"/>
        <v>274.90785755999178</v>
      </c>
      <c r="EN62" s="59">
        <f t="shared" si="20"/>
        <v>568.2411908933251</v>
      </c>
      <c r="EO62" s="59">
        <f ca="1">AVERAGE(OFFSET($EN$3,0,0,'Données projet'!$E$15+1,1))-AVERAGE(OFFSET($H$3,0,0,'Données projet'!$E$15+1,1))</f>
        <v>123.60520571614535</v>
      </c>
      <c r="EP62" s="59">
        <f t="shared" si="46"/>
        <v>119.00926870519527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0.48836638378923886</v>
      </c>
      <c r="EW62" s="21">
        <f>EXP(-LN(2)/25)*EW61+(1-EXP(-LN(2)/25))/(LN(2)/25)*Calculateur!ER62*Calculateur!ET62*VLOOKUP('Données projet'!$B$15,Paramètres!$A$1:$I$89,3,0)*0.475*44/12</f>
        <v>2.1376591748291975</v>
      </c>
      <c r="EX62" s="21">
        <f>EXP(-LN(2)/2)*EX61+(1-EXP(-LN(2)/2))/(LN(2)/2)*ER62*EU62*VLOOKUP('Données projet'!$B$15,Paramètres!$A$1:$I$89,3,0)*0.475*44/12</f>
        <v>2.6385779702489047E-4</v>
      </c>
      <c r="EY62" s="22">
        <f t="shared" si="21"/>
        <v>2.6262894164154611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4.4000000000000004</v>
      </c>
      <c r="FE62" s="12">
        <f>IF('Données projet'!$A$218&gt;35,FE61+FD62-FM61,IF(A62&lt;'Données projet'!$A$218,$FB$205^A62,IF(A62='Données projet'!$A$218,'Données projet'!$B$218,FE61+FD62-FM61)))</f>
        <v>200.60000000000002</v>
      </c>
      <c r="FF62" s="17">
        <f>FE62*VLOOKUP('Données projet'!$B$16,Paramètres!$A$1:$I$89,3,0)*VLOOKUP('Données projet'!$B$16,Paramètres!$A$1:$I$89,5,0)</f>
        <v>147.07992000000002</v>
      </c>
      <c r="FG62" s="13">
        <f t="shared" si="47"/>
        <v>37.914229607711135</v>
      </c>
      <c r="FH62" s="20">
        <f t="shared" si="22"/>
        <v>322.19814390009697</v>
      </c>
      <c r="FI62" s="59">
        <f t="shared" si="23"/>
        <v>615.53147723343022</v>
      </c>
      <c r="FJ62" s="59">
        <f ca="1">AVERAGE(OFFSET($FI$3,0,0,'Données projet'!$E$16+1,1))-AVERAGE(OFFSET($H$3,0,0,'Données projet'!$E$16+1,1))</f>
        <v>124.15919323713428</v>
      </c>
      <c r="FK62" s="59">
        <f t="shared" si="48"/>
        <v>157.85954678210715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0</v>
      </c>
      <c r="FR62" s="21">
        <f>EXP(-LN(2)/25)*FR61+(1-EXP(-LN(2)/25))/(LN(2)/25)*Calculateur!FM62*Calculateur!FO62*VLOOKUP('Données projet'!$B$16,Paramètres!$A$1:$I$89,3,0)*0.475*44/12</f>
        <v>2.2493711366278304</v>
      </c>
      <c r="FS62" s="21">
        <f>EXP(-LN(2)/2)*FS61+(1-EXP(-LN(2)/2))/(LN(2)/2)*FM62*FP62*VLOOKUP('Données projet'!$B$16,Paramètres!$A$1:$I$89,3,0)*0.475*44/12</f>
        <v>3.1839372067936047E-4</v>
      </c>
      <c r="FT62" s="22">
        <f t="shared" si="24"/>
        <v>2.2496895303485096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235</v>
      </c>
      <c r="L63" s="12">
        <f>VLOOKUP(A63,'Données projet'!$A$35:$I$55,9,0)</f>
        <v>7.8</v>
      </c>
      <c r="M63" s="12">
        <f t="array" ref="M63">INDEX(L:L,MIN(IF(ISNUMBER(L63:L259),ROW(L63:L259),"")))</f>
        <v>7.8</v>
      </c>
      <c r="N63" s="13">
        <f>IF('Données projet'!$A$36&gt;35,N62+M63-V62,IF(A63&lt;'Données projet'!$A$36,$K$205^A63,IF(A63='Données projet'!$A$36,'Données projet'!$B$36,N62+M63-V62)))</f>
        <v>235.00000000000017</v>
      </c>
      <c r="O63" s="13">
        <f>N63*VLOOKUP('Données projet'!$B$9,Paramètres!$A$1:$I$89,3,0)*VLOOKUP('Données projet'!$B$9,Paramètres!$A$1:$I$89,5,0)</f>
        <v>212.62800000000016</v>
      </c>
      <c r="P63" s="13">
        <f t="shared" si="33"/>
        <v>52.509453483719085</v>
      </c>
      <c r="Q63" s="20">
        <f t="shared" si="53"/>
        <v>461.78106481747767</v>
      </c>
      <c r="R63" s="59">
        <f t="shared" si="0"/>
        <v>755.11439815081098</v>
      </c>
      <c r="S63" s="59">
        <f ca="1">AVERAGE(OFFSET($R$3,0,0,'Données projet'!$E$9+1,1))-AVERAGE(OFFSET($H$3,0,0,'Données projet'!$E$9+1,1))</f>
        <v>237.22177246688199</v>
      </c>
      <c r="T63" s="59">
        <f t="shared" si="34"/>
        <v>149.27472147904302</v>
      </c>
      <c r="U63" s="15">
        <f>IF(ISNA(VLOOKUP(A63,'Données projet'!$A$35:$I$55,3,0)),0,VLOOKUP(A63,'Données projet'!$A$35:$I$55,3,0))</f>
        <v>4</v>
      </c>
      <c r="V63" s="15">
        <f>IF(ISNA(VLOOKUP(A63,'Données projet'!$A$35:$I$55,4,0)),0,VLOOKUP(A63,'Données projet'!$A$35:$I$55,4,0))</f>
        <v>42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1.3519381128120127</v>
      </c>
      <c r="AB63" s="21">
        <f>EXP(-LN(2)/2)*AB62+(1-EXP(-LN(2)/2))/(LN(2)/2)*V63*Y63*VLOOKUP('Données projet'!$B$9,Paramètres!$A$1:$I$89,3,0)*0.475*44/12</f>
        <v>1.8888390669032066E-4</v>
      </c>
      <c r="AC63" s="22">
        <f t="shared" si="3"/>
        <v>1.3521269967187031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220</v>
      </c>
      <c r="AG63" s="12">
        <f>VLOOKUP(A63,'Données projet'!$A$61:$I$81,9,0)</f>
        <v>5.6</v>
      </c>
      <c r="AH63" s="12">
        <f t="array" ref="AH63">INDEX(AG:AG,MIN(IF(ISNUMBER(AG63:AG259),ROW(AG63:AG259),"")))</f>
        <v>5.6</v>
      </c>
      <c r="AI63" s="13">
        <f>IF('Données projet'!$A$62&gt;35,AI62+AH63-AQ62,IF(A63&lt;'Données projet'!$A$62,$AF$205^A63,IF(A63='Données projet'!$A$62,'Données projet'!$B$62,AI62+AH63-AQ62)))</f>
        <v>219.99999999999969</v>
      </c>
      <c r="AJ63" s="13">
        <f>AI63*VLOOKUP('Données projet'!$B$10,Paramètres!$A$1:$I$89,3,0)*VLOOKUP('Données projet'!$B$10,Paramètres!$A$1:$I$89,5,0)</f>
        <v>192.19199999999975</v>
      </c>
      <c r="AK63" s="13">
        <f t="shared" si="35"/>
        <v>48.024248921932397</v>
      </c>
      <c r="AL63" s="20">
        <f t="shared" si="4"/>
        <v>418.37663353903184</v>
      </c>
      <c r="AM63" s="59">
        <f t="shared" si="5"/>
        <v>711.70996687236516</v>
      </c>
      <c r="AN63" s="59">
        <f ca="1">AVERAGE(OFFSET($AM$3,0,0,'Données projet'!$E$10+1,1))-AVERAGE(OFFSET($H$3,0,0,'Données projet'!$E$10+1,1))</f>
        <v>191.94797389630673</v>
      </c>
      <c r="AO63" s="59">
        <f t="shared" si="36"/>
        <v>273.52540822767878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40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1.4213275371928027</v>
      </c>
      <c r="AV63" s="21">
        <f>EXP(-LN(2)/25)*AV62+(1-EXP(-LN(2)/25))/(LN(2)/25)*Calculateur!AQ63*Calculateur!AS63*VLOOKUP('Données projet'!$B$10,Paramètres!$A$1:$I$89,3,0)*0.475*44/12</f>
        <v>6.114812904214852</v>
      </c>
      <c r="AW63" s="21">
        <f>EXP(-LN(2)/2)*AW62+(1-EXP(-LN(2)/2))/(LN(2)/2)*AQ63*AT63*VLOOKUP('Données projet'!$B$10,Paramètres!$A$1:$I$89,3,0)*0.475*44/12</f>
        <v>7.0810128539030074E-4</v>
      </c>
      <c r="AX63" s="21">
        <f t="shared" si="6"/>
        <v>7.5368485426930452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1.625</v>
      </c>
      <c r="BD63" s="12">
        <f>IF('Données projet'!$A$88&gt;35,BD62+BC63-BL62,IF(A63&lt;'Données projet'!$A$88,$BA$205^A63,IF(A63='Données projet'!$A$88,'Données projet'!$B$88,BD62+BC63-BL62)))</f>
        <v>177.75</v>
      </c>
      <c r="BE63" s="13">
        <f>BD63*VLOOKUP('Données projet'!$B$11,Paramètres!$A$1:$I$89,3,0)*VLOOKUP('Données projet'!$B$11,Paramètres!$A$1:$I$89,5,0)</f>
        <v>106.2945</v>
      </c>
      <c r="BF63" s="13">
        <f t="shared" si="37"/>
        <v>28.45620637858886</v>
      </c>
      <c r="BG63" s="20">
        <f t="shared" si="7"/>
        <v>234.6908136093756</v>
      </c>
      <c r="BH63" s="59">
        <f t="shared" si="8"/>
        <v>528.02414694270897</v>
      </c>
      <c r="BI63" s="59">
        <f ca="1">AVERAGE(OFFSET($BH$3,0,0,'Données projet'!$E$11+1,1))-AVERAGE(OFFSET($H$3,0,0,'Données projet'!$E$11+1,1))</f>
        <v>72.647148358003676</v>
      </c>
      <c r="BJ63" s="59">
        <f t="shared" si="38"/>
        <v>87.231299224620898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0.70246631491507749</v>
      </c>
      <c r="BQ63" s="21">
        <f>EXP(-LN(2)/25)*BQ62+(1-EXP(-LN(2)/25))/(LN(2)/25)*Calculateur!BL63*Calculateur!BN63*VLOOKUP('Données projet'!$B$11,Paramètres!$A$1:$I$89,3,0)*0.475*44/12</f>
        <v>1.9722879937156552</v>
      </c>
      <c r="BR63" s="21">
        <f>EXP(-LN(2)/2)*BR62+(1-EXP(-LN(2)/2))/(LN(2)/2)*BL63*BO63*VLOOKUP('Données projet'!$B$11,Paramètres!$A$1:$I$89,3,0)*0.475*44/12</f>
        <v>6.9607425423302773E-5</v>
      </c>
      <c r="BS63" s="22">
        <f t="shared" si="9"/>
        <v>2.6748239160561558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324</v>
      </c>
      <c r="BW63" s="12">
        <f>VLOOKUP(A63,'Données projet'!$A$113:$I$133,9,0)</f>
        <v>9.6</v>
      </c>
      <c r="BX63" s="12">
        <f t="array" ref="BX63">INDEX(BW:BW,MIN(IF(ISNUMBER(BW63:BW259),ROW(BW63:BW259),"")))</f>
        <v>9.6</v>
      </c>
      <c r="BY63" s="12">
        <f>IF('Données projet'!$A$114&gt;35,BY62+BX63-CG62,IF(A63&lt;'Données projet'!$A$114,$BV$205^A63,IF(A63='Données projet'!$A$114,'Données projet'!$B$114,BY62+BX63-CG62)))</f>
        <v>324.00000000000006</v>
      </c>
      <c r="BZ63" s="13">
        <f>BY63*VLOOKUP('Données projet'!$B$12,Paramètres!$A$1:$I$89,3,0)*VLOOKUP('Données projet'!$B$12,Paramètres!$A$1:$I$89,5,0)</f>
        <v>193.75200000000004</v>
      </c>
      <c r="CA63" s="13">
        <f t="shared" si="39"/>
        <v>48.368520355376113</v>
      </c>
      <c r="CB63" s="20">
        <f t="shared" si="10"/>
        <v>421.69323961894679</v>
      </c>
      <c r="CC63" s="59">
        <f t="shared" si="11"/>
        <v>715.02657295228005</v>
      </c>
      <c r="CD63" s="59">
        <f ca="1">AVERAGE(OFFSET($CC$3,0,0,'Données projet'!$E$12+1,1))-AVERAGE(OFFSET($H$3,0,0,'Données projet'!$E$12+1,1))</f>
        <v>165.39579887388538</v>
      </c>
      <c r="CE63" s="59">
        <f t="shared" si="40"/>
        <v>155.89639262545802</v>
      </c>
      <c r="CF63" s="15">
        <f>IF(ISNA(VLOOKUP(A63,'Données projet'!$A$113:$I$133,3,0)),0,VLOOKUP(A63,'Données projet'!$A$113:$I$133,3,0))</f>
        <v>4</v>
      </c>
      <c r="CG63" s="15">
        <f>IF(ISNA(VLOOKUP(A63,'Données projet'!$A$113:$I$133,4,0)),0,VLOOKUP(A63,'Données projet'!$A$113:$I$133,4,0))</f>
        <v>49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3.1728282397576373</v>
      </c>
      <c r="CM63" s="21">
        <f>EXP(-LN(2)/2)*CM62+(1-EXP(-LN(2)/2))/(LN(2)/2)*CG63*CJ63*VLOOKUP('Données projet'!$B$12,Paramètres!$A$1:$I$89,3,0)*0.475*44/12</f>
        <v>4.2358507493215795E-4</v>
      </c>
      <c r="CN63" s="22">
        <f t="shared" si="12"/>
        <v>3.1732518248325694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8</v>
      </c>
      <c r="CT63" s="12">
        <f>IF('Données projet'!$A$140&gt;35,CT62+CS63-DB62,IF(A63&lt;'Données projet'!$A$140,$CQ$205^A63,IF(A63='Données projet'!$A$140,'Données projet'!$B$140,CT62+CS63-DB62)))</f>
        <v>263.00000000000011</v>
      </c>
      <c r="CU63" s="17">
        <f>CT63*VLOOKUP('Données projet'!$B$13,Paramètres!$A$1:$I$89,3,0)*VLOOKUP('Données projet'!$B$13,Paramètres!$A$1:$I$89,5,0)</f>
        <v>205.1400000000001</v>
      </c>
      <c r="CV63" s="13">
        <f t="shared" si="41"/>
        <v>50.872110483472362</v>
      </c>
      <c r="CW63" s="20">
        <f t="shared" si="13"/>
        <v>445.88775909204782</v>
      </c>
      <c r="CX63" s="59">
        <f t="shared" si="14"/>
        <v>739.22109242538113</v>
      </c>
      <c r="CY63" s="59">
        <f ca="1">AVERAGE(OFFSET($CX$3,0,0,'Données projet'!$E$13+1,1))-AVERAGE(OFFSET($H$3,0,0,'Données projet'!$E$13+1,1))</f>
        <v>190.06335940156185</v>
      </c>
      <c r="CZ63" s="59">
        <f t="shared" si="42"/>
        <v>166.43663896839928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1.9441310435698045</v>
      </c>
      <c r="DH63" s="21">
        <f>EXP(-LN(2)/2)*DH62+(1-EXP(-LN(2)/2))/(LN(2)/2)*DB63*DE63*VLOOKUP('Données projet'!$B$13,Paramètres!$A$1:$I$89,3,0)*0.475*44/12</f>
        <v>1.6254879308893693E-4</v>
      </c>
      <c r="DI63" s="22">
        <f t="shared" si="15"/>
        <v>1.9442935923628935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235</v>
      </c>
      <c r="DM63" s="12">
        <f>VLOOKUP(A63,'Données projet'!$A$165:$I$185,9,0)</f>
        <v>7.8</v>
      </c>
      <c r="DN63" s="12">
        <f t="array" ref="DN63">INDEX(DM:DM,MIN(IF(ISNUMBER(DM63:DM259),ROW(DM63:DM259),"")))</f>
        <v>7.8</v>
      </c>
      <c r="DO63" s="12">
        <f>IF('Données projet'!$A$166&gt;35,DO62+DN63-DW62,IF(A63&lt;'Données projet'!$A$166,$DL$205^A63,IF(A63='Données projet'!$A$166,'Données projet'!$B$166,DO62+DN63-DW62)))</f>
        <v>235.00000000000017</v>
      </c>
      <c r="DP63" s="17">
        <f>DO63*VLOOKUP('Données projet'!$B$14,Paramètres!$A$1:$I$89,3,0)*VLOOKUP('Données projet'!$B$14,Paramètres!$A$1:$I$89,5,0)</f>
        <v>227.29200000000017</v>
      </c>
      <c r="DQ63" s="13">
        <f t="shared" si="43"/>
        <v>55.696745617483749</v>
      </c>
      <c r="DR63" s="20">
        <f t="shared" si="16"/>
        <v>492.87206528378442</v>
      </c>
      <c r="DS63" s="59">
        <f t="shared" si="17"/>
        <v>786.20539861711768</v>
      </c>
      <c r="DT63" s="59">
        <f ca="1">AVERAGE(OFFSET($DS$3,0,0,'Données projet'!$E$14+1,1))-AVERAGE(OFFSET($H$3,0,0,'Données projet'!$E$14+1,1))</f>
        <v>261.22357949323879</v>
      </c>
      <c r="DU63" s="59">
        <f t="shared" si="44"/>
        <v>163.41029152029387</v>
      </c>
      <c r="DV63" s="15">
        <f>IF(ISNA(VLOOKUP(A63,'Données projet'!$A$165:$I$185,3,0)),0,VLOOKUP(A63,'Données projet'!$A$165:$I$185,3,0))</f>
        <v>4</v>
      </c>
      <c r="DW63" s="15">
        <f>IF(ISNA(VLOOKUP(A63,'Données projet'!$A$165:$I$185,4,0)),0,VLOOKUP(A63,'Données projet'!$A$165:$I$185,4,0))</f>
        <v>42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0</v>
      </c>
      <c r="EB63" s="21">
        <f>EXP(-LN(2)/25)*EB62+(1-EXP(-LN(2)/25))/(LN(2)/25)*Calculateur!DW63*Calculateur!DY63*VLOOKUP('Données projet'!$B$14,Paramètres!$A$1:$I$89,3,0)*0.475*44/12</f>
        <v>1.4451752240404274</v>
      </c>
      <c r="EC63" s="21">
        <f>EXP(-LN(2)/2)*EC62+(1-EXP(-LN(2)/2))/(LN(2)/2)*DW63*DZ63*VLOOKUP('Données projet'!$B$14,Paramètres!$A$1:$I$89,3,0)*0.475*44/12</f>
        <v>2.0191038301379101E-4</v>
      </c>
      <c r="ED63" s="22">
        <f t="shared" si="18"/>
        <v>1.4453771344234412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275.10000000000002</v>
      </c>
      <c r="EH63" s="12">
        <f>VLOOKUP(A63,'Données projet'!$A$191:$I$211,9,0)</f>
        <v>8</v>
      </c>
      <c r="EI63" s="12">
        <f t="array" ref="EI63">INDEX(EH:EH,MIN(IF(ISNUMBER(EH63:EH259),ROW(EH63:EH259),"")))</f>
        <v>8</v>
      </c>
      <c r="EJ63" s="12">
        <f>IF('Données projet'!$A$192&gt;35,EJ62+EI63-ER62,IF(A63&lt;'Données projet'!$A$192,$EG$205^A63,IF(A63='Données projet'!$A$192,'Données projet'!$B$192,EJ62+EI63-ER62)))</f>
        <v>275.09999999999997</v>
      </c>
      <c r="EK63" s="17">
        <f>EJ63*VLOOKUP('Données projet'!$B$15,Paramètres!$A$1:$I$89,3,0)*VLOOKUP('Données projet'!$B$15,Paramètres!$A$1:$I$89,5,0)</f>
        <v>128.74679999999998</v>
      </c>
      <c r="EL63" s="13">
        <f t="shared" si="45"/>
        <v>33.706618554384562</v>
      </c>
      <c r="EM63" s="20">
        <f t="shared" si="19"/>
        <v>282.93970398221973</v>
      </c>
      <c r="EN63" s="59">
        <f t="shared" si="20"/>
        <v>576.27303731555298</v>
      </c>
      <c r="EO63" s="59">
        <f ca="1">AVERAGE(OFFSET($EN$3,0,0,'Données projet'!$E$15+1,1))-AVERAGE(OFFSET($H$3,0,0,'Données projet'!$E$15+1,1))</f>
        <v>123.60520571614535</v>
      </c>
      <c r="EP63" s="59">
        <f t="shared" si="46"/>
        <v>119.00926870519527</v>
      </c>
      <c r="EQ63" s="15">
        <f>IF(ISNA(VLOOKUP(A63,'Données projet'!$A$191:$I$211,3,0)),0,VLOOKUP(A63,'Données projet'!$A$191:$I$211,3,0))</f>
        <v>5</v>
      </c>
      <c r="ER63" s="15">
        <f>IF(ISNA(VLOOKUP(A63,'Données projet'!$A$191:$I$211,4,0)),0,VLOOKUP(A63,'Données projet'!$A$191:$I$211,4,0))</f>
        <v>46.3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0.47878981687721339</v>
      </c>
      <c r="EW63" s="21">
        <f>EXP(-LN(2)/25)*EW62+(1-EXP(-LN(2)/25))/(LN(2)/25)*Calculateur!ER63*Calculateur!ET63*VLOOKUP('Données projet'!$B$15,Paramètres!$A$1:$I$89,3,0)*0.475*44/12</f>
        <v>2.0792047722788829</v>
      </c>
      <c r="EX63" s="21">
        <f>EXP(-LN(2)/2)*EX62+(1-EXP(-LN(2)/2))/(LN(2)/2)*ER63*EU63*VLOOKUP('Données projet'!$B$15,Paramètres!$A$1:$I$89,3,0)*0.475*44/12</f>
        <v>1.865756375452437E-4</v>
      </c>
      <c r="EY63" s="22">
        <f t="shared" si="21"/>
        <v>2.5581811647936417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205</v>
      </c>
      <c r="FC63" s="12">
        <f>VLOOKUP(A63,'Données projet'!$A$217:$I$237,9,0)</f>
        <v>4.4000000000000004</v>
      </c>
      <c r="FD63" s="12">
        <f t="array" ref="FD63">INDEX(FC:FC,MIN(IF(ISNUMBER(FC63:FC259),ROW(FC63:FC259),"")))</f>
        <v>4.4000000000000004</v>
      </c>
      <c r="FE63" s="12">
        <f>IF('Données projet'!$A$218&gt;35,FE62+FD63-FM62,IF(A63&lt;'Données projet'!$A$218,$FB$205^A63,IF(A63='Données projet'!$A$218,'Données projet'!$B$218,FE62+FD63-FM62)))</f>
        <v>205.00000000000003</v>
      </c>
      <c r="FF63" s="17">
        <f>FE63*VLOOKUP('Données projet'!$B$16,Paramètres!$A$1:$I$89,3,0)*VLOOKUP('Données projet'!$B$16,Paramètres!$A$1:$I$89,5,0)</f>
        <v>150.30600000000001</v>
      </c>
      <c r="FG63" s="13">
        <f t="shared" si="47"/>
        <v>38.648116968856677</v>
      </c>
      <c r="FH63" s="20">
        <f t="shared" si="22"/>
        <v>329.09508705409206</v>
      </c>
      <c r="FI63" s="59">
        <f t="shared" si="23"/>
        <v>622.42842038742538</v>
      </c>
      <c r="FJ63" s="59">
        <f ca="1">AVERAGE(OFFSET($FI$3,0,0,'Données projet'!$E$16+1,1))-AVERAGE(OFFSET($H$3,0,0,'Données projet'!$E$16+1,1))</f>
        <v>124.15919323713428</v>
      </c>
      <c r="FK63" s="59">
        <f t="shared" si="48"/>
        <v>157.85954678210715</v>
      </c>
      <c r="FL63" s="15">
        <f>IF(ISNA(VLOOKUP(A63,'Données projet'!$A$217:$I$237,3,0)),0,VLOOKUP(A63,'Données projet'!$A$217:$I$237,3,0))</f>
        <v>5</v>
      </c>
      <c r="FM63" s="15">
        <f>IF(ISNA(VLOOKUP(A63,'Données projet'!$A$217:$I$237,4,0)),0,VLOOKUP(A63,'Données projet'!$A$217:$I$237,4,0))</f>
        <v>20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0</v>
      </c>
      <c r="FR63" s="21">
        <f>EXP(-LN(2)/25)*FR62+(1-EXP(-LN(2)/25))/(LN(2)/25)*Calculateur!FM63*Calculateur!FO63*VLOOKUP('Données projet'!$B$16,Paramètres!$A$1:$I$89,3,0)*0.475*44/12</f>
        <v>2.1878619646074555</v>
      </c>
      <c r="FS63" s="21">
        <f>EXP(-LN(2)/2)*FS62+(1-EXP(-LN(2)/2))/(LN(2)/2)*FM63*FP63*VLOOKUP('Données projet'!$B$16,Paramètres!$A$1:$I$89,3,0)*0.475*44/12</f>
        <v>2.2513835897959128E-4</v>
      </c>
      <c r="FT63" s="22">
        <f t="shared" si="24"/>
        <v>2.1880871029664353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7</v>
      </c>
      <c r="N64" s="13">
        <f>IF('Données projet'!$A$36&gt;35,N63+M64-V63,IF(A64&lt;'Données projet'!$A$36,$K$205^A64,IF(A64='Données projet'!$A$36,'Données projet'!$B$36,N63+M64-V63)))</f>
        <v>200.00000000000017</v>
      </c>
      <c r="O64" s="13">
        <f>N64*VLOOKUP('Données projet'!$B$9,Paramètres!$A$1:$I$89,3,0)*VLOOKUP('Données projet'!$B$9,Paramètres!$A$1:$I$89,5,0)</f>
        <v>180.96000000000015</v>
      </c>
      <c r="P64" s="13">
        <f t="shared" si="33"/>
        <v>45.535702314871806</v>
      </c>
      <c r="Q64" s="20">
        <f t="shared" si="53"/>
        <v>394.48001486506865</v>
      </c>
      <c r="R64" s="59">
        <f t="shared" si="0"/>
        <v>687.81334819840197</v>
      </c>
      <c r="S64" s="59">
        <f ca="1">AVERAGE(OFFSET($R$3,0,0,'Données projet'!$E$9+1,1))-AVERAGE(OFFSET($H$3,0,0,'Données projet'!$E$9+1,1))</f>
        <v>237.22177246688199</v>
      </c>
      <c r="T64" s="59">
        <f t="shared" si="34"/>
        <v>149.27472147904302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1.3149692940218327</v>
      </c>
      <c r="AB64" s="21">
        <f>EXP(-LN(2)/2)*AB63+(1-EXP(-LN(2)/2))/(LN(2)/2)*V64*Y64*VLOOKUP('Données projet'!$B$9,Paramètres!$A$1:$I$89,3,0)*0.475*44/12</f>
        <v>1.3356109127773283E-4</v>
      </c>
      <c r="AC64" s="22">
        <f t="shared" si="3"/>
        <v>1.3151028551131105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4.3</v>
      </c>
      <c r="AI64" s="13">
        <f>IF('Données projet'!$A$62&gt;35,AI63+AH64-AQ63,IF(A64&lt;'Données projet'!$A$62,$AF$205^A64,IF(A64='Données projet'!$A$62,'Données projet'!$B$62,AI63+AH64-AQ63)))</f>
        <v>184.2999999999997</v>
      </c>
      <c r="AJ64" s="13">
        <f>AI64*VLOOKUP('Données projet'!$B$10,Paramètres!$A$1:$I$89,3,0)*VLOOKUP('Données projet'!$B$10,Paramètres!$A$1:$I$89,5,0)</f>
        <v>161.00447999999975</v>
      </c>
      <c r="AK64" s="13">
        <f t="shared" si="35"/>
        <v>41.068996085697087</v>
      </c>
      <c r="AL64" s="20">
        <f t="shared" si="4"/>
        <v>351.9446375159219</v>
      </c>
      <c r="AM64" s="59">
        <f t="shared" si="5"/>
        <v>645.27797084925521</v>
      </c>
      <c r="AN64" s="59">
        <f ca="1">AVERAGE(OFFSET($AM$3,0,0,'Données projet'!$E$10+1,1))-AVERAGE(OFFSET($H$3,0,0,'Données projet'!$E$10+1,1))</f>
        <v>191.94797389630673</v>
      </c>
      <c r="AO64" s="59">
        <f t="shared" si="36"/>
        <v>273.52540822767878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1.3934561711126479</v>
      </c>
      <c r="AV64" s="21">
        <f>EXP(-LN(2)/25)*AV63+(1-EXP(-LN(2)/25))/(LN(2)/25)*Calculateur!AQ64*Calculateur!AS64*VLOOKUP('Données projet'!$B$10,Paramètres!$A$1:$I$89,3,0)*0.475*44/12</f>
        <v>5.9476030237850619</v>
      </c>
      <c r="AW64" s="21">
        <f>EXP(-LN(2)/2)*AW63+(1-EXP(-LN(2)/2))/(LN(2)/2)*AQ64*AT64*VLOOKUP('Données projet'!$B$10,Paramètres!$A$1:$I$89,3,0)*0.475*44/12</f>
        <v>5.0070322066639241E-4</v>
      </c>
      <c r="AX64" s="21">
        <f t="shared" si="6"/>
        <v>7.3415598981183763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1.625</v>
      </c>
      <c r="BD64" s="12">
        <f>IF('Données projet'!$A$88&gt;35,BD63+BC64-BL63,IF(A64&lt;'Données projet'!$A$88,$BA$205^A64,IF(A64='Données projet'!$A$88,'Données projet'!$B$88,BD63+BC64-BL63)))</f>
        <v>179.375</v>
      </c>
      <c r="BE64" s="13">
        <f>BD64*VLOOKUP('Données projet'!$B$11,Paramètres!$A$1:$I$89,3,0)*VLOOKUP('Données projet'!$B$11,Paramètres!$A$1:$I$89,5,0)</f>
        <v>107.26625000000001</v>
      </c>
      <c r="BF64" s="13">
        <f t="shared" si="37"/>
        <v>28.685951401763571</v>
      </c>
      <c r="BG64" s="20">
        <f t="shared" si="7"/>
        <v>236.78341744140491</v>
      </c>
      <c r="BH64" s="59">
        <f t="shared" si="8"/>
        <v>530.11675077473819</v>
      </c>
      <c r="BI64" s="59">
        <f ca="1">AVERAGE(OFFSET($BH$3,0,0,'Données projet'!$E$11+1,1))-AVERAGE(OFFSET($H$3,0,0,'Données projet'!$E$11+1,1))</f>
        <v>72.647148358003676</v>
      </c>
      <c r="BJ64" s="59">
        <f t="shared" si="38"/>
        <v>87.231299224620898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0.68869137894173782</v>
      </c>
      <c r="BQ64" s="21">
        <f>EXP(-LN(2)/25)*BQ63+(1-EXP(-LN(2)/25))/(LN(2)/25)*Calculateur!BL64*Calculateur!BN64*VLOOKUP('Données projet'!$B$11,Paramètres!$A$1:$I$89,3,0)*0.475*44/12</f>
        <v>1.9183556748093828</v>
      </c>
      <c r="BR64" s="21">
        <f>EXP(-LN(2)/2)*BR63+(1-EXP(-LN(2)/2))/(LN(2)/2)*BL64*BO64*VLOOKUP('Données projet'!$B$11,Paramètres!$A$1:$I$89,3,0)*0.475*44/12</f>
        <v>4.9219882537754279E-5</v>
      </c>
      <c r="BS64" s="22">
        <f t="shared" si="9"/>
        <v>2.6070962736336583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8</v>
      </c>
      <c r="BY64" s="12">
        <f>IF('Données projet'!$A$114&gt;35,BY63+BX64-CG63,IF(A64&lt;'Données projet'!$A$114,$BV$205^A64,IF(A64='Données projet'!$A$114,'Données projet'!$B$114,BY63+BX64-CG63)))</f>
        <v>283.00000000000006</v>
      </c>
      <c r="BZ64" s="13">
        <f>BY64*VLOOKUP('Données projet'!$B$12,Paramètres!$A$1:$I$89,3,0)*VLOOKUP('Données projet'!$B$12,Paramètres!$A$1:$I$89,5,0)</f>
        <v>169.23400000000007</v>
      </c>
      <c r="CA64" s="13">
        <f t="shared" si="39"/>
        <v>42.918420001269354</v>
      </c>
      <c r="CB64" s="20">
        <f t="shared" si="10"/>
        <v>369.49879816887756</v>
      </c>
      <c r="CC64" s="59">
        <f t="shared" si="11"/>
        <v>662.83213150221081</v>
      </c>
      <c r="CD64" s="59">
        <f ca="1">AVERAGE(OFFSET($CC$3,0,0,'Données projet'!$E$12+1,1))-AVERAGE(OFFSET($H$3,0,0,'Données projet'!$E$12+1,1))</f>
        <v>165.39579887388538</v>
      </c>
      <c r="CE64" s="59">
        <f t="shared" si="40"/>
        <v>155.89639262545802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3.0860670846896792</v>
      </c>
      <c r="CM64" s="21">
        <f>EXP(-LN(2)/2)*CM63+(1-EXP(-LN(2)/2))/(LN(2)/2)*CG64*CJ64*VLOOKUP('Données projet'!$B$12,Paramètres!$A$1:$I$89,3,0)*0.475*44/12</f>
        <v>2.9951987889394074E-4</v>
      </c>
      <c r="CN64" s="22">
        <f t="shared" si="12"/>
        <v>3.0863666045685729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8</v>
      </c>
      <c r="CT64" s="12">
        <f>IF('Données projet'!$A$140&gt;35,CT63+CS64-DB63,IF(A64&lt;'Données projet'!$A$140,$CQ$205^A64,IF(A64='Données projet'!$A$140,'Données projet'!$B$140,CT63+CS64-DB63)))</f>
        <v>271.00000000000011</v>
      </c>
      <c r="CU64" s="17">
        <f>CT64*VLOOKUP('Données projet'!$B$13,Paramètres!$A$1:$I$89,3,0)*VLOOKUP('Données projet'!$B$13,Paramètres!$A$1:$I$89,5,0)</f>
        <v>211.38000000000011</v>
      </c>
      <c r="CV64" s="13">
        <f t="shared" si="41"/>
        <v>52.23703536408425</v>
      </c>
      <c r="CW64" s="20">
        <f t="shared" si="13"/>
        <v>459.13300325911359</v>
      </c>
      <c r="CX64" s="59">
        <f t="shared" si="14"/>
        <v>752.46633659244685</v>
      </c>
      <c r="CY64" s="59">
        <f ca="1">AVERAGE(OFFSET($CX$3,0,0,'Données projet'!$E$13+1,1))-AVERAGE(OFFSET($H$3,0,0,'Données projet'!$E$13+1,1))</f>
        <v>190.06335940156185</v>
      </c>
      <c r="CZ64" s="59">
        <f t="shared" si="42"/>
        <v>166.43663896839928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1.89096867794598</v>
      </c>
      <c r="DH64" s="21">
        <f>EXP(-LN(2)/2)*DH63+(1-EXP(-LN(2)/2))/(LN(2)/2)*DB64*DE64*VLOOKUP('Données projet'!$B$13,Paramètres!$A$1:$I$89,3,0)*0.475*44/12</f>
        <v>1.1493935386687633E-4</v>
      </c>
      <c r="DI64" s="22">
        <f t="shared" si="15"/>
        <v>1.8910836172998469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7</v>
      </c>
      <c r="DO64" s="12">
        <f>IF('Données projet'!$A$166&gt;35,DO63+DN64-DW63,IF(A64&lt;'Données projet'!$A$166,$DL$205^A64,IF(A64='Données projet'!$A$166,'Données projet'!$B$166,DO63+DN64-DW63)))</f>
        <v>200.00000000000017</v>
      </c>
      <c r="DP64" s="17">
        <f>DO64*VLOOKUP('Données projet'!$B$14,Paramètres!$A$1:$I$89,3,0)*VLOOKUP('Données projet'!$B$14,Paramètres!$A$1:$I$89,5,0)</f>
        <v>193.44000000000017</v>
      </c>
      <c r="DQ64" s="13">
        <f t="shared" si="43"/>
        <v>48.299691961776787</v>
      </c>
      <c r="DR64" s="20">
        <f t="shared" si="16"/>
        <v>421.02996350009477</v>
      </c>
      <c r="DS64" s="59">
        <f t="shared" si="17"/>
        <v>714.36329683342808</v>
      </c>
      <c r="DT64" s="59">
        <f ca="1">AVERAGE(OFFSET($DS$3,0,0,'Données projet'!$E$14+1,1))-AVERAGE(OFFSET($H$3,0,0,'Données projet'!$E$14+1,1))</f>
        <v>261.22357949323879</v>
      </c>
      <c r="DU64" s="59">
        <f t="shared" si="44"/>
        <v>163.41029152029387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0</v>
      </c>
      <c r="EB64" s="21">
        <f>EXP(-LN(2)/25)*EB63+(1-EXP(-LN(2)/25))/(LN(2)/25)*Calculateur!DW64*Calculateur!DY64*VLOOKUP('Données projet'!$B$14,Paramètres!$A$1:$I$89,3,0)*0.475*44/12</f>
        <v>1.40565683154058</v>
      </c>
      <c r="EC64" s="21">
        <f>EXP(-LN(2)/2)*EC63+(1-EXP(-LN(2)/2))/(LN(2)/2)*DW64*DZ64*VLOOKUP('Données projet'!$B$14,Paramètres!$A$1:$I$89,3,0)*0.475*44/12</f>
        <v>1.4277220102102472E-4</v>
      </c>
      <c r="ED64" s="22">
        <f t="shared" si="18"/>
        <v>1.405799603741601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7.5</v>
      </c>
      <c r="EJ64" s="12">
        <f>IF('Données projet'!$A$192&gt;35,EJ63+EI64-ER63,IF(A64&lt;'Données projet'!$A$192,$EG$205^A64,IF(A64='Données projet'!$A$192,'Données projet'!$B$192,EJ63+EI64-ER63)))</f>
        <v>236.29999999999995</v>
      </c>
      <c r="EK64" s="17">
        <f>EJ64*VLOOKUP('Données projet'!$B$15,Paramètres!$A$1:$I$89,3,0)*VLOOKUP('Données projet'!$B$15,Paramètres!$A$1:$I$89,5,0)</f>
        <v>110.58839999999998</v>
      </c>
      <c r="EL64" s="13">
        <f t="shared" si="45"/>
        <v>29.469573129181672</v>
      </c>
      <c r="EM64" s="20">
        <f t="shared" si="19"/>
        <v>243.93430319999138</v>
      </c>
      <c r="EN64" s="59">
        <f t="shared" si="20"/>
        <v>537.26763653332466</v>
      </c>
      <c r="EO64" s="59">
        <f ca="1">AVERAGE(OFFSET($EN$3,0,0,'Données projet'!$E$15+1,1))-AVERAGE(OFFSET($H$3,0,0,'Données projet'!$E$15+1,1))</f>
        <v>123.60520571614535</v>
      </c>
      <c r="EP64" s="59">
        <f t="shared" si="46"/>
        <v>119.00926870519527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0.46940104060120369</v>
      </c>
      <c r="EW64" s="21">
        <f>EXP(-LN(2)/25)*EW63+(1-EXP(-LN(2)/25))/(LN(2)/25)*Calculateur!ER64*Calculateur!ET64*VLOOKUP('Données projet'!$B$15,Paramètres!$A$1:$I$89,3,0)*0.475*44/12</f>
        <v>2.0223488084402899</v>
      </c>
      <c r="EX64" s="21">
        <f>EXP(-LN(2)/2)*EX63+(1-EXP(-LN(2)/2))/(LN(2)/2)*ER64*EU64*VLOOKUP('Données projet'!$B$15,Paramètres!$A$1:$I$89,3,0)*0.475*44/12</f>
        <v>1.3192889851244523E-4</v>
      </c>
      <c r="EY64" s="22">
        <f t="shared" si="21"/>
        <v>2.491881777940006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3.2</v>
      </c>
      <c r="FE64" s="12">
        <f>IF('Données projet'!$A$218&gt;35,FE63+FD64-FM63,IF(A64&lt;'Données projet'!$A$218,$FB$205^A64,IF(A64='Données projet'!$A$218,'Données projet'!$B$218,FE63+FD64-FM63)))</f>
        <v>188.20000000000002</v>
      </c>
      <c r="FF64" s="17">
        <f>FE64*VLOOKUP('Données projet'!$B$16,Paramètres!$A$1:$I$89,3,0)*VLOOKUP('Données projet'!$B$16,Paramètres!$A$1:$I$89,5,0)</f>
        <v>137.98824000000002</v>
      </c>
      <c r="FG64" s="13">
        <f t="shared" si="47"/>
        <v>35.83575202197639</v>
      </c>
      <c r="FH64" s="20">
        <f t="shared" si="22"/>
        <v>302.74345277160893</v>
      </c>
      <c r="FI64" s="59">
        <f t="shared" si="23"/>
        <v>596.07678610494224</v>
      </c>
      <c r="FJ64" s="59">
        <f ca="1">AVERAGE(OFFSET($FI$3,0,0,'Données projet'!$E$16+1,1))-AVERAGE(OFFSET($H$3,0,0,'Données projet'!$E$16+1,1))</f>
        <v>124.15919323713428</v>
      </c>
      <c r="FK64" s="59">
        <f t="shared" si="48"/>
        <v>157.85954678210715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0</v>
      </c>
      <c r="FR64" s="21">
        <f>EXP(-LN(2)/25)*FR63+(1-EXP(-LN(2)/25))/(LN(2)/25)*Calculateur!FM64*Calculateur!FO64*VLOOKUP('Données projet'!$B$16,Paramètres!$A$1:$I$89,3,0)*0.475*44/12</f>
        <v>2.1280347641306046</v>
      </c>
      <c r="FS64" s="21">
        <f>EXP(-LN(2)/2)*FS63+(1-EXP(-LN(2)/2))/(LN(2)/2)*FM64*FP64*VLOOKUP('Données projet'!$B$16,Paramètres!$A$1:$I$89,3,0)*0.475*44/12</f>
        <v>1.5919686033968023E-4</v>
      </c>
      <c r="FT64" s="22">
        <f t="shared" si="24"/>
        <v>2.1281939609909442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7</v>
      </c>
      <c r="N65" s="13">
        <f>IF('Données projet'!$A$36&gt;35,N64+M65-V64,IF(A65&lt;'Données projet'!$A$36,$K$205^A65,IF(A65='Données projet'!$A$36,'Données projet'!$B$36,N64+M65-V64)))</f>
        <v>207.00000000000017</v>
      </c>
      <c r="O65" s="13">
        <f>N65*VLOOKUP('Données projet'!$B$9,Paramètres!$A$1:$I$89,3,0)*VLOOKUP('Données projet'!$B$9,Paramètres!$A$1:$I$89,5,0)</f>
        <v>187.29360000000014</v>
      </c>
      <c r="P65" s="13">
        <f t="shared" si="33"/>
        <v>46.941107550760456</v>
      </c>
      <c r="Q65" s="20">
        <f t="shared" si="53"/>
        <v>407.95878231757462</v>
      </c>
      <c r="R65" s="59">
        <f t="shared" si="0"/>
        <v>701.29211565090793</v>
      </c>
      <c r="S65" s="59">
        <f ca="1">AVERAGE(OFFSET($R$3,0,0,'Données projet'!$E$9+1,1))-AVERAGE(OFFSET($H$3,0,0,'Données projet'!$E$9+1,1))</f>
        <v>237.22177246688199</v>
      </c>
      <c r="T65" s="59">
        <f t="shared" si="34"/>
        <v>149.27472147904302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1.2790113895255759</v>
      </c>
      <c r="AB65" s="21">
        <f>EXP(-LN(2)/2)*AB64+(1-EXP(-LN(2)/2))/(LN(2)/2)*V65*Y65*VLOOKUP('Données projet'!$B$9,Paramètres!$A$1:$I$89,3,0)*0.475*44/12</f>
        <v>9.4441953345160328E-5</v>
      </c>
      <c r="AC65" s="22">
        <f t="shared" si="3"/>
        <v>1.279105831478921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4.3</v>
      </c>
      <c r="AI65" s="13">
        <f>IF('Données projet'!$A$62&gt;35,AI64+AH65-AQ64,IF(A65&lt;'Données projet'!$A$62,$AF$205^A65,IF(A65='Données projet'!$A$62,'Données projet'!$B$62,AI64+AH65-AQ64)))</f>
        <v>188.59999999999971</v>
      </c>
      <c r="AJ65" s="13">
        <f>AI65*VLOOKUP('Données projet'!$B$10,Paramètres!$A$1:$I$89,3,0)*VLOOKUP('Données projet'!$B$10,Paramètres!$A$1:$I$89,5,0)</f>
        <v>164.76095999999976</v>
      </c>
      <c r="AK65" s="13">
        <f t="shared" si="35"/>
        <v>41.914523809719867</v>
      </c>
      <c r="AL65" s="20">
        <f t="shared" si="4"/>
        <v>359.95980096859495</v>
      </c>
      <c r="AM65" s="59">
        <f t="shared" si="5"/>
        <v>653.29313430192826</v>
      </c>
      <c r="AN65" s="59">
        <f ca="1">AVERAGE(OFFSET($AM$3,0,0,'Données projet'!$E$10+1,1))-AVERAGE(OFFSET($H$3,0,0,'Données projet'!$E$10+1,1))</f>
        <v>191.94797389630673</v>
      </c>
      <c r="AO65" s="59">
        <f t="shared" si="36"/>
        <v>273.52540822767878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1.3661313455214701</v>
      </c>
      <c r="AV65" s="21">
        <f>EXP(-LN(2)/25)*AV64+(1-EXP(-LN(2)/25))/(LN(2)/25)*Calculateur!AQ65*Calculateur!AS65*VLOOKUP('Données projet'!$B$10,Paramètres!$A$1:$I$89,3,0)*0.475*44/12</f>
        <v>5.7849655063288097</v>
      </c>
      <c r="AW65" s="21">
        <f>EXP(-LN(2)/2)*AW64+(1-EXP(-LN(2)/2))/(LN(2)/2)*AQ65*AT65*VLOOKUP('Données projet'!$B$10,Paramètres!$A$1:$I$89,3,0)*0.475*44/12</f>
        <v>3.5405064269515037E-4</v>
      </c>
      <c r="AX65" s="21">
        <f t="shared" si="6"/>
        <v>7.1514509024929751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>
        <f>VLOOKUP(A65,'Données projet'!$A$87:$I$107,2,0)</f>
        <v>181</v>
      </c>
      <c r="BB65" s="12">
        <f>VLOOKUP(A65,'Données projet'!$A$87:$I$107,9,0)</f>
        <v>1.625</v>
      </c>
      <c r="BC65" s="12">
        <f t="array" ref="BC65">INDEX(BB:BB,MIN(IF(ISNUMBER(BB65:BB261),ROW(BB65:BB261),"")))</f>
        <v>1.625</v>
      </c>
      <c r="BD65" s="12">
        <f>IF('Données projet'!$A$88&gt;35,BD64+BC65-BL64,IF(A65&lt;'Données projet'!$A$88,$BA$205^A65,IF(A65='Données projet'!$A$88,'Données projet'!$B$88,BD64+BC65-BL64)))</f>
        <v>181</v>
      </c>
      <c r="BE65" s="13">
        <f>BD65*VLOOKUP('Données projet'!$B$11,Paramètres!$A$1:$I$89,3,0)*VLOOKUP('Données projet'!$B$11,Paramètres!$A$1:$I$89,5,0)</f>
        <v>108.23800000000001</v>
      </c>
      <c r="BF65" s="13">
        <f t="shared" si="37"/>
        <v>28.915454284197679</v>
      </c>
      <c r="BG65" s="20">
        <f t="shared" si="7"/>
        <v>238.87559954497763</v>
      </c>
      <c r="BH65" s="59">
        <f t="shared" si="8"/>
        <v>532.20893287831097</v>
      </c>
      <c r="BI65" s="59">
        <f ca="1">AVERAGE(OFFSET($BH$3,0,0,'Données projet'!$E$11+1,1))-AVERAGE(OFFSET($H$3,0,0,'Données projet'!$E$11+1,1))</f>
        <v>72.647148358003676</v>
      </c>
      <c r="BJ65" s="59">
        <f t="shared" si="38"/>
        <v>87.231299224620898</v>
      </c>
      <c r="BK65" s="15">
        <f>IF(ISNA(VLOOKUP(A65,'Données projet'!$A$87:$I$107,3,0)),0,VLOOKUP(A65,'Données projet'!$A$87:$I$107,3,0))</f>
        <v>9</v>
      </c>
      <c r="BL65" s="15">
        <f>IF(ISNA(VLOOKUP(A65,'Données projet'!$A$87:$I$107,4,0)),0,VLOOKUP(A65,'Données projet'!$A$87:$I$107,4,0))</f>
        <v>181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0.67518656106095398</v>
      </c>
      <c r="BQ65" s="21">
        <f>EXP(-LN(2)/25)*BQ64+(1-EXP(-LN(2)/25))/(LN(2)/25)*Calculateur!BL65*Calculateur!BN65*VLOOKUP('Données projet'!$B$11,Paramètres!$A$1:$I$89,3,0)*0.475*44/12</f>
        <v>1.8658981379997799</v>
      </c>
      <c r="BR65" s="21">
        <f>EXP(-LN(2)/2)*BR64+(1-EXP(-LN(2)/2))/(LN(2)/2)*BL65*BO65*VLOOKUP('Données projet'!$B$11,Paramètres!$A$1:$I$89,3,0)*0.475*44/12</f>
        <v>3.4803712711651386E-5</v>
      </c>
      <c r="BS65" s="22">
        <f t="shared" si="9"/>
        <v>2.5411195027734457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8</v>
      </c>
      <c r="BY65" s="12">
        <f>IF('Données projet'!$A$114&gt;35,BY64+BX65-CG64,IF(A65&lt;'Données projet'!$A$114,$BV$205^A65,IF(A65='Données projet'!$A$114,'Données projet'!$B$114,BY64+BX65-CG64)))</f>
        <v>291.00000000000006</v>
      </c>
      <c r="BZ65" s="13">
        <f>BY65*VLOOKUP('Données projet'!$B$12,Paramètres!$A$1:$I$89,3,0)*VLOOKUP('Données projet'!$B$12,Paramètres!$A$1:$I$89,5,0)</f>
        <v>174.01800000000006</v>
      </c>
      <c r="CA65" s="13">
        <f t="shared" si="39"/>
        <v>43.988694800618951</v>
      </c>
      <c r="CB65" s="20">
        <f t="shared" si="10"/>
        <v>379.69499344441147</v>
      </c>
      <c r="CC65" s="59">
        <f t="shared" si="11"/>
        <v>673.02832677774472</v>
      </c>
      <c r="CD65" s="59">
        <f ca="1">AVERAGE(OFFSET($CC$3,0,0,'Données projet'!$E$12+1,1))-AVERAGE(OFFSET($H$3,0,0,'Données projet'!$E$12+1,1))</f>
        <v>165.39579887388538</v>
      </c>
      <c r="CE65" s="59">
        <f t="shared" si="40"/>
        <v>155.89639262545802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3.0016784179696252</v>
      </c>
      <c r="CM65" s="21">
        <f>EXP(-LN(2)/2)*CM64+(1-EXP(-LN(2)/2))/(LN(2)/2)*CG65*CJ65*VLOOKUP('Données projet'!$B$12,Paramètres!$A$1:$I$89,3,0)*0.475*44/12</f>
        <v>2.1179253746607897E-4</v>
      </c>
      <c r="CN65" s="22">
        <f t="shared" si="12"/>
        <v>3.0018902105070913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8</v>
      </c>
      <c r="CT65" s="12">
        <f>IF('Données projet'!$A$140&gt;35,CT64+CS65-DB64,IF(A65&lt;'Données projet'!$A$140,$CQ$205^A65,IF(A65='Données projet'!$A$140,'Données projet'!$B$140,CT64+CS65-DB64)))</f>
        <v>279.00000000000011</v>
      </c>
      <c r="CU65" s="17">
        <f>CT65*VLOOKUP('Données projet'!$B$13,Paramètres!$A$1:$I$89,3,0)*VLOOKUP('Données projet'!$B$13,Paramètres!$A$1:$I$89,5,0)</f>
        <v>217.62000000000009</v>
      </c>
      <c r="CV65" s="13">
        <f t="shared" si="41"/>
        <v>53.597277471320098</v>
      </c>
      <c r="CW65" s="20">
        <f t="shared" si="13"/>
        <v>472.37009159588268</v>
      </c>
      <c r="CX65" s="59">
        <f t="shared" si="14"/>
        <v>765.703424929216</v>
      </c>
      <c r="CY65" s="59">
        <f ca="1">AVERAGE(OFFSET($CX$3,0,0,'Données projet'!$E$13+1,1))-AVERAGE(OFFSET($H$3,0,0,'Données projet'!$E$13+1,1))</f>
        <v>190.06335940156185</v>
      </c>
      <c r="CZ65" s="59">
        <f t="shared" si="42"/>
        <v>166.43663896839928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1.8392600400058263</v>
      </c>
      <c r="DH65" s="21">
        <f>EXP(-LN(2)/2)*DH64+(1-EXP(-LN(2)/2))/(LN(2)/2)*DB65*DE65*VLOOKUP('Données projet'!$B$13,Paramètres!$A$1:$I$89,3,0)*0.475*44/12</f>
        <v>8.127439654446848E-5</v>
      </c>
      <c r="DI65" s="22">
        <f t="shared" si="15"/>
        <v>1.8393413144023707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7</v>
      </c>
      <c r="DO65" s="12">
        <f>IF('Données projet'!$A$166&gt;35,DO64+DN65-DW64,IF(A65&lt;'Données projet'!$A$166,$DL$205^A65,IF(A65='Données projet'!$A$166,'Données projet'!$B$166,DO64+DN65-DW64)))</f>
        <v>207.00000000000017</v>
      </c>
      <c r="DP65" s="17">
        <f>DO65*VLOOKUP('Données projet'!$B$14,Paramètres!$A$1:$I$89,3,0)*VLOOKUP('Données projet'!$B$14,Paramètres!$A$1:$I$89,5,0)</f>
        <v>200.21040000000019</v>
      </c>
      <c r="DQ65" s="13">
        <f t="shared" si="43"/>
        <v>49.790404447235098</v>
      </c>
      <c r="DR65" s="20">
        <f t="shared" si="16"/>
        <v>435.41806774560138</v>
      </c>
      <c r="DS65" s="59">
        <f t="shared" si="17"/>
        <v>728.75140107893469</v>
      </c>
      <c r="DT65" s="59">
        <f ca="1">AVERAGE(OFFSET($DS$3,0,0,'Données projet'!$E$14+1,1))-AVERAGE(OFFSET($H$3,0,0,'Données projet'!$E$14+1,1))</f>
        <v>261.22357949323879</v>
      </c>
      <c r="DU65" s="59">
        <f t="shared" si="44"/>
        <v>163.41029152029387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0</v>
      </c>
      <c r="EB65" s="21">
        <f>EXP(-LN(2)/25)*EB64+(1-EXP(-LN(2)/25))/(LN(2)/25)*Calculateur!DW65*Calculateur!DY65*VLOOKUP('Données projet'!$B$14,Paramètres!$A$1:$I$89,3,0)*0.475*44/12</f>
        <v>1.3672190715618227</v>
      </c>
      <c r="EC65" s="21">
        <f>EXP(-LN(2)/2)*EC64+(1-EXP(-LN(2)/2))/(LN(2)/2)*DW65*DZ65*VLOOKUP('Données projet'!$B$14,Paramètres!$A$1:$I$89,3,0)*0.475*44/12</f>
        <v>1.009551915068955E-4</v>
      </c>
      <c r="ED65" s="22">
        <f t="shared" si="18"/>
        <v>1.3673200267533296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7.5</v>
      </c>
      <c r="EJ65" s="12">
        <f>IF('Données projet'!$A$192&gt;35,EJ64+EI65-ER64,IF(A65&lt;'Données projet'!$A$192,$EG$205^A65,IF(A65='Données projet'!$A$192,'Données projet'!$B$192,EJ64+EI65-ER64)))</f>
        <v>243.79999999999995</v>
      </c>
      <c r="EK65" s="17">
        <f>EJ65*VLOOKUP('Données projet'!$B$15,Paramètres!$A$1:$I$89,3,0)*VLOOKUP('Données projet'!$B$15,Paramètres!$A$1:$I$89,5,0)</f>
        <v>114.09839999999998</v>
      </c>
      <c r="EL65" s="13">
        <f t="shared" si="45"/>
        <v>30.294534186150837</v>
      </c>
      <c r="EM65" s="20">
        <f t="shared" si="19"/>
        <v>251.48436037421268</v>
      </c>
      <c r="EN65" s="59">
        <f t="shared" si="20"/>
        <v>544.81769370754603</v>
      </c>
      <c r="EO65" s="59">
        <f ca="1">AVERAGE(OFFSET($EN$3,0,0,'Données projet'!$E$15+1,1))-AVERAGE(OFFSET($H$3,0,0,'Données projet'!$E$15+1,1))</f>
        <v>123.60520571614535</v>
      </c>
      <c r="EP65" s="59">
        <f t="shared" si="46"/>
        <v>119.00926870519527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0.46019637250137846</v>
      </c>
      <c r="EW65" s="21">
        <f>EXP(-LN(2)/25)*EW64+(1-EXP(-LN(2)/25))/(LN(2)/25)*Calculateur!ER65*Calculateur!ET65*VLOOKUP('Données projet'!$B$15,Paramètres!$A$1:$I$89,3,0)*0.475*44/12</f>
        <v>1.9670475739227884</v>
      </c>
      <c r="EX65" s="21">
        <f>EXP(-LN(2)/2)*EX64+(1-EXP(-LN(2)/2))/(LN(2)/2)*ER65*EU65*VLOOKUP('Données projet'!$B$15,Paramètres!$A$1:$I$89,3,0)*0.475*44/12</f>
        <v>9.3287818772621849E-5</v>
      </c>
      <c r="EY65" s="22">
        <f t="shared" si="21"/>
        <v>2.4273372342429393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3.2</v>
      </c>
      <c r="FE65" s="12">
        <f>IF('Données projet'!$A$218&gt;35,FE64+FD65-FM64,IF(A65&lt;'Données projet'!$A$218,$FB$205^A65,IF(A65='Données projet'!$A$218,'Données projet'!$B$218,FE64+FD65-FM64)))</f>
        <v>191.4</v>
      </c>
      <c r="FF65" s="17">
        <f>FE65*VLOOKUP('Données projet'!$B$16,Paramètres!$A$1:$I$89,3,0)*VLOOKUP('Données projet'!$B$16,Paramètres!$A$1:$I$89,5,0)</f>
        <v>140.33448000000001</v>
      </c>
      <c r="FG65" s="13">
        <f t="shared" si="47"/>
        <v>36.3736195210302</v>
      </c>
      <c r="FH65" s="20">
        <f t="shared" si="22"/>
        <v>307.76660666579431</v>
      </c>
      <c r="FI65" s="59">
        <f t="shared" si="23"/>
        <v>601.09993999912763</v>
      </c>
      <c r="FJ65" s="59">
        <f ca="1">AVERAGE(OFFSET($FI$3,0,0,'Données projet'!$E$16+1,1))-AVERAGE(OFFSET($H$3,0,0,'Données projet'!$E$16+1,1))</f>
        <v>124.15919323713428</v>
      </c>
      <c r="FK65" s="59">
        <f t="shared" si="48"/>
        <v>157.85954678210715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0</v>
      </c>
      <c r="FR65" s="21">
        <f>EXP(-LN(2)/25)*FR64+(1-EXP(-LN(2)/25))/(LN(2)/25)*Calculateur!FM65*Calculateur!FO65*VLOOKUP('Données projet'!$B$16,Paramètres!$A$1:$I$89,3,0)*0.475*44/12</f>
        <v>2.0698435415969687</v>
      </c>
      <c r="FS65" s="21">
        <f>EXP(-LN(2)/2)*FS64+(1-EXP(-LN(2)/2))/(LN(2)/2)*FM65*FP65*VLOOKUP('Données projet'!$B$16,Paramètres!$A$1:$I$89,3,0)*0.475*44/12</f>
        <v>1.1256917948979564E-4</v>
      </c>
      <c r="FT65" s="22">
        <f t="shared" si="24"/>
        <v>2.0699561107764586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7</v>
      </c>
      <c r="N66" s="13">
        <f>IF('Données projet'!$A$36&gt;35,N65+M66-V65,IF(A66&lt;'Données projet'!$A$36,$K$205^A66,IF(A66='Données projet'!$A$36,'Données projet'!$B$36,N65+M66-V65)))</f>
        <v>214.00000000000017</v>
      </c>
      <c r="O66" s="13">
        <f>N66*VLOOKUP('Données projet'!$B$9,Paramètres!$A$1:$I$89,3,0)*VLOOKUP('Données projet'!$B$9,Paramètres!$A$1:$I$89,5,0)</f>
        <v>193.62720000000016</v>
      </c>
      <c r="P66" s="13">
        <f t="shared" si="33"/>
        <v>48.340990547231236</v>
      </c>
      <c r="Q66" s="20">
        <f t="shared" si="53"/>
        <v>421.42793186976132</v>
      </c>
      <c r="R66" s="59">
        <f t="shared" si="0"/>
        <v>714.76126520309458</v>
      </c>
      <c r="S66" s="59">
        <f ca="1">AVERAGE(OFFSET($R$3,0,0,'Données projet'!$E$9+1,1))-AVERAGE(OFFSET($H$3,0,0,'Données projet'!$E$9+1,1))</f>
        <v>237.22177246688199</v>
      </c>
      <c r="T66" s="59">
        <f t="shared" si="34"/>
        <v>149.27472147904302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1.2440367558187133</v>
      </c>
      <c r="AB66" s="21">
        <f>EXP(-LN(2)/2)*AB65+(1-EXP(-LN(2)/2))/(LN(2)/2)*V66*Y66*VLOOKUP('Données projet'!$B$9,Paramètres!$A$1:$I$89,3,0)*0.475*44/12</f>
        <v>6.6780545638866413E-5</v>
      </c>
      <c r="AC66" s="22">
        <f t="shared" si="3"/>
        <v>1.2441035363643522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4.3</v>
      </c>
      <c r="AI66" s="13">
        <f>IF('Données projet'!$A$62&gt;35,AI65+AH66-AQ65,IF(A66&lt;'Données projet'!$A$62,$AF$205^A66,IF(A66='Données projet'!$A$62,'Données projet'!$B$62,AI65+AH66-AQ65)))</f>
        <v>192.89999999999972</v>
      </c>
      <c r="AJ66" s="13">
        <f>AI66*VLOOKUP('Données projet'!$B$10,Paramètres!$A$1:$I$89,3,0)*VLOOKUP('Données projet'!$B$10,Paramètres!$A$1:$I$89,5,0)</f>
        <v>168.51743999999979</v>
      </c>
      <c r="AK66" s="13">
        <f t="shared" si="35"/>
        <v>42.757810382238745</v>
      </c>
      <c r="AL66" s="20">
        <f t="shared" si="4"/>
        <v>367.97106108239876</v>
      </c>
      <c r="AM66" s="59">
        <f t="shared" si="5"/>
        <v>661.30439441573208</v>
      </c>
      <c r="AN66" s="59">
        <f ca="1">AVERAGE(OFFSET($AM$3,0,0,'Données projet'!$E$10+1,1))-AVERAGE(OFFSET($H$3,0,0,'Données projet'!$E$10+1,1))</f>
        <v>191.94797389630673</v>
      </c>
      <c r="AO66" s="59">
        <f t="shared" si="36"/>
        <v>273.52540822767878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1.3393423430936375</v>
      </c>
      <c r="AV66" s="21">
        <f>EXP(-LN(2)/25)*AV65+(1-EXP(-LN(2)/25))/(LN(2)/25)*Calculateur!AQ66*Calculateur!AS66*VLOOKUP('Données projet'!$B$10,Paramètres!$A$1:$I$89,3,0)*0.475*44/12</f>
        <v>5.6267753203401343</v>
      </c>
      <c r="AW66" s="21">
        <f>EXP(-LN(2)/2)*AW65+(1-EXP(-LN(2)/2))/(LN(2)/2)*AQ66*AT66*VLOOKUP('Données projet'!$B$10,Paramètres!$A$1:$I$89,3,0)*0.475*44/12</f>
        <v>2.503516103331962E-4</v>
      </c>
      <c r="AX66" s="21">
        <f t="shared" si="6"/>
        <v>6.9663680150441047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>
        <f>BD66*VLOOKUP('Données projet'!$B$11,Paramètres!$A$1:$I$89,3,0)*VLOOKUP('Données projet'!$B$11,Paramètres!$A$1:$I$89,5,0)</f>
        <v>0</v>
      </c>
      <c r="BF66" s="13" t="e">
        <f t="shared" si="3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72.647148358003676</v>
      </c>
      <c r="BJ66" s="59">
        <f t="shared" si="38"/>
        <v>87.231299224620898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0.66194656442168676</v>
      </c>
      <c r="BQ66" s="21">
        <f>EXP(-LN(2)/25)*BQ65+(1-EXP(-LN(2)/25))/(LN(2)/25)*Calculateur!BL66*Calculateur!BN66*VLOOKUP('Données projet'!$B$11,Paramètres!$A$1:$I$89,3,0)*0.475*44/12</f>
        <v>1.8148750552928574</v>
      </c>
      <c r="BR66" s="21">
        <f>EXP(-LN(2)/2)*BR65+(1-EXP(-LN(2)/2))/(LN(2)/2)*BL66*BO66*VLOOKUP('Données projet'!$B$11,Paramètres!$A$1:$I$89,3,0)*0.475*44/12</f>
        <v>2.460994126887714E-5</v>
      </c>
      <c r="BS66" s="22">
        <f t="shared" si="9"/>
        <v>2.4768462296558131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8</v>
      </c>
      <c r="BY66" s="12">
        <f>IF('Données projet'!$A$114&gt;35,BY65+BX66-CG65,IF(A66&lt;'Données projet'!$A$114,$BV$205^A66,IF(A66='Données projet'!$A$114,'Données projet'!$B$114,BY65+BX66-CG65)))</f>
        <v>299.00000000000006</v>
      </c>
      <c r="BZ66" s="13">
        <f>BY66*VLOOKUP('Données projet'!$B$12,Paramètres!$A$1:$I$89,3,0)*VLOOKUP('Données projet'!$B$12,Paramètres!$A$1:$I$89,5,0)</f>
        <v>178.80200000000002</v>
      </c>
      <c r="CA66" s="13">
        <f t="shared" si="39"/>
        <v>45.055549739375941</v>
      </c>
      <c r="CB66" s="20">
        <f t="shared" si="10"/>
        <v>389.88523246274644</v>
      </c>
      <c r="CC66" s="59">
        <f t="shared" si="11"/>
        <v>683.2185657960797</v>
      </c>
      <c r="CD66" s="59">
        <f ca="1">AVERAGE(OFFSET($CC$3,0,0,'Données projet'!$E$12+1,1))-AVERAGE(OFFSET($H$3,0,0,'Données projet'!$E$12+1,1))</f>
        <v>165.39579887388538</v>
      </c>
      <c r="CE66" s="59">
        <f t="shared" si="40"/>
        <v>155.89639262545802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2.9195973637788382</v>
      </c>
      <c r="CM66" s="21">
        <f>EXP(-LN(2)/2)*CM65+(1-EXP(-LN(2)/2))/(LN(2)/2)*CG66*CJ66*VLOOKUP('Données projet'!$B$12,Paramètres!$A$1:$I$89,3,0)*0.475*44/12</f>
        <v>1.4975993944697037E-4</v>
      </c>
      <c r="CN66" s="22">
        <f t="shared" si="12"/>
        <v>2.919747123718285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8</v>
      </c>
      <c r="CT66" s="12">
        <f>IF('Données projet'!$A$140&gt;35,CT65+CS66-DB65,IF(A66&lt;'Données projet'!$A$140,$CQ$205^A66,IF(A66='Données projet'!$A$140,'Données projet'!$B$140,CT65+CS66-DB65)))</f>
        <v>287.00000000000011</v>
      </c>
      <c r="CU66" s="17">
        <f>CT66*VLOOKUP('Données projet'!$B$13,Paramètres!$A$1:$I$89,3,0)*VLOOKUP('Données projet'!$B$13,Paramètres!$A$1:$I$89,5,0)</f>
        <v>223.8600000000001</v>
      </c>
      <c r="CV66" s="13">
        <f t="shared" si="41"/>
        <v>54.952986499326279</v>
      </c>
      <c r="CW66" s="20">
        <f t="shared" si="13"/>
        <v>485.59928481966011</v>
      </c>
      <c r="CX66" s="59">
        <f t="shared" si="14"/>
        <v>778.93261815299343</v>
      </c>
      <c r="CY66" s="59">
        <f ca="1">AVERAGE(OFFSET($CX$3,0,0,'Données projet'!$E$13+1,1))-AVERAGE(OFFSET($H$3,0,0,'Données projet'!$E$13+1,1))</f>
        <v>190.06335940156185</v>
      </c>
      <c r="CZ66" s="59">
        <f t="shared" si="42"/>
        <v>166.43663896839928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0</v>
      </c>
      <c r="DG66" s="21">
        <f>EXP(-LN(2)/25)*DG65+(1-EXP(-LN(2)/25))/(LN(2)/25)*Calculateur!DB66*Calculateur!DD66*VLOOKUP('Données projet'!$B$13,Paramètres!$A$1:$I$89,3,0)*0.475*44/12</f>
        <v>1.7889653774893852</v>
      </c>
      <c r="DH66" s="21">
        <f>EXP(-LN(2)/2)*DH65+(1-EXP(-LN(2)/2))/(LN(2)/2)*DB66*DE66*VLOOKUP('Données projet'!$B$13,Paramètres!$A$1:$I$89,3,0)*0.475*44/12</f>
        <v>5.7469676933438172E-5</v>
      </c>
      <c r="DI66" s="22">
        <f t="shared" si="15"/>
        <v>1.7890228471663188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7</v>
      </c>
      <c r="DO66" s="12">
        <f>IF('Données projet'!$A$166&gt;35,DO65+DN66-DW65,IF(A66&lt;'Données projet'!$A$166,$DL$205^A66,IF(A66='Données projet'!$A$166,'Données projet'!$B$166,DO65+DN66-DW65)))</f>
        <v>214.00000000000017</v>
      </c>
      <c r="DP66" s="17">
        <f>DO66*VLOOKUP('Données projet'!$B$14,Paramètres!$A$1:$I$89,3,0)*VLOOKUP('Données projet'!$B$14,Paramètres!$A$1:$I$89,5,0)</f>
        <v>206.98080000000016</v>
      </c>
      <c r="DQ66" s="13">
        <f t="shared" si="43"/>
        <v>51.275259496675787</v>
      </c>
      <c r="DR66" s="20">
        <f t="shared" si="16"/>
        <v>449.7959702900439</v>
      </c>
      <c r="DS66" s="59">
        <f t="shared" si="17"/>
        <v>743.12930362337715</v>
      </c>
      <c r="DT66" s="59">
        <f ca="1">AVERAGE(OFFSET($DS$3,0,0,'Données projet'!$E$14+1,1))-AVERAGE(OFFSET($H$3,0,0,'Données projet'!$E$14+1,1))</f>
        <v>261.22357949323879</v>
      </c>
      <c r="DU66" s="59">
        <f t="shared" si="44"/>
        <v>163.41029152029387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0</v>
      </c>
      <c r="EB66" s="21">
        <f>EXP(-LN(2)/25)*EB65+(1-EXP(-LN(2)/25))/(LN(2)/25)*Calculateur!DW66*Calculateur!DY66*VLOOKUP('Données projet'!$B$14,Paramètres!$A$1:$I$89,3,0)*0.475*44/12</f>
        <v>1.3298323941510384</v>
      </c>
      <c r="EC66" s="21">
        <f>EXP(-LN(2)/2)*EC65+(1-EXP(-LN(2)/2))/(LN(2)/2)*DW66*DZ66*VLOOKUP('Données projet'!$B$14,Paramètres!$A$1:$I$89,3,0)*0.475*44/12</f>
        <v>7.1386100510512359E-5</v>
      </c>
      <c r="ED66" s="22">
        <f t="shared" si="18"/>
        <v>1.329903780251549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7.5</v>
      </c>
      <c r="EJ66" s="12">
        <f>IF('Données projet'!$A$192&gt;35,EJ65+EI66-ER65,IF(A66&lt;'Données projet'!$A$192,$EG$205^A66,IF(A66='Données projet'!$A$192,'Données projet'!$B$192,EJ65+EI66-ER65)))</f>
        <v>251.29999999999995</v>
      </c>
      <c r="EK66" s="17">
        <f>EJ66*VLOOKUP('Données projet'!$B$15,Paramètres!$A$1:$I$89,3,0)*VLOOKUP('Données projet'!$B$15,Paramètres!$A$1:$I$89,5,0)</f>
        <v>117.60839999999997</v>
      </c>
      <c r="EL66" s="13">
        <f t="shared" si="45"/>
        <v>31.11654601042537</v>
      </c>
      <c r="EM66" s="20">
        <f t="shared" si="19"/>
        <v>259.02928096815748</v>
      </c>
      <c r="EN66" s="59">
        <f t="shared" si="20"/>
        <v>552.36261430149079</v>
      </c>
      <c r="EO66" s="59">
        <f ca="1">AVERAGE(OFFSET($EN$3,0,0,'Données projet'!$E$15+1,1))-AVERAGE(OFFSET($H$3,0,0,'Données projet'!$E$15+1,1))</f>
        <v>123.60520571614535</v>
      </c>
      <c r="EP66" s="59">
        <f t="shared" si="46"/>
        <v>119.00926870519527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0.45117220232869759</v>
      </c>
      <c r="EW66" s="21">
        <f>EXP(-LN(2)/25)*EW65+(1-EXP(-LN(2)/25))/(LN(2)/25)*Calculateur!ER66*Calculateur!ET66*VLOOKUP('Données projet'!$B$15,Paramètres!$A$1:$I$89,3,0)*0.475*44/12</f>
        <v>1.9132585545713336</v>
      </c>
      <c r="EX66" s="21">
        <f>EXP(-LN(2)/2)*EX65+(1-EXP(-LN(2)/2))/(LN(2)/2)*ER66*EU66*VLOOKUP('Données projet'!$B$15,Paramètres!$A$1:$I$89,3,0)*0.475*44/12</f>
        <v>6.5964449256222617E-5</v>
      </c>
      <c r="EY66" s="22">
        <f t="shared" si="21"/>
        <v>2.3644967213492873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3.2</v>
      </c>
      <c r="FE66" s="12">
        <f>IF('Données projet'!$A$218&gt;35,FE65+FD66-FM65,IF(A66&lt;'Données projet'!$A$218,$FB$205^A66,IF(A66='Données projet'!$A$218,'Données projet'!$B$218,FE65+FD66-FM65)))</f>
        <v>194.6</v>
      </c>
      <c r="FF66" s="17">
        <f>FE66*VLOOKUP('Données projet'!$B$16,Paramètres!$A$1:$I$89,3,0)*VLOOKUP('Données projet'!$B$16,Paramètres!$A$1:$I$89,5,0)</f>
        <v>142.68071999999998</v>
      </c>
      <c r="FG66" s="13">
        <f t="shared" si="47"/>
        <v>36.910441252438588</v>
      </c>
      <c r="FH66" s="20">
        <f t="shared" si="22"/>
        <v>312.78793918133044</v>
      </c>
      <c r="FI66" s="59">
        <f t="shared" si="23"/>
        <v>606.12127251466381</v>
      </c>
      <c r="FJ66" s="59">
        <f ca="1">AVERAGE(OFFSET($FI$3,0,0,'Données projet'!$E$16+1,1))-AVERAGE(OFFSET($H$3,0,0,'Données projet'!$E$16+1,1))</f>
        <v>124.15919323713428</v>
      </c>
      <c r="FK66" s="59">
        <f t="shared" si="48"/>
        <v>157.85954678210715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0</v>
      </c>
      <c r="FR66" s="21">
        <f>EXP(-LN(2)/25)*FR65+(1-EXP(-LN(2)/25))/(LN(2)/25)*Calculateur!FM66*Calculateur!FO66*VLOOKUP('Données projet'!$B$16,Paramètres!$A$1:$I$89,3,0)*0.475*44/12</f>
        <v>2.0132435611036583</v>
      </c>
      <c r="FS66" s="21">
        <f>EXP(-LN(2)/2)*FS65+(1-EXP(-LN(2)/2))/(LN(2)/2)*FM66*FP66*VLOOKUP('Données projet'!$B$16,Paramètres!$A$1:$I$89,3,0)*0.475*44/12</f>
        <v>7.9598430169840117E-5</v>
      </c>
      <c r="FT66" s="22">
        <f t="shared" si="24"/>
        <v>2.0133231595338281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7</v>
      </c>
      <c r="N67" s="13">
        <f>IF('Données projet'!$A$36&gt;35,N66+M67-V66,IF(A67&lt;'Données projet'!$A$36,$K$205^A67,IF(A67='Données projet'!$A$36,'Données projet'!$B$36,N66+M67-V66)))</f>
        <v>221.00000000000017</v>
      </c>
      <c r="O67" s="13">
        <f>N67*VLOOKUP('Données projet'!$B$9,Paramètres!$A$1:$I$89,3,0)*VLOOKUP('Données projet'!$B$9,Paramètres!$A$1:$I$89,5,0)</f>
        <v>199.96080000000015</v>
      </c>
      <c r="P67" s="13">
        <f t="shared" si="33"/>
        <v>49.735552653569265</v>
      </c>
      <c r="Q67" s="20">
        <f t="shared" ref="Q67:Q98" si="54">(O67+P67)*0.475*44/12</f>
        <v>434.88781420496679</v>
      </c>
      <c r="R67" s="59">
        <f t="shared" ref="R67:R130" si="55">Q67+(I67+J67)*44/12</f>
        <v>728.2211475383001</v>
      </c>
      <c r="S67" s="59">
        <f ca="1">AVERAGE(OFFSET($R$3,0,0,'Données projet'!$E$9+1,1))-AVERAGE(OFFSET($H$3,0,0,'Données projet'!$E$9+1,1))</f>
        <v>237.22177246688199</v>
      </c>
      <c r="T67" s="59">
        <f t="shared" si="34"/>
        <v>149.27472147904302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1.2100185053098009</v>
      </c>
      <c r="AB67" s="21">
        <f>EXP(-LN(2)/2)*AB66+(1-EXP(-LN(2)/2))/(LN(2)/2)*V67*Y67*VLOOKUP('Données projet'!$B$9,Paramètres!$A$1:$I$89,3,0)*0.475*44/12</f>
        <v>4.7220976672580164E-5</v>
      </c>
      <c r="AC67" s="22">
        <f t="shared" si="3"/>
        <v>1.2100657262864736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4.3</v>
      </c>
      <c r="AI67" s="13">
        <f>IF('Données projet'!$A$62&gt;35,AI66+AH67-AQ66,IF(A67&lt;'Données projet'!$A$62,$AF$205^A67,IF(A67='Données projet'!$A$62,'Données projet'!$B$62,AI66+AH67-AQ66)))</f>
        <v>197.19999999999973</v>
      </c>
      <c r="AJ67" s="13">
        <f>AI67*VLOOKUP('Données projet'!$B$10,Paramètres!$A$1:$I$89,3,0)*VLOOKUP('Données projet'!$B$10,Paramètres!$A$1:$I$89,5,0)</f>
        <v>172.27391999999978</v>
      </c>
      <c r="AK67" s="13">
        <f t="shared" si="35"/>
        <v>43.598911513699527</v>
      </c>
      <c r="AL67" s="20">
        <f t="shared" si="4"/>
        <v>375.97851488635962</v>
      </c>
      <c r="AM67" s="59">
        <f t="shared" si="5"/>
        <v>669.31184821969293</v>
      </c>
      <c r="AN67" s="59">
        <f ca="1">AVERAGE(OFFSET($AM$3,0,0,'Données projet'!$E$10+1,1))-AVERAGE(OFFSET($H$3,0,0,'Données projet'!$E$10+1,1))</f>
        <v>191.94797389630673</v>
      </c>
      <c r="AO67" s="59">
        <f t="shared" si="36"/>
        <v>273.52540822767878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1.3130786566637367</v>
      </c>
      <c r="AV67" s="21">
        <f>EXP(-LN(2)/25)*AV66+(1-EXP(-LN(2)/25))/(LN(2)/25)*Calculateur!AQ67*Calculateur!AS67*VLOOKUP('Données projet'!$B$10,Paramètres!$A$1:$I$89,3,0)*0.475*44/12</f>
        <v>5.4729108533061792</v>
      </c>
      <c r="AW67" s="21">
        <f>EXP(-LN(2)/2)*AW66+(1-EXP(-LN(2)/2))/(LN(2)/2)*AQ67*AT67*VLOOKUP('Données projet'!$B$10,Paramètres!$A$1:$I$89,3,0)*0.475*44/12</f>
        <v>1.7702532134757518E-4</v>
      </c>
      <c r="AX67" s="21">
        <f t="shared" si="6"/>
        <v>6.7861665352912635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>
        <f>BD67*VLOOKUP('Données projet'!$B$11,Paramètres!$A$1:$I$89,3,0)*VLOOKUP('Données projet'!$B$11,Paramètres!$A$1:$I$89,5,0)</f>
        <v>0</v>
      </c>
      <c r="BF67" s="13" t="e">
        <f t="shared" si="3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72.647148358003676</v>
      </c>
      <c r="BJ67" s="59">
        <f t="shared" si="38"/>
        <v>87.231299224620898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0.64896619604091499</v>
      </c>
      <c r="BQ67" s="21">
        <f>EXP(-LN(2)/25)*BQ66+(1-EXP(-LN(2)/25))/(LN(2)/25)*Calculateur!BL67*Calculateur!BN67*VLOOKUP('Données projet'!$B$11,Paramètres!$A$1:$I$89,3,0)*0.475*44/12</f>
        <v>1.765247201465743</v>
      </c>
      <c r="BR67" s="21">
        <f>EXP(-LN(2)/2)*BR66+(1-EXP(-LN(2)/2))/(LN(2)/2)*BL67*BO67*VLOOKUP('Données projet'!$B$11,Paramètres!$A$1:$I$89,3,0)*0.475*44/12</f>
        <v>1.7401856355825693E-5</v>
      </c>
      <c r="BS67" s="22">
        <f t="shared" si="9"/>
        <v>2.4142307993630139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8</v>
      </c>
      <c r="BY67" s="12">
        <f>IF('Données projet'!$A$114&gt;35,BY66+BX67-CG66,IF(A67&lt;'Données projet'!$A$114,$BV$205^A67,IF(A67='Données projet'!$A$114,'Données projet'!$B$114,BY66+BX67-CG66)))</f>
        <v>307.00000000000006</v>
      </c>
      <c r="BZ67" s="13">
        <f>BY67*VLOOKUP('Données projet'!$B$12,Paramètres!$A$1:$I$89,3,0)*VLOOKUP('Données projet'!$B$12,Paramètres!$A$1:$I$89,5,0)</f>
        <v>183.58600000000004</v>
      </c>
      <c r="CA67" s="13">
        <f t="shared" si="39"/>
        <v>46.119086835316438</v>
      </c>
      <c r="CB67" s="20">
        <f t="shared" si="10"/>
        <v>400.0696929048429</v>
      </c>
      <c r="CC67" s="59">
        <f t="shared" si="11"/>
        <v>693.40302623817615</v>
      </c>
      <c r="CD67" s="59">
        <f ca="1">AVERAGE(OFFSET($CC$3,0,0,'Données projet'!$E$12+1,1))-AVERAGE(OFFSET($H$3,0,0,'Données projet'!$E$12+1,1))</f>
        <v>165.39579887388538</v>
      </c>
      <c r="CE67" s="59">
        <f t="shared" si="40"/>
        <v>155.89639262545802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2.8397608203313531</v>
      </c>
      <c r="CM67" s="21">
        <f>EXP(-LN(2)/2)*CM66+(1-EXP(-LN(2)/2))/(LN(2)/2)*CG67*CJ67*VLOOKUP('Données projet'!$B$12,Paramètres!$A$1:$I$89,3,0)*0.475*44/12</f>
        <v>1.0589626873303949E-4</v>
      </c>
      <c r="CN67" s="22">
        <f t="shared" si="12"/>
        <v>2.8398667166000862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8</v>
      </c>
      <c r="CT67" s="12">
        <f>IF('Données projet'!$A$140&gt;35,CT66+CS67-DB66,IF(A67&lt;'Données projet'!$A$140,$CQ$205^A67,IF(A67='Données projet'!$A$140,'Données projet'!$B$140,CT66+CS67-DB66)))</f>
        <v>295.00000000000011</v>
      </c>
      <c r="CU67" s="17">
        <f>CT67*VLOOKUP('Données projet'!$B$13,Paramètres!$A$1:$I$89,3,0)*VLOOKUP('Données projet'!$B$13,Paramètres!$A$1:$I$89,5,0)</f>
        <v>230.10000000000011</v>
      </c>
      <c r="CV67" s="13">
        <f t="shared" si="41"/>
        <v>56.304303322090803</v>
      </c>
      <c r="CW67" s="20">
        <f t="shared" si="13"/>
        <v>498.82082828597504</v>
      </c>
      <c r="CX67" s="59">
        <f t="shared" si="14"/>
        <v>792.1541616193083</v>
      </c>
      <c r="CY67" s="59">
        <f ca="1">AVERAGE(OFFSET($CX$3,0,0,'Données projet'!$E$13+1,1))-AVERAGE(OFFSET($H$3,0,0,'Données projet'!$E$13+1,1))</f>
        <v>190.06335940156185</v>
      </c>
      <c r="CZ67" s="59">
        <f t="shared" si="42"/>
        <v>166.43663896839928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0</v>
      </c>
      <c r="DG67" s="21">
        <f>EXP(-LN(2)/25)*DG66+(1-EXP(-LN(2)/25))/(LN(2)/25)*Calculateur!DB67*Calculateur!DD67*VLOOKUP('Données projet'!$B$13,Paramètres!$A$1:$I$89,3,0)*0.475*44/12</f>
        <v>1.7400460251643375</v>
      </c>
      <c r="DH67" s="21">
        <f>EXP(-LN(2)/2)*DH66+(1-EXP(-LN(2)/2))/(LN(2)/2)*DB67*DE67*VLOOKUP('Données projet'!$B$13,Paramètres!$A$1:$I$89,3,0)*0.475*44/12</f>
        <v>4.0637198272234247E-5</v>
      </c>
      <c r="DI67" s="22">
        <f t="shared" si="15"/>
        <v>1.7400866623626097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7</v>
      </c>
      <c r="DO67" s="12">
        <f>IF('Données projet'!$A$166&gt;35,DO66+DN67-DW66,IF(A67&lt;'Données projet'!$A$166,$DL$205^A67,IF(A67='Données projet'!$A$166,'Données projet'!$B$166,DO66+DN67-DW66)))</f>
        <v>221.00000000000017</v>
      </c>
      <c r="DP67" s="17">
        <f>DO67*VLOOKUP('Données projet'!$B$14,Paramètres!$A$1:$I$89,3,0)*VLOOKUP('Données projet'!$B$14,Paramètres!$A$1:$I$89,5,0)</f>
        <v>213.75120000000015</v>
      </c>
      <c r="DQ67" s="13">
        <f t="shared" si="43"/>
        <v>52.75447068116425</v>
      </c>
      <c r="DR67" s="20">
        <f t="shared" si="16"/>
        <v>464.16404310302801</v>
      </c>
      <c r="DS67" s="59">
        <f t="shared" si="17"/>
        <v>757.49737643636126</v>
      </c>
      <c r="DT67" s="59">
        <f ca="1">AVERAGE(OFFSET($DS$3,0,0,'Données projet'!$E$14+1,1))-AVERAGE(OFFSET($H$3,0,0,'Données projet'!$E$14+1,1))</f>
        <v>261.22357949323879</v>
      </c>
      <c r="DU67" s="59">
        <f t="shared" si="44"/>
        <v>163.41029152029387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0</v>
      </c>
      <c r="EB67" s="21">
        <f>EXP(-LN(2)/25)*EB66+(1-EXP(-LN(2)/25))/(LN(2)/25)*Calculateur!DW67*Calculateur!DY67*VLOOKUP('Données projet'!$B$14,Paramètres!$A$1:$I$89,3,0)*0.475*44/12</f>
        <v>1.293468057400132</v>
      </c>
      <c r="EC67" s="21">
        <f>EXP(-LN(2)/2)*EC66+(1-EXP(-LN(2)/2))/(LN(2)/2)*DW67*DZ67*VLOOKUP('Données projet'!$B$14,Paramètres!$A$1:$I$89,3,0)*0.475*44/12</f>
        <v>5.0477595753447752E-5</v>
      </c>
      <c r="ED67" s="22">
        <f t="shared" si="18"/>
        <v>1.2935185349958855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7.5</v>
      </c>
      <c r="EJ67" s="12">
        <f>IF('Données projet'!$A$192&gt;35,EJ66+EI67-ER66,IF(A67&lt;'Données projet'!$A$192,$EG$205^A67,IF(A67='Données projet'!$A$192,'Données projet'!$B$192,EJ66+EI67-ER66)))</f>
        <v>258.79999999999995</v>
      </c>
      <c r="EK67" s="17">
        <f>EJ67*VLOOKUP('Données projet'!$B$15,Paramètres!$A$1:$I$89,3,0)*VLOOKUP('Données projet'!$B$15,Paramètres!$A$1:$I$89,5,0)</f>
        <v>121.11839999999998</v>
      </c>
      <c r="EL67" s="13">
        <f t="shared" si="45"/>
        <v>31.935706725782151</v>
      </c>
      <c r="EM67" s="20">
        <f t="shared" si="19"/>
        <v>266.56923588073721</v>
      </c>
      <c r="EN67" s="59">
        <f t="shared" si="20"/>
        <v>559.90256921407058</v>
      </c>
      <c r="EO67" s="59">
        <f ca="1">AVERAGE(OFFSET($EN$3,0,0,'Données projet'!$E$15+1,1))-AVERAGE(OFFSET($H$3,0,0,'Données projet'!$E$15+1,1))</f>
        <v>123.60520571614535</v>
      </c>
      <c r="EP67" s="59">
        <f t="shared" si="46"/>
        <v>119.00926870519527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0.44232499062890268</v>
      </c>
      <c r="EW67" s="21">
        <f>EXP(-LN(2)/25)*EW66+(1-EXP(-LN(2)/25))/(LN(2)/25)*Calculateur!ER67*Calculateur!ET67*VLOOKUP('Données projet'!$B$15,Paramètres!$A$1:$I$89,3,0)*0.475*44/12</f>
        <v>1.860940398782686</v>
      </c>
      <c r="EX67" s="21">
        <f>EXP(-LN(2)/2)*EX66+(1-EXP(-LN(2)/2))/(LN(2)/2)*ER67*EU67*VLOOKUP('Données projet'!$B$15,Paramètres!$A$1:$I$89,3,0)*0.475*44/12</f>
        <v>4.6643909386310924E-5</v>
      </c>
      <c r="EY67" s="22">
        <f t="shared" si="21"/>
        <v>2.3033120333209753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3.2</v>
      </c>
      <c r="FE67" s="12">
        <f>IF('Données projet'!$A$218&gt;35,FE66+FD67-FM66,IF(A67&lt;'Données projet'!$A$218,$FB$205^A67,IF(A67='Données projet'!$A$218,'Données projet'!$B$218,FE66+FD67-FM66)))</f>
        <v>197.79999999999998</v>
      </c>
      <c r="FF67" s="17">
        <f>FE67*VLOOKUP('Données projet'!$B$16,Paramètres!$A$1:$I$89,3,0)*VLOOKUP('Données projet'!$B$16,Paramètres!$A$1:$I$89,5,0)</f>
        <v>145.02695999999997</v>
      </c>
      <c r="FG67" s="13">
        <f t="shared" si="47"/>
        <v>37.446236397854975</v>
      </c>
      <c r="FH67" s="20">
        <f t="shared" si="22"/>
        <v>317.80748372626402</v>
      </c>
      <c r="FI67" s="59">
        <f t="shared" si="23"/>
        <v>611.14081705959734</v>
      </c>
      <c r="FJ67" s="59">
        <f ca="1">AVERAGE(OFFSET($FI$3,0,0,'Données projet'!$E$16+1,1))-AVERAGE(OFFSET($H$3,0,0,'Données projet'!$E$16+1,1))</f>
        <v>124.15919323713428</v>
      </c>
      <c r="FK67" s="59">
        <f t="shared" si="48"/>
        <v>157.85954678210715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0</v>
      </c>
      <c r="FR67" s="21">
        <f>EXP(-LN(2)/25)*FR66+(1-EXP(-LN(2)/25))/(LN(2)/25)*Calculateur!FM67*Calculateur!FO67*VLOOKUP('Données projet'!$B$16,Paramètres!$A$1:$I$89,3,0)*0.475*44/12</f>
        <v>1.9581913100534012</v>
      </c>
      <c r="FS67" s="21">
        <f>EXP(-LN(2)/2)*FS66+(1-EXP(-LN(2)/2))/(LN(2)/2)*FM67*FP67*VLOOKUP('Données projet'!$B$16,Paramètres!$A$1:$I$89,3,0)*0.475*44/12</f>
        <v>5.6284589744897819E-5</v>
      </c>
      <c r="FT67" s="22">
        <f t="shared" si="24"/>
        <v>1.9582475946431461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7</v>
      </c>
      <c r="N68" s="13">
        <f>IF('Données projet'!$A$36&gt;35,N67+M68-V67,IF(A68&lt;'Données projet'!$A$36,$K$205^A68,IF(A68='Données projet'!$A$36,'Données projet'!$B$36,N67+M68-V67)))</f>
        <v>228.00000000000017</v>
      </c>
      <c r="O68" s="13">
        <f>N68*VLOOKUP('Données projet'!$B$9,Paramètres!$A$1:$I$89,3,0)*VLOOKUP('Données projet'!$B$9,Paramètres!$A$1:$I$89,5,0)</f>
        <v>206.29440000000017</v>
      </c>
      <c r="P68" s="13">
        <f t="shared" si="33"/>
        <v>51.124981739560774</v>
      </c>
      <c r="Q68" s="20">
        <f t="shared" si="54"/>
        <v>448.33875652973529</v>
      </c>
      <c r="R68" s="59">
        <f t="shared" si="55"/>
        <v>741.67208986306855</v>
      </c>
      <c r="S68" s="59">
        <f ca="1">AVERAGE(OFFSET($R$3,0,0,'Données projet'!$E$9+1,1))-AVERAGE(OFFSET($H$3,0,0,'Données projet'!$E$9+1,1))</f>
        <v>237.22177246688199</v>
      </c>
      <c r="T68" s="59">
        <f t="shared" si="34"/>
        <v>149.27472147904302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1.1769304856499967</v>
      </c>
      <c r="AB68" s="21">
        <f>EXP(-LN(2)/2)*AB67+(1-EXP(-LN(2)/2))/(LN(2)/2)*V68*Y68*VLOOKUP('Données projet'!$B$9,Paramètres!$A$1:$I$89,3,0)*0.475*44/12</f>
        <v>3.3390272819433207E-5</v>
      </c>
      <c r="AC68" s="22">
        <f t="shared" ref="AC68:AC131" si="57">SUM(Z68:AB68)</f>
        <v>1.176963875922816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4.3</v>
      </c>
      <c r="AI68" s="13">
        <f>IF('Données projet'!$A$62&gt;35,AI67+AH68-AQ67,IF(A68&lt;'Données projet'!$A$62,$AF$205^A68,IF(A68='Données projet'!$A$62,'Données projet'!$B$62,AI67+AH68-AQ67)))</f>
        <v>201.49999999999974</v>
      </c>
      <c r="AJ68" s="13">
        <f>AI68*VLOOKUP('Données projet'!$B$10,Paramètres!$A$1:$I$89,3,0)*VLOOKUP('Données projet'!$B$10,Paramètres!$A$1:$I$89,5,0)</f>
        <v>176.03039999999979</v>
      </c>
      <c r="AK68" s="13">
        <f t="shared" si="35"/>
        <v>44.437880346232902</v>
      </c>
      <c r="AL68" s="20">
        <f t="shared" ref="AL68:AL131" si="58">(AJ68+AK68)*0.475*44/12</f>
        <v>383.98225493635528</v>
      </c>
      <c r="AM68" s="59">
        <f t="shared" ref="AM68:AM131" si="59">AL68+(AD68+AE68)*44/12</f>
        <v>677.31558826968853</v>
      </c>
      <c r="AN68" s="59">
        <f ca="1">AVERAGE(OFFSET($AM$3,0,0,'Données projet'!$E$10+1,1))-AVERAGE(OFFSET($H$3,0,0,'Données projet'!$E$10+1,1))</f>
        <v>191.94797389630673</v>
      </c>
      <c r="AO68" s="59">
        <f t="shared" si="36"/>
        <v>273.52540822767878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1.2873299851054592</v>
      </c>
      <c r="AV68" s="21">
        <f>EXP(-LN(2)/25)*AV67+(1-EXP(-LN(2)/25))/(LN(2)/25)*Calculateur!AQ68*Calculateur!AS68*VLOOKUP('Données projet'!$B$10,Paramètres!$A$1:$I$89,3,0)*0.475*44/12</f>
        <v>5.3232538182146483</v>
      </c>
      <c r="AW68" s="21">
        <f>EXP(-LN(2)/2)*AW67+(1-EXP(-LN(2)/2))/(LN(2)/2)*AQ68*AT68*VLOOKUP('Données projet'!$B$10,Paramètres!$A$1:$I$89,3,0)*0.475*44/12</f>
        <v>1.251758051665981E-4</v>
      </c>
      <c r="AX68" s="21">
        <f t="shared" ref="AX68:AX131" si="60">SUM(AU68:AW68)</f>
        <v>6.610708979125274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>
        <f>BD68*VLOOKUP('Données projet'!$B$11,Paramètres!$A$1:$I$89,3,0)*VLOOKUP('Données projet'!$B$11,Paramètres!$A$1:$I$89,5,0)</f>
        <v>0</v>
      </c>
      <c r="BF68" s="13" t="e">
        <f t="shared" si="37"/>
        <v>#NUM!</v>
      </c>
      <c r="BG68" s="20" t="e">
        <f t="shared" ref="BG68:BG131" si="61">(BE68+BF68)*0.475*44/12</f>
        <v>#NUM!</v>
      </c>
      <c r="BH68" s="59" t="e">
        <f t="shared" ref="BH68:BH131" si="62">BG68+(AY68+AZ68)*44/12</f>
        <v>#NUM!</v>
      </c>
      <c r="BI68" s="59">
        <f ca="1">AVERAGE(OFFSET($BH$3,0,0,'Données projet'!$E$11+1,1))-AVERAGE(OFFSET($H$3,0,0,'Données projet'!$E$11+1,1))</f>
        <v>72.647148358003676</v>
      </c>
      <c r="BJ68" s="59">
        <f t="shared" si="38"/>
        <v>87.231299224620898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0.6362403647668472</v>
      </c>
      <c r="BQ68" s="21">
        <f>EXP(-LN(2)/25)*BQ67+(1-EXP(-LN(2)/25))/(LN(2)/25)*Calculateur!BL68*Calculateur!BN68*VLOOKUP('Données projet'!$B$11,Paramètres!$A$1:$I$89,3,0)*0.475*44/12</f>
        <v>1.7169764239113465</v>
      </c>
      <c r="BR68" s="21">
        <f>EXP(-LN(2)/2)*BR67+(1-EXP(-LN(2)/2))/(LN(2)/2)*BL68*BO68*VLOOKUP('Données projet'!$B$11,Paramètres!$A$1:$I$89,3,0)*0.475*44/12</f>
        <v>1.230497063443857E-5</v>
      </c>
      <c r="BS68" s="22">
        <f t="shared" ref="BS68:BS131" si="63">SUM(BP68:BR68)</f>
        <v>2.353229093648828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8</v>
      </c>
      <c r="BY68" s="12">
        <f>IF('Données projet'!$A$114&gt;35,BY67+BX68-CG67,IF(A68&lt;'Données projet'!$A$114,$BV$205^A68,IF(A68='Données projet'!$A$114,'Données projet'!$B$114,BY67+BX68-CG67)))</f>
        <v>315.00000000000006</v>
      </c>
      <c r="BZ68" s="13">
        <f>BY68*VLOOKUP('Données projet'!$B$12,Paramètres!$A$1:$I$89,3,0)*VLOOKUP('Données projet'!$B$12,Paramètres!$A$1:$I$89,5,0)</f>
        <v>188.37000000000006</v>
      </c>
      <c r="CA68" s="13">
        <f t="shared" si="39"/>
        <v>47.179402486491298</v>
      </c>
      <c r="CB68" s="20">
        <f t="shared" ref="CB68:CB131" si="64">(BZ68+CA68)*0.475*44/12</f>
        <v>410.2485426639725</v>
      </c>
      <c r="CC68" s="59">
        <f t="shared" ref="CC68:CC131" si="65">CB68+(BT68+BU68)*44/12</f>
        <v>703.58187599730581</v>
      </c>
      <c r="CD68" s="59">
        <f ca="1">AVERAGE(OFFSET($CC$3,0,0,'Données projet'!$E$12+1,1))-AVERAGE(OFFSET($H$3,0,0,'Données projet'!$E$12+1,1))</f>
        <v>165.39579887388538</v>
      </c>
      <c r="CE68" s="59">
        <f t="shared" si="40"/>
        <v>155.89639262545802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2.762107411362861</v>
      </c>
      <c r="CM68" s="21">
        <f>EXP(-LN(2)/2)*CM67+(1-EXP(-LN(2)/2))/(LN(2)/2)*CG68*CJ68*VLOOKUP('Données projet'!$B$12,Paramètres!$A$1:$I$89,3,0)*0.475*44/12</f>
        <v>7.4879969723485186E-5</v>
      </c>
      <c r="CN68" s="22">
        <f t="shared" ref="CN68:CN131" si="66">SUM(CK68:CM68)</f>
        <v>2.7621822913325844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303</v>
      </c>
      <c r="CR68" s="12">
        <f>VLOOKUP(A68,'Données projet'!$A$139:$I$159,9,0)</f>
        <v>8</v>
      </c>
      <c r="CS68" s="12">
        <f t="array" ref="CS68">INDEX(CR:CR,MIN(IF(ISNUMBER(CR68:CR264),ROW(CR68:CR264),"")))</f>
        <v>8</v>
      </c>
      <c r="CT68" s="12">
        <f>IF('Données projet'!$A$140&gt;35,CT67+CS68-DB67,IF(A68&lt;'Données projet'!$A$140,$CQ$205^A68,IF(A68='Données projet'!$A$140,'Données projet'!$B$140,CT67+CS68-DB67)))</f>
        <v>303.00000000000011</v>
      </c>
      <c r="CU68" s="17">
        <f>CT68*VLOOKUP('Données projet'!$B$13,Paramètres!$A$1:$I$89,3,0)*VLOOKUP('Données projet'!$B$13,Paramètres!$A$1:$I$89,5,0)</f>
        <v>236.34000000000009</v>
      </c>
      <c r="CV68" s="13">
        <f t="shared" si="41"/>
        <v>57.651360738051551</v>
      </c>
      <c r="CW68" s="20">
        <f t="shared" ref="CW68:CW131" si="67">(CU68+CV68)*0.475*44/12</f>
        <v>512.03495328543988</v>
      </c>
      <c r="CX68" s="59">
        <f t="shared" ref="CX68:CX131" si="68">CW68+(CO68+CP68)*44/12</f>
        <v>805.36828661877325</v>
      </c>
      <c r="CY68" s="59">
        <f ca="1">AVERAGE(OFFSET($CX$3,0,0,'Données projet'!$E$13+1,1))-AVERAGE(OFFSET($H$3,0,0,'Données projet'!$E$13+1,1))</f>
        <v>190.06335940156185</v>
      </c>
      <c r="CZ68" s="59">
        <f t="shared" si="42"/>
        <v>166.43663896839928</v>
      </c>
      <c r="DA68" s="15">
        <f>IF(ISNA(VLOOKUP(A68,'Données projet'!$A$139:$I$159,3,0)),0,VLOOKUP(A68,'Données projet'!$A$139:$I$159,3,0))</f>
        <v>6</v>
      </c>
      <c r="DB68" s="15">
        <f>IF(ISNA(VLOOKUP(A68,'Données projet'!$A$139:$I$159,4,0)),0,VLOOKUP(A68,'Données projet'!$A$139:$I$159,4,0))</f>
        <v>53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0</v>
      </c>
      <c r="DG68" s="21">
        <f>EXP(-LN(2)/25)*DG67+(1-EXP(-LN(2)/25))/(LN(2)/25)*Calculateur!DB68*Calculateur!DD68*VLOOKUP('Données projet'!$B$13,Paramètres!$A$1:$I$89,3,0)*0.475*44/12</f>
        <v>1.6924643751011752</v>
      </c>
      <c r="DH68" s="21">
        <f>EXP(-LN(2)/2)*DH67+(1-EXP(-LN(2)/2))/(LN(2)/2)*DB68*DE68*VLOOKUP('Données projet'!$B$13,Paramètres!$A$1:$I$89,3,0)*0.475*44/12</f>
        <v>2.873483846671909E-5</v>
      </c>
      <c r="DI68" s="22">
        <f t="shared" ref="DI68:DI131" si="69">SUM(DF68:DH68)</f>
        <v>1.6924931099396419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7</v>
      </c>
      <c r="DO68" s="12">
        <f>IF('Données projet'!$A$166&gt;35,DO67+DN68-DW67,IF(A68&lt;'Données projet'!$A$166,$DL$205^A68,IF(A68='Données projet'!$A$166,'Données projet'!$B$166,DO67+DN68-DW67)))</f>
        <v>228.00000000000017</v>
      </c>
      <c r="DP68" s="17">
        <f>DO68*VLOOKUP('Données projet'!$B$14,Paramètres!$A$1:$I$89,3,0)*VLOOKUP('Données projet'!$B$14,Paramètres!$A$1:$I$89,5,0)</f>
        <v>220.52160000000015</v>
      </c>
      <c r="DQ68" s="13">
        <f t="shared" si="43"/>
        <v>54.228237274069159</v>
      </c>
      <c r="DR68" s="20">
        <f t="shared" ref="DR68:DR131" si="70">(DP68+DQ68)*0.475*44/12</f>
        <v>478.5226332523373</v>
      </c>
      <c r="DS68" s="59">
        <f t="shared" ref="DS68:DS131" si="71">DR68+(DJ68+DK68)*44/12</f>
        <v>771.85596658567056</v>
      </c>
      <c r="DT68" s="59">
        <f ca="1">AVERAGE(OFFSET($DS$3,0,0,'Données projet'!$E$14+1,1))-AVERAGE(OFFSET($H$3,0,0,'Données projet'!$E$14+1,1))</f>
        <v>261.22357949323879</v>
      </c>
      <c r="DU68" s="59">
        <f t="shared" si="44"/>
        <v>163.41029152029387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0</v>
      </c>
      <c r="EB68" s="21">
        <f>EXP(-LN(2)/25)*EB67+(1-EXP(-LN(2)/25))/(LN(2)/25)*Calculateur!DW68*Calculateur!DY68*VLOOKUP('Données projet'!$B$14,Paramètres!$A$1:$I$89,3,0)*0.475*44/12</f>
        <v>1.2580981053499967</v>
      </c>
      <c r="EC68" s="21">
        <f>EXP(-LN(2)/2)*EC67+(1-EXP(-LN(2)/2))/(LN(2)/2)*DW68*DZ68*VLOOKUP('Données projet'!$B$14,Paramètres!$A$1:$I$89,3,0)*0.475*44/12</f>
        <v>3.5693050255256179E-5</v>
      </c>
      <c r="ED68" s="22">
        <f t="shared" ref="ED68:ED131" si="72">SUM(EA68:EC68)</f>
        <v>1.2581337984002519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7.5</v>
      </c>
      <c r="EJ68" s="12">
        <f>IF('Données projet'!$A$192&gt;35,EJ67+EI68-ER67,IF(A68&lt;'Données projet'!$A$192,$EG$205^A68,IF(A68='Données projet'!$A$192,'Données projet'!$B$192,EJ67+EI68-ER67)))</f>
        <v>266.29999999999995</v>
      </c>
      <c r="EK68" s="17">
        <f>EJ68*VLOOKUP('Données projet'!$B$15,Paramètres!$A$1:$I$89,3,0)*VLOOKUP('Données projet'!$B$15,Paramètres!$A$1:$I$89,5,0)</f>
        <v>124.62839999999998</v>
      </c>
      <c r="EL68" s="13">
        <f t="shared" si="45"/>
        <v>32.752108445357337</v>
      </c>
      <c r="EM68" s="20">
        <f t="shared" ref="EM68:EM131" si="73">(EK68+EL68)*0.475*44/12</f>
        <v>274.10438554233065</v>
      </c>
      <c r="EN68" s="59">
        <f t="shared" ref="EN68:EN131" si="74">EM68+(EE68+EF68)*44/12</f>
        <v>567.4377188756639</v>
      </c>
      <c r="EO68" s="59">
        <f ca="1">AVERAGE(OFFSET($EN$3,0,0,'Données projet'!$E$15+1,1))-AVERAGE(OFFSET($H$3,0,0,'Données projet'!$E$15+1,1))</f>
        <v>123.60520571614535</v>
      </c>
      <c r="EP68" s="59">
        <f t="shared" si="46"/>
        <v>119.00926870519527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0.43365126735427445</v>
      </c>
      <c r="EW68" s="21">
        <f>EXP(-LN(2)/25)*EW67+(1-EXP(-LN(2)/25))/(LN(2)/25)*Calculateur!ER68*Calculateur!ET68*VLOOKUP('Données projet'!$B$15,Paramètres!$A$1:$I$89,3,0)*0.475*44/12</f>
        <v>1.810052885715371</v>
      </c>
      <c r="EX68" s="21">
        <f>EXP(-LN(2)/2)*EX67+(1-EXP(-LN(2)/2))/(LN(2)/2)*ER68*EU68*VLOOKUP('Données projet'!$B$15,Paramètres!$A$1:$I$89,3,0)*0.475*44/12</f>
        <v>3.2982224628111308E-5</v>
      </c>
      <c r="EY68" s="22">
        <f t="shared" ref="EY68:EY131" si="75">SUM(EV68:EX68)</f>
        <v>2.2437371352942739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3.2</v>
      </c>
      <c r="FE68" s="12">
        <f>IF('Données projet'!$A$218&gt;35,FE67+FD68-FM67,IF(A68&lt;'Données projet'!$A$218,$FB$205^A68,IF(A68='Données projet'!$A$218,'Données projet'!$B$218,FE67+FD68-FM67)))</f>
        <v>200.99999999999997</v>
      </c>
      <c r="FF68" s="17">
        <f>FE68*VLOOKUP('Données projet'!$B$16,Paramètres!$A$1:$I$89,3,0)*VLOOKUP('Données projet'!$B$16,Paramètres!$A$1:$I$89,5,0)</f>
        <v>147.37319999999997</v>
      </c>
      <c r="FG68" s="13">
        <f t="shared" si="47"/>
        <v>37.981023482703954</v>
      </c>
      <c r="FH68" s="20">
        <f t="shared" ref="FH68:FH131" si="76">(FF68+FG68)*0.475*44/12</f>
        <v>322.82527256570933</v>
      </c>
      <c r="FI68" s="59">
        <f t="shared" ref="FI68:FI131" si="77">FH68+(EZ68+FA68)*44/12</f>
        <v>616.15860589904264</v>
      </c>
      <c r="FJ68" s="59">
        <f ca="1">AVERAGE(OFFSET($FI$3,0,0,'Données projet'!$E$16+1,1))-AVERAGE(OFFSET($H$3,0,0,'Données projet'!$E$16+1,1))</f>
        <v>124.15919323713428</v>
      </c>
      <c r="FK68" s="59">
        <f t="shared" si="48"/>
        <v>157.85954678210715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0</v>
      </c>
      <c r="FR68" s="21">
        <f>EXP(-LN(2)/25)*FR67+(1-EXP(-LN(2)/25))/(LN(2)/25)*Calculateur!FM68*Calculateur!FO68*VLOOKUP('Données projet'!$B$16,Paramètres!$A$1:$I$89,3,0)*0.475*44/12</f>
        <v>1.9046444657031854</v>
      </c>
      <c r="FS68" s="21">
        <f>EXP(-LN(2)/2)*FS67+(1-EXP(-LN(2)/2))/(LN(2)/2)*FM68*FP68*VLOOKUP('Données projet'!$B$16,Paramètres!$A$1:$I$89,3,0)*0.475*44/12</f>
        <v>3.9799215084920058E-5</v>
      </c>
      <c r="FT68" s="22">
        <f t="shared" ref="FT68:FT131" si="78">SUM(FQ68:FS68)</f>
        <v>1.9046842649182703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7</v>
      </c>
      <c r="N69" s="13">
        <f>IF('Données projet'!$A$36&gt;35,N68+M69-V68,IF(A69&lt;'Données projet'!$A$36,$K$205^A69,IF(A69='Données projet'!$A$36,'Données projet'!$B$36,N68+M69-V68)))</f>
        <v>235.00000000000017</v>
      </c>
      <c r="O69" s="13">
        <f>N69*VLOOKUP('Données projet'!$B$9,Paramètres!$A$1:$I$89,3,0)*VLOOKUP('Données projet'!$B$9,Paramètres!$A$1:$I$89,5,0)</f>
        <v>212.62800000000016</v>
      </c>
      <c r="P69" s="13">
        <f t="shared" ref="P69:P132" si="87">EXP(-1.0587+0.8836*LN(O69)+0.284)</f>
        <v>52.509453483719085</v>
      </c>
      <c r="Q69" s="20">
        <f t="shared" si="54"/>
        <v>461.78106481747767</v>
      </c>
      <c r="R69" s="59">
        <f t="shared" si="55"/>
        <v>755.11439815081098</v>
      </c>
      <c r="S69" s="59">
        <f ca="1">AVERAGE(OFFSET($R$3,0,0,'Données projet'!$E$9+1,1))-AVERAGE(OFFSET($H$3,0,0,'Données projet'!$E$9+1,1))</f>
        <v>237.22177246688199</v>
      </c>
      <c r="T69" s="59">
        <f t="shared" ref="T69:T132" si="88">$T$3</f>
        <v>149.27472147904302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0</v>
      </c>
      <c r="AA69" s="21">
        <f>EXP(-LN(2)/25)*AA68+(1-EXP(-LN(2)/25))/(LN(2)/25)*Calculateur!V69*Calculateur!X69*VLOOKUP('Données projet'!$B$9,Paramètres!$A$1:$I$89,3,0)*0.475*44/12</f>
        <v>1.1447472596278132</v>
      </c>
      <c r="AB69" s="21">
        <f>EXP(-LN(2)/2)*AB68+(1-EXP(-LN(2)/2))/(LN(2)/2)*V69*Y69*VLOOKUP('Données projet'!$B$9,Paramètres!$A$1:$I$89,3,0)*0.475*44/12</f>
        <v>2.3610488336290082E-5</v>
      </c>
      <c r="AC69" s="22">
        <f t="shared" si="57"/>
        <v>1.1447708701161494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4.3</v>
      </c>
      <c r="AI69" s="13">
        <f>IF('Données projet'!$A$62&gt;35,AI68+AH69-AQ68,IF(A69&lt;'Données projet'!$A$62,$AF$205^A69,IF(A69='Données projet'!$A$62,'Données projet'!$B$62,AI68+AH69-AQ68)))</f>
        <v>205.79999999999976</v>
      </c>
      <c r="AJ69" s="13">
        <f>AI69*VLOOKUP('Données projet'!$B$10,Paramètres!$A$1:$I$89,3,0)*VLOOKUP('Données projet'!$B$10,Paramètres!$A$1:$I$89,5,0)</f>
        <v>179.78687999999983</v>
      </c>
      <c r="AK69" s="13">
        <f t="shared" ref="AK69:AK132" si="89">EXP(-1.0587+0.8836*LN(AJ69)+0.284)</f>
        <v>45.274767624296899</v>
      </c>
      <c r="AL69" s="20">
        <f t="shared" si="58"/>
        <v>391.98236961231675</v>
      </c>
      <c r="AM69" s="59">
        <f t="shared" si="59"/>
        <v>685.31570294565006</v>
      </c>
      <c r="AN69" s="59">
        <f ca="1">AVERAGE(OFFSET($AM$3,0,0,'Données projet'!$E$10+1,1))-AVERAGE(OFFSET($H$3,0,0,'Données projet'!$E$10+1,1))</f>
        <v>191.94797389630673</v>
      </c>
      <c r="AO69" s="59">
        <f t="shared" ref="AO69:AO132" si="90">$AO$3</f>
        <v>273.52540822767878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1.2620862292913007</v>
      </c>
      <c r="AV69" s="21">
        <f>EXP(-LN(2)/25)*AV68+(1-EXP(-LN(2)/25))/(LN(2)/25)*Calculateur!AQ69*Calculateur!AS69*VLOOKUP('Données projet'!$B$10,Paramètres!$A$1:$I$89,3,0)*0.475*44/12</f>
        <v>5.177689162617817</v>
      </c>
      <c r="AW69" s="21">
        <f>EXP(-LN(2)/2)*AW68+(1-EXP(-LN(2)/2))/(LN(2)/2)*AQ69*AT69*VLOOKUP('Données projet'!$B$10,Paramètres!$A$1:$I$89,3,0)*0.475*44/12</f>
        <v>8.8512660673787592E-5</v>
      </c>
      <c r="AX69" s="21">
        <f t="shared" si="60"/>
        <v>6.4398639045697914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>
        <f>BD69*VLOOKUP('Données projet'!$B$11,Paramètres!$A$1:$I$89,3,0)*VLOOKUP('Données projet'!$B$11,Paramètres!$A$1:$I$89,5,0)</f>
        <v>0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72.647148358003676</v>
      </c>
      <c r="BJ69" s="59">
        <f t="shared" ref="BJ69:BJ132" si="92">$BJ$3</f>
        <v>87.231299224620898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0.62376407928207322</v>
      </c>
      <c r="BQ69" s="21">
        <f>EXP(-LN(2)/25)*BQ68+(1-EXP(-LN(2)/25))/(LN(2)/25)*Calculateur!BL69*Calculateur!BN69*VLOOKUP('Données projet'!$B$11,Paramètres!$A$1:$I$89,3,0)*0.475*44/12</f>
        <v>1.6700256133076248</v>
      </c>
      <c r="BR69" s="21">
        <f>EXP(-LN(2)/2)*BR68+(1-EXP(-LN(2)/2))/(LN(2)/2)*BL69*BO69*VLOOKUP('Données projet'!$B$11,Paramètres!$A$1:$I$89,3,0)*0.475*44/12</f>
        <v>8.7009281779128466E-6</v>
      </c>
      <c r="BS69" s="22">
        <f t="shared" si="63"/>
        <v>2.2937983935178758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8</v>
      </c>
      <c r="BY69" s="12">
        <f>IF('Données projet'!$A$114&gt;35,BY68+BX69-CG68,IF(A69&lt;'Données projet'!$A$114,$BV$205^A69,IF(A69='Données projet'!$A$114,'Données projet'!$B$114,BY68+BX69-CG68)))</f>
        <v>323.00000000000006</v>
      </c>
      <c r="BZ69" s="13">
        <f>BY69*VLOOKUP('Données projet'!$B$12,Paramètres!$A$1:$I$89,3,0)*VLOOKUP('Données projet'!$B$12,Paramètres!$A$1:$I$89,5,0)</f>
        <v>193.15400000000005</v>
      </c>
      <c r="CA69" s="13">
        <f t="shared" ref="CA69:CA132" si="93">EXP(-1.0587+0.8836*LN(BZ69)+0.284)</f>
        <v>48.236587915544618</v>
      </c>
      <c r="CB69" s="20">
        <f t="shared" si="64"/>
        <v>420.42194061957366</v>
      </c>
      <c r="CC69" s="59">
        <f t="shared" si="65"/>
        <v>713.75527395290692</v>
      </c>
      <c r="CD69" s="59">
        <f ca="1">AVERAGE(OFFSET($CC$3,0,0,'Données projet'!$E$12+1,1))-AVERAGE(OFFSET($H$3,0,0,'Données projet'!$E$12+1,1))</f>
        <v>165.39579887388538</v>
      </c>
      <c r="CE69" s="59">
        <f t="shared" ref="CE69:CE132" si="94">$CE$3</f>
        <v>155.89639262545802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2.6865774389462276</v>
      </c>
      <c r="CM69" s="21">
        <f>EXP(-LN(2)/2)*CM68+(1-EXP(-LN(2)/2))/(LN(2)/2)*CG69*CJ69*VLOOKUP('Données projet'!$B$12,Paramètres!$A$1:$I$89,3,0)*0.475*44/12</f>
        <v>5.2948134366519744E-5</v>
      </c>
      <c r="CN69" s="22">
        <f t="shared" si="66"/>
        <v>2.6866303870805943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5.6</v>
      </c>
      <c r="CT69" s="12">
        <f>IF('Données projet'!$A$140&gt;35,CT68+CS69-DB68,IF(A69&lt;'Données projet'!$A$140,$CQ$205^A69,IF(A69='Données projet'!$A$140,'Données projet'!$B$140,CT68+CS69-DB68)))</f>
        <v>255.60000000000014</v>
      </c>
      <c r="CU69" s="17">
        <f>CT69*VLOOKUP('Données projet'!$B$13,Paramètres!$A$1:$I$89,3,0)*VLOOKUP('Données projet'!$B$13,Paramètres!$A$1:$I$89,5,0)</f>
        <v>199.36800000000011</v>
      </c>
      <c r="CV69" s="13">
        <f t="shared" ref="CV69:CV132" si="95">EXP(-1.0587+0.8836*LN(CU69)+0.284)</f>
        <v>49.605247679671407</v>
      </c>
      <c r="CW69" s="20">
        <f t="shared" si="67"/>
        <v>433.62840637542786</v>
      </c>
      <c r="CX69" s="59">
        <f t="shared" si="68"/>
        <v>726.96173970876112</v>
      </c>
      <c r="CY69" s="59">
        <f ca="1">AVERAGE(OFFSET($CX$3,0,0,'Données projet'!$E$13+1,1))-AVERAGE(OFFSET($H$3,0,0,'Données projet'!$E$13+1,1))</f>
        <v>190.06335940156185</v>
      </c>
      <c r="CZ69" s="59">
        <f t="shared" ref="CZ69:CZ132" si="96">$CZ$3</f>
        <v>166.43663896839928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0</v>
      </c>
      <c r="DG69" s="21">
        <f>EXP(-LN(2)/25)*DG68+(1-EXP(-LN(2)/25))/(LN(2)/25)*Calculateur!DB69*Calculateur!DD69*VLOOKUP('Données projet'!$B$13,Paramètres!$A$1:$I$89,3,0)*0.475*44/12</f>
        <v>1.6461838477612003</v>
      </c>
      <c r="DH69" s="21">
        <f>EXP(-LN(2)/2)*DH68+(1-EXP(-LN(2)/2))/(LN(2)/2)*DB69*DE69*VLOOKUP('Données projet'!$B$13,Paramètres!$A$1:$I$89,3,0)*0.475*44/12</f>
        <v>2.0318599136117127E-5</v>
      </c>
      <c r="DI69" s="22">
        <f t="shared" si="69"/>
        <v>1.6462041663603364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7</v>
      </c>
      <c r="DO69" s="12">
        <f>IF('Données projet'!$A$166&gt;35,DO68+DN69-DW68,IF(A69&lt;'Données projet'!$A$166,$DL$205^A69,IF(A69='Données projet'!$A$166,'Données projet'!$B$166,DO68+DN69-DW68)))</f>
        <v>235.00000000000017</v>
      </c>
      <c r="DP69" s="17">
        <f>DO69*VLOOKUP('Données projet'!$B$14,Paramètres!$A$1:$I$89,3,0)*VLOOKUP('Données projet'!$B$14,Paramètres!$A$1:$I$89,5,0)</f>
        <v>227.29200000000017</v>
      </c>
      <c r="DQ69" s="13">
        <f t="shared" ref="DQ69:DQ132" si="97">EXP(-1.0587+0.8836*LN(DP69)+0.284)</f>
        <v>55.696745617483749</v>
      </c>
      <c r="DR69" s="20">
        <f t="shared" si="70"/>
        <v>492.87206528378442</v>
      </c>
      <c r="DS69" s="59">
        <f t="shared" si="71"/>
        <v>786.20539861711768</v>
      </c>
      <c r="DT69" s="59">
        <f ca="1">AVERAGE(OFFSET($DS$3,0,0,'Données projet'!$E$14+1,1))-AVERAGE(OFFSET($H$3,0,0,'Données projet'!$E$14+1,1))</f>
        <v>261.22357949323879</v>
      </c>
      <c r="DU69" s="59">
        <f t="shared" ref="DU69:DU132" si="98">$DU$3</f>
        <v>163.41029152029387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0</v>
      </c>
      <c r="EB69" s="21">
        <f>EXP(-LN(2)/25)*EB68+(1-EXP(-LN(2)/25))/(LN(2)/25)*Calculateur!DW69*Calculateur!DY69*VLOOKUP('Données projet'!$B$14,Paramètres!$A$1:$I$89,3,0)*0.475*44/12</f>
        <v>1.223695346498697</v>
      </c>
      <c r="EC69" s="21">
        <f>EXP(-LN(2)/2)*EC68+(1-EXP(-LN(2)/2))/(LN(2)/2)*DW69*DZ69*VLOOKUP('Données projet'!$B$14,Paramètres!$A$1:$I$89,3,0)*0.475*44/12</f>
        <v>2.5238797876723876E-5</v>
      </c>
      <c r="ED69" s="22">
        <f t="shared" si="72"/>
        <v>1.2237205852965738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7.5</v>
      </c>
      <c r="EJ69" s="12">
        <f>IF('Données projet'!$A$192&gt;35,EJ68+EI69-ER68,IF(A69&lt;'Données projet'!$A$192,$EG$205^A69,IF(A69='Données projet'!$A$192,'Données projet'!$B$192,EJ68+EI69-ER68)))</f>
        <v>273.79999999999995</v>
      </c>
      <c r="EK69" s="17">
        <f>EJ69*VLOOKUP('Données projet'!$B$15,Paramètres!$A$1:$I$89,3,0)*VLOOKUP('Données projet'!$B$15,Paramètres!$A$1:$I$89,5,0)</f>
        <v>128.13839999999999</v>
      </c>
      <c r="EL69" s="13">
        <f t="shared" ref="EL69:EL132" si="99">EXP(-1.0587+0.8836*LN(EK69)+0.284)</f>
        <v>33.565837798615647</v>
      </c>
      <c r="EM69" s="20">
        <f t="shared" si="73"/>
        <v>281.63488083258886</v>
      </c>
      <c r="EN69" s="59">
        <f t="shared" si="74"/>
        <v>574.96821416592218</v>
      </c>
      <c r="EO69" s="59">
        <f ca="1">AVERAGE(OFFSET($EN$3,0,0,'Données projet'!$E$15+1,1))-AVERAGE(OFFSET($H$3,0,0,'Données projet'!$E$15+1,1))</f>
        <v>123.60520571614535</v>
      </c>
      <c r="EP69" s="59">
        <f t="shared" ref="EP69:EP132" si="100">$EP$3</f>
        <v>119.00926870519527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0.42514763050261289</v>
      </c>
      <c r="EW69" s="21">
        <f>EXP(-LN(2)/25)*EW68+(1-EXP(-LN(2)/25))/(LN(2)/25)*Calculateur!ER69*Calculateur!ET69*VLOOKUP('Données projet'!$B$15,Paramètres!$A$1:$I$89,3,0)*0.475*44/12</f>
        <v>1.7605568943689398</v>
      </c>
      <c r="EX69" s="21">
        <f>EXP(-LN(2)/2)*EX68+(1-EXP(-LN(2)/2))/(LN(2)/2)*ER69*EU69*VLOOKUP('Données projet'!$B$15,Paramètres!$A$1:$I$89,3,0)*0.475*44/12</f>
        <v>2.3321954693155462E-5</v>
      </c>
      <c r="EY69" s="22">
        <f t="shared" si="75"/>
        <v>2.185727846826246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3.2</v>
      </c>
      <c r="FE69" s="12">
        <f>IF('Données projet'!$A$218&gt;35,FE68+FD69-FM68,IF(A69&lt;'Données projet'!$A$218,$FB$205^A69,IF(A69='Données projet'!$A$218,'Données projet'!$B$218,FE68+FD69-FM68)))</f>
        <v>204.19999999999996</v>
      </c>
      <c r="FF69" s="17">
        <f>FE69*VLOOKUP('Données projet'!$B$16,Paramètres!$A$1:$I$89,3,0)*VLOOKUP('Données projet'!$B$16,Paramètres!$A$1:$I$89,5,0)</f>
        <v>149.71943999999996</v>
      </c>
      <c r="FG69" s="13">
        <f t="shared" ref="FG69:FG132" si="101">EXP(-1.0587+0.8836*LN(FF69)+0.284)</f>
        <v>38.514820408715103</v>
      </c>
      <c r="FH69" s="20">
        <f t="shared" si="76"/>
        <v>327.84133687851204</v>
      </c>
      <c r="FI69" s="59">
        <f t="shared" si="77"/>
        <v>621.1746702118453</v>
      </c>
      <c r="FJ69" s="59">
        <f ca="1">AVERAGE(OFFSET($FI$3,0,0,'Données projet'!$E$16+1,1))-AVERAGE(OFFSET($H$3,0,0,'Données projet'!$E$16+1,1))</f>
        <v>124.15919323713428</v>
      </c>
      <c r="FK69" s="59">
        <f t="shared" ref="FK69:FK132" si="102">$FK$3</f>
        <v>157.85954678210715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0</v>
      </c>
      <c r="FR69" s="21">
        <f>EXP(-LN(2)/25)*FR68+(1-EXP(-LN(2)/25))/(LN(2)/25)*Calculateur!FM69*Calculateur!FO69*VLOOKUP('Données projet'!$B$16,Paramètres!$A$1:$I$89,3,0)*0.475*44/12</f>
        <v>1.8525618626276323</v>
      </c>
      <c r="FS69" s="21">
        <f>EXP(-LN(2)/2)*FS68+(1-EXP(-LN(2)/2))/(LN(2)/2)*FM69*FP69*VLOOKUP('Données projet'!$B$16,Paramètres!$A$1:$I$89,3,0)*0.475*44/12</f>
        <v>2.814229487244891E-5</v>
      </c>
      <c r="FT69" s="22">
        <f t="shared" si="78"/>
        <v>1.8525900049225048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7</v>
      </c>
      <c r="N70" s="13">
        <f>IF('Données projet'!$A$36&gt;35,N69+M70-V69,IF(A70&lt;'Données projet'!$A$36,$K$205^A70,IF(A70='Données projet'!$A$36,'Données projet'!$B$36,N69+M70-V69)))</f>
        <v>242.00000000000017</v>
      </c>
      <c r="O70" s="13">
        <f>N70*VLOOKUP('Données projet'!$B$9,Paramètres!$A$1:$I$89,3,0)*VLOOKUP('Données projet'!$B$9,Paramètres!$A$1:$I$89,5,0)</f>
        <v>218.96160000000017</v>
      </c>
      <c r="P70" s="13">
        <f t="shared" si="87"/>
        <v>53.889132503707479</v>
      </c>
      <c r="Q70" s="20">
        <f t="shared" si="54"/>
        <v>475.2150257772908</v>
      </c>
      <c r="R70" s="59">
        <f t="shared" si="55"/>
        <v>768.54835911062412</v>
      </c>
      <c r="S70" s="59">
        <f ca="1">AVERAGE(OFFSET($R$3,0,0,'Données projet'!$E$9+1,1))-AVERAGE(OFFSET($H$3,0,0,'Données projet'!$E$9+1,1))</f>
        <v>237.22177246688199</v>
      </c>
      <c r="T70" s="59">
        <f t="shared" si="88"/>
        <v>149.27472147904302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0</v>
      </c>
      <c r="AA70" s="21">
        <f>EXP(-LN(2)/25)*AA69+(1-EXP(-LN(2)/25))/(LN(2)/25)*Calculateur!V70*Calculateur!X70*VLOOKUP('Données projet'!$B$9,Paramètres!$A$1:$I$89,3,0)*0.475*44/12</f>
        <v>1.1134440856136487</v>
      </c>
      <c r="AB70" s="21">
        <f>EXP(-LN(2)/2)*AB69+(1-EXP(-LN(2)/2))/(LN(2)/2)*V70*Y70*VLOOKUP('Données projet'!$B$9,Paramètres!$A$1:$I$89,3,0)*0.475*44/12</f>
        <v>1.6695136409716603E-5</v>
      </c>
      <c r="AC70" s="22">
        <f t="shared" si="57"/>
        <v>1.1134607807500585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4.3</v>
      </c>
      <c r="AI70" s="13">
        <f>IF('Données projet'!$A$62&gt;35,AI69+AH70-AQ69,IF(A70&lt;'Données projet'!$A$62,$AF$205^A70,IF(A70='Données projet'!$A$62,'Données projet'!$B$62,AI69+AH70-AQ69)))</f>
        <v>210.09999999999977</v>
      </c>
      <c r="AJ70" s="13">
        <f>AI70*VLOOKUP('Données projet'!$B$10,Paramètres!$A$1:$I$89,3,0)*VLOOKUP('Données projet'!$B$10,Paramètres!$A$1:$I$89,5,0)</f>
        <v>183.54335999999981</v>
      </c>
      <c r="AK70" s="13">
        <f t="shared" si="89"/>
        <v>46.109621850655671</v>
      </c>
      <c r="AL70" s="20">
        <f t="shared" si="58"/>
        <v>399.97894338989158</v>
      </c>
      <c r="AM70" s="59">
        <f t="shared" si="59"/>
        <v>693.31227672322484</v>
      </c>
      <c r="AN70" s="59">
        <f ca="1">AVERAGE(OFFSET($AM$3,0,0,'Données projet'!$E$10+1,1))-AVERAGE(OFFSET($H$3,0,0,'Données projet'!$E$10+1,1))</f>
        <v>191.94797389630673</v>
      </c>
      <c r="AO70" s="59">
        <f t="shared" si="90"/>
        <v>273.52540822767878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1.2373374881314869</v>
      </c>
      <c r="AV70" s="21">
        <f>EXP(-LN(2)/25)*AV69+(1-EXP(-LN(2)/25))/(LN(2)/25)*Calculateur!AQ70*Calculateur!AS70*VLOOKUP('Données projet'!$B$10,Paramètres!$A$1:$I$89,3,0)*0.475*44/12</f>
        <v>5.0361049801831932</v>
      </c>
      <c r="AW70" s="21">
        <f>EXP(-LN(2)/2)*AW69+(1-EXP(-LN(2)/2))/(LN(2)/2)*AQ70*AT70*VLOOKUP('Données projet'!$B$10,Paramètres!$A$1:$I$89,3,0)*0.475*44/12</f>
        <v>6.2587902583299051E-5</v>
      </c>
      <c r="AX70" s="21">
        <f t="shared" si="60"/>
        <v>6.2735050562172638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>
        <f>BD70*VLOOKUP('Données projet'!$B$11,Paramètres!$A$1:$I$89,3,0)*VLOOKUP('Données projet'!$B$11,Paramètres!$A$1:$I$89,5,0)</f>
        <v>0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72.647148358003676</v>
      </c>
      <c r="BJ70" s="59">
        <f t="shared" si="92"/>
        <v>87.231299224620898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0.61153244614587299</v>
      </c>
      <c r="BQ70" s="21">
        <f>EXP(-LN(2)/25)*BQ69+(1-EXP(-LN(2)/25))/(LN(2)/25)*Calculateur!BL70*Calculateur!BN70*VLOOKUP('Données projet'!$B$11,Paramètres!$A$1:$I$89,3,0)*0.475*44/12</f>
        <v>1.6243586750888976</v>
      </c>
      <c r="BR70" s="21">
        <f>EXP(-LN(2)/2)*BR69+(1-EXP(-LN(2)/2))/(LN(2)/2)*BL70*BO70*VLOOKUP('Données projet'!$B$11,Paramètres!$A$1:$I$89,3,0)*0.475*44/12</f>
        <v>6.1524853172192849E-6</v>
      </c>
      <c r="BS70" s="22">
        <f t="shared" si="63"/>
        <v>2.235897273720088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8</v>
      </c>
      <c r="BY70" s="12">
        <f>IF('Données projet'!$A$114&gt;35,BY69+BX70-CG69,IF(A70&lt;'Données projet'!$A$114,$BV$205^A70,IF(A70='Données projet'!$A$114,'Données projet'!$B$114,BY69+BX70-CG69)))</f>
        <v>331.00000000000006</v>
      </c>
      <c r="BZ70" s="13">
        <f>BY70*VLOOKUP('Données projet'!$B$12,Paramètres!$A$1:$I$89,3,0)*VLOOKUP('Données projet'!$B$12,Paramètres!$A$1:$I$89,5,0)</f>
        <v>197.93800000000005</v>
      </c>
      <c r="CA70" s="13">
        <f t="shared" si="93"/>
        <v>49.290729568773614</v>
      </c>
      <c r="CB70" s="20">
        <f t="shared" si="64"/>
        <v>430.5900373322807</v>
      </c>
      <c r="CC70" s="59">
        <f t="shared" si="65"/>
        <v>723.92337066561402</v>
      </c>
      <c r="CD70" s="59">
        <f ca="1">AVERAGE(OFFSET($CC$3,0,0,'Données projet'!$E$12+1,1))-AVERAGE(OFFSET($H$3,0,0,'Données projet'!$E$12+1,1))</f>
        <v>165.39579887388538</v>
      </c>
      <c r="CE70" s="59">
        <f t="shared" si="94"/>
        <v>155.89639262545802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2.6131128375972756</v>
      </c>
      <c r="CM70" s="21">
        <f>EXP(-LN(2)/2)*CM69+(1-EXP(-LN(2)/2))/(LN(2)/2)*CG70*CJ70*VLOOKUP('Données projet'!$B$12,Paramètres!$A$1:$I$89,3,0)*0.475*44/12</f>
        <v>3.7439984861742593E-5</v>
      </c>
      <c r="CN70" s="22">
        <f t="shared" si="66"/>
        <v>2.6131502775821374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5.6</v>
      </c>
      <c r="CT70" s="12">
        <f>IF('Données projet'!$A$140&gt;35,CT69+CS70-DB69,IF(A70&lt;'Données projet'!$A$140,$CQ$205^A70,IF(A70='Données projet'!$A$140,'Données projet'!$B$140,CT69+CS70-DB69)))</f>
        <v>261.20000000000016</v>
      </c>
      <c r="CU70" s="17">
        <f>CT70*VLOOKUP('Données projet'!$B$13,Paramètres!$A$1:$I$89,3,0)*VLOOKUP('Données projet'!$B$13,Paramètres!$A$1:$I$89,5,0)</f>
        <v>203.73600000000013</v>
      </c>
      <c r="CV70" s="13">
        <f t="shared" si="95"/>
        <v>50.564340955980683</v>
      </c>
      <c r="CW70" s="20">
        <f t="shared" si="67"/>
        <v>442.90642716499991</v>
      </c>
      <c r="CX70" s="59">
        <f t="shared" si="68"/>
        <v>736.23976049833323</v>
      </c>
      <c r="CY70" s="59">
        <f ca="1">AVERAGE(OFFSET($CX$3,0,0,'Données projet'!$E$13+1,1))-AVERAGE(OFFSET($H$3,0,0,'Données projet'!$E$13+1,1))</f>
        <v>190.06335940156185</v>
      </c>
      <c r="CZ70" s="59">
        <f t="shared" si="96"/>
        <v>166.43663896839928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0</v>
      </c>
      <c r="DG70" s="21">
        <f>EXP(-LN(2)/25)*DG69+(1-EXP(-LN(2)/25))/(LN(2)/25)*Calculateur!DB70*Calculateur!DD70*VLOOKUP('Données projet'!$B$13,Paramètres!$A$1:$I$89,3,0)*0.475*44/12</f>
        <v>1.601168863875124</v>
      </c>
      <c r="DH70" s="21">
        <f>EXP(-LN(2)/2)*DH69+(1-EXP(-LN(2)/2))/(LN(2)/2)*DB70*DE70*VLOOKUP('Données projet'!$B$13,Paramètres!$A$1:$I$89,3,0)*0.475*44/12</f>
        <v>1.4367419233359548E-5</v>
      </c>
      <c r="DI70" s="22">
        <f t="shared" si="69"/>
        <v>1.6011832312943575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7</v>
      </c>
      <c r="DO70" s="12">
        <f>IF('Données projet'!$A$166&gt;35,DO69+DN70-DW69,IF(A70&lt;'Données projet'!$A$166,$DL$205^A70,IF(A70='Données projet'!$A$166,'Données projet'!$B$166,DO69+DN70-DW69)))</f>
        <v>242.00000000000017</v>
      </c>
      <c r="DP70" s="17">
        <f>DO70*VLOOKUP('Données projet'!$B$14,Paramètres!$A$1:$I$89,3,0)*VLOOKUP('Données projet'!$B$14,Paramètres!$A$1:$I$89,5,0)</f>
        <v>234.06240000000017</v>
      </c>
      <c r="DQ70" s="13">
        <f t="shared" si="97"/>
        <v>57.160170321263926</v>
      </c>
      <c r="DR70" s="20">
        <f t="shared" si="70"/>
        <v>507.21264330953494</v>
      </c>
      <c r="DS70" s="59">
        <f t="shared" si="71"/>
        <v>800.54597664286825</v>
      </c>
      <c r="DT70" s="59">
        <f ca="1">AVERAGE(OFFSET($DS$3,0,0,'Données projet'!$E$14+1,1))-AVERAGE(OFFSET($H$3,0,0,'Données projet'!$E$14+1,1))</f>
        <v>261.22357949323879</v>
      </c>
      <c r="DU70" s="59">
        <f t="shared" si="98"/>
        <v>163.41029152029387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0</v>
      </c>
      <c r="EB70" s="21">
        <f>EXP(-LN(2)/25)*EB69+(1-EXP(-LN(2)/25))/(LN(2)/25)*Calculateur!DW70*Calculateur!DY70*VLOOKUP('Données projet'!$B$14,Paramètres!$A$1:$I$89,3,0)*0.475*44/12</f>
        <v>1.1902333328973487</v>
      </c>
      <c r="EC70" s="21">
        <f>EXP(-LN(2)/2)*EC69+(1-EXP(-LN(2)/2))/(LN(2)/2)*DW70*DZ70*VLOOKUP('Données projet'!$B$14,Paramètres!$A$1:$I$89,3,0)*0.475*44/12</f>
        <v>1.784652512762809E-5</v>
      </c>
      <c r="ED70" s="22">
        <f t="shared" si="72"/>
        <v>1.1902511794224764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7.5</v>
      </c>
      <c r="EJ70" s="12">
        <f>IF('Données projet'!$A$192&gt;35,EJ69+EI70-ER69,IF(A70&lt;'Données projet'!$A$192,$EG$205^A70,IF(A70='Données projet'!$A$192,'Données projet'!$B$192,EJ69+EI70-ER69)))</f>
        <v>281.29999999999995</v>
      </c>
      <c r="EK70" s="17">
        <f>EJ70*VLOOKUP('Données projet'!$B$15,Paramètres!$A$1:$I$89,3,0)*VLOOKUP('Données projet'!$B$15,Paramètres!$A$1:$I$89,5,0)</f>
        <v>131.64839999999998</v>
      </c>
      <c r="EL70" s="13">
        <f t="shared" si="99"/>
        <v>34.376976398956401</v>
      </c>
      <c r="EM70" s="20">
        <f t="shared" si="73"/>
        <v>289.160863894849</v>
      </c>
      <c r="EN70" s="59">
        <f t="shared" si="74"/>
        <v>582.49419722818232</v>
      </c>
      <c r="EO70" s="59">
        <f ca="1">AVERAGE(OFFSET($EN$3,0,0,'Données projet'!$E$15+1,1))-AVERAGE(OFFSET($H$3,0,0,'Données projet'!$E$15+1,1))</f>
        <v>123.60520571614535</v>
      </c>
      <c r="EP70" s="59">
        <f t="shared" si="100"/>
        <v>119.00926870519527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0.41681074478290608</v>
      </c>
      <c r="EW70" s="21">
        <f>EXP(-LN(2)/25)*EW69+(1-EXP(-LN(2)/25))/(LN(2)/25)*Calculateur!ER70*Calculateur!ET70*VLOOKUP('Données projet'!$B$15,Paramètres!$A$1:$I$89,3,0)*0.475*44/12</f>
        <v>1.7124143735087578</v>
      </c>
      <c r="EX70" s="21">
        <f>EXP(-LN(2)/2)*EX69+(1-EXP(-LN(2)/2))/(LN(2)/2)*ER70*EU70*VLOOKUP('Données projet'!$B$15,Paramètres!$A$1:$I$89,3,0)*0.475*44/12</f>
        <v>1.6491112314055654E-5</v>
      </c>
      <c r="EY70" s="22">
        <f t="shared" si="75"/>
        <v>2.1292416094039779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3.2</v>
      </c>
      <c r="FE70" s="12">
        <f>IF('Données projet'!$A$218&gt;35,FE69+FD70-FM69,IF(A70&lt;'Données projet'!$A$218,$FB$205^A70,IF(A70='Données projet'!$A$218,'Données projet'!$B$218,FE69+FD70-FM69)))</f>
        <v>207.39999999999995</v>
      </c>
      <c r="FF70" s="17">
        <f>FE70*VLOOKUP('Données projet'!$B$16,Paramètres!$A$1:$I$89,3,0)*VLOOKUP('Données projet'!$B$16,Paramètres!$A$1:$I$89,5,0)</f>
        <v>152.06567999999996</v>
      </c>
      <c r="FG70" s="13">
        <f t="shared" si="101"/>
        <v>39.04764448435953</v>
      </c>
      <c r="FH70" s="20">
        <f t="shared" si="76"/>
        <v>332.85570681025939</v>
      </c>
      <c r="FI70" s="59">
        <f t="shared" si="77"/>
        <v>626.18904014359271</v>
      </c>
      <c r="FJ70" s="59">
        <f ca="1">AVERAGE(OFFSET($FI$3,0,0,'Données projet'!$E$16+1,1))-AVERAGE(OFFSET($H$3,0,0,'Données projet'!$E$16+1,1))</f>
        <v>124.15919323713428</v>
      </c>
      <c r="FK70" s="59">
        <f t="shared" si="102"/>
        <v>157.85954678210715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0</v>
      </c>
      <c r="FR70" s="21">
        <f>EXP(-LN(2)/25)*FR69+(1-EXP(-LN(2)/25))/(LN(2)/25)*Calculateur!FM70*Calculateur!FO70*VLOOKUP('Données projet'!$B$16,Paramètres!$A$1:$I$89,3,0)*0.475*44/12</f>
        <v>1.8019034610720854</v>
      </c>
      <c r="FS70" s="21">
        <f>EXP(-LN(2)/2)*FS69+(1-EXP(-LN(2)/2))/(LN(2)/2)*FM70*FP70*VLOOKUP('Données projet'!$B$16,Paramètres!$A$1:$I$89,3,0)*0.475*44/12</f>
        <v>1.9899607542460029E-5</v>
      </c>
      <c r="FT70" s="22">
        <f t="shared" si="78"/>
        <v>1.8019233606796279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7</v>
      </c>
      <c r="N71" s="13">
        <f>IF('Données projet'!$A$36&gt;35,N70+M71-V70,IF(A71&lt;'Données projet'!$A$36,$K$205^A71,IF(A71='Données projet'!$A$36,'Données projet'!$B$36,N70+M71-V70)))</f>
        <v>249.00000000000017</v>
      </c>
      <c r="O71" s="13">
        <f>N71*VLOOKUP('Données projet'!$B$9,Paramètres!$A$1:$I$89,3,0)*VLOOKUP('Données projet'!$B$9,Paramètres!$A$1:$I$89,5,0)</f>
        <v>225.29520000000016</v>
      </c>
      <c r="P71" s="13">
        <f t="shared" si="87"/>
        <v>55.264173352293128</v>
      </c>
      <c r="Q71" s="20">
        <f t="shared" si="54"/>
        <v>488.64090858857736</v>
      </c>
      <c r="R71" s="59">
        <f t="shared" si="55"/>
        <v>781.97424192191068</v>
      </c>
      <c r="S71" s="59">
        <f ca="1">AVERAGE(OFFSET($R$3,0,0,'Données projet'!$E$9+1,1))-AVERAGE(OFFSET($H$3,0,0,'Données projet'!$E$9+1,1))</f>
        <v>237.22177246688199</v>
      </c>
      <c r="T71" s="59">
        <f t="shared" si="88"/>
        <v>149.27472147904302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0</v>
      </c>
      <c r="AA71" s="21">
        <f>EXP(-LN(2)/25)*AA70+(1-EXP(-LN(2)/25))/(LN(2)/25)*Calculateur!V71*Calculateur!X71*VLOOKUP('Données projet'!$B$9,Paramètres!$A$1:$I$89,3,0)*0.475*44/12</f>
        <v>1.0829968985390639</v>
      </c>
      <c r="AB71" s="21">
        <f>EXP(-LN(2)/2)*AB70+(1-EXP(-LN(2)/2))/(LN(2)/2)*V71*Y71*VLOOKUP('Données projet'!$B$9,Paramètres!$A$1:$I$89,3,0)*0.475*44/12</f>
        <v>1.1805244168145041E-5</v>
      </c>
      <c r="AC71" s="22">
        <f t="shared" si="57"/>
        <v>1.0830087037832321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4.3</v>
      </c>
      <c r="AI71" s="13">
        <f>IF('Données projet'!$A$62&gt;35,AI70+AH71-AQ70,IF(A71&lt;'Données projet'!$A$62,$AF$205^A71,IF(A71='Données projet'!$A$62,'Données projet'!$B$62,AI70+AH71-AQ70)))</f>
        <v>214.39999999999978</v>
      </c>
      <c r="AJ71" s="13">
        <f>AI71*VLOOKUP('Données projet'!$B$10,Paramètres!$A$1:$I$89,3,0)*VLOOKUP('Données projet'!$B$10,Paramètres!$A$1:$I$89,5,0)</f>
        <v>187.29983999999985</v>
      </c>
      <c r="AK71" s="13">
        <f t="shared" si="89"/>
        <v>46.942489429228111</v>
      </c>
      <c r="AL71" s="20">
        <f t="shared" si="58"/>
        <v>407.97205708923872</v>
      </c>
      <c r="AM71" s="59">
        <f t="shared" si="59"/>
        <v>701.30539042257203</v>
      </c>
      <c r="AN71" s="59">
        <f ca="1">AVERAGE(OFFSET($AM$3,0,0,'Données projet'!$E$10+1,1))-AVERAGE(OFFSET($H$3,0,0,'Données projet'!$E$10+1,1))</f>
        <v>191.94797389630673</v>
      </c>
      <c r="AO71" s="59">
        <f t="shared" si="90"/>
        <v>273.52540822767878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1.2130740546905756</v>
      </c>
      <c r="AV71" s="21">
        <f>EXP(-LN(2)/25)*AV70+(1-EXP(-LN(2)/25))/(LN(2)/25)*Calculateur!AQ71*Calculateur!AS71*VLOOKUP('Données projet'!$B$10,Paramètres!$A$1:$I$89,3,0)*0.475*44/12</f>
        <v>4.8983924246628332</v>
      </c>
      <c r="AW71" s="21">
        <f>EXP(-LN(2)/2)*AW70+(1-EXP(-LN(2)/2))/(LN(2)/2)*AQ71*AT71*VLOOKUP('Données projet'!$B$10,Paramètres!$A$1:$I$89,3,0)*0.475*44/12</f>
        <v>4.4256330336893796E-5</v>
      </c>
      <c r="AX71" s="21">
        <f t="shared" si="60"/>
        <v>6.1115107356837459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>
        <f>BD71*VLOOKUP('Données projet'!$B$11,Paramètres!$A$1:$I$89,3,0)*VLOOKUP('Données projet'!$B$11,Paramètres!$A$1:$I$89,5,0)</f>
        <v>0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72.647148358003676</v>
      </c>
      <c r="BJ71" s="59">
        <f t="shared" si="92"/>
        <v>87.231299224620898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0.59954066787491411</v>
      </c>
      <c r="BQ71" s="21">
        <f>EXP(-LN(2)/25)*BQ70+(1-EXP(-LN(2)/25))/(LN(2)/25)*Calculateur!BL71*Calculateur!BN71*VLOOKUP('Données projet'!$B$11,Paramètres!$A$1:$I$89,3,0)*0.475*44/12</f>
        <v>1.5799405016972816</v>
      </c>
      <c r="BR71" s="21">
        <f>EXP(-LN(2)/2)*BR70+(1-EXP(-LN(2)/2))/(LN(2)/2)*BL71*BO71*VLOOKUP('Données projet'!$B$11,Paramètres!$A$1:$I$89,3,0)*0.475*44/12</f>
        <v>4.3504640889564233E-6</v>
      </c>
      <c r="BS71" s="22">
        <f t="shared" si="63"/>
        <v>2.1794855200362848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8</v>
      </c>
      <c r="BY71" s="12">
        <f>IF('Données projet'!$A$114&gt;35,BY70+BX71-CG70,IF(A71&lt;'Données projet'!$A$114,$BV$205^A71,IF(A71='Données projet'!$A$114,'Données projet'!$B$114,BY70+BX71-CG70)))</f>
        <v>339.00000000000006</v>
      </c>
      <c r="BZ71" s="13">
        <f>BY71*VLOOKUP('Données projet'!$B$12,Paramètres!$A$1:$I$89,3,0)*VLOOKUP('Données projet'!$B$12,Paramètres!$A$1:$I$89,5,0)</f>
        <v>202.72200000000004</v>
      </c>
      <c r="CA71" s="13">
        <f t="shared" si="93"/>
        <v>50.341909475522883</v>
      </c>
      <c r="CB71" s="20">
        <f t="shared" si="64"/>
        <v>440.75297566986904</v>
      </c>
      <c r="CC71" s="59">
        <f t="shared" si="65"/>
        <v>734.08630900320236</v>
      </c>
      <c r="CD71" s="59">
        <f ca="1">AVERAGE(OFFSET($CC$3,0,0,'Données projet'!$E$12+1,1))-AVERAGE(OFFSET($H$3,0,0,'Données projet'!$E$12+1,1))</f>
        <v>165.39579887388538</v>
      </c>
      <c r="CE71" s="59">
        <f t="shared" si="94"/>
        <v>155.89639262545802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2.5416571296355466</v>
      </c>
      <c r="CM71" s="21">
        <f>EXP(-LN(2)/2)*CM70+(1-EXP(-LN(2)/2))/(LN(2)/2)*CG71*CJ71*VLOOKUP('Données projet'!$B$12,Paramètres!$A$1:$I$89,3,0)*0.475*44/12</f>
        <v>2.6474067183259872E-5</v>
      </c>
      <c r="CN71" s="22">
        <f t="shared" si="66"/>
        <v>2.5416836037027299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5.6</v>
      </c>
      <c r="CT71" s="12">
        <f>IF('Données projet'!$A$140&gt;35,CT70+CS71-DB70,IF(A71&lt;'Données projet'!$A$140,$CQ$205^A71,IF(A71='Données projet'!$A$140,'Données projet'!$B$140,CT70+CS71-DB70)))</f>
        <v>266.80000000000018</v>
      </c>
      <c r="CU71" s="17">
        <f>CT71*VLOOKUP('Données projet'!$B$13,Paramètres!$A$1:$I$89,3,0)*VLOOKUP('Données projet'!$B$13,Paramètres!$A$1:$I$89,5,0)</f>
        <v>208.10400000000016</v>
      </c>
      <c r="CV71" s="13">
        <f t="shared" si="95"/>
        <v>51.521043548930493</v>
      </c>
      <c r="CW71" s="20">
        <f t="shared" si="67"/>
        <v>452.18028418105422</v>
      </c>
      <c r="CX71" s="59">
        <f t="shared" si="68"/>
        <v>745.51361751438753</v>
      </c>
      <c r="CY71" s="59">
        <f ca="1">AVERAGE(OFFSET($CX$3,0,0,'Données projet'!$E$13+1,1))-AVERAGE(OFFSET($H$3,0,0,'Données projet'!$E$13+1,1))</f>
        <v>190.06335940156185</v>
      </c>
      <c r="CZ71" s="59">
        <f t="shared" si="96"/>
        <v>166.43663896839928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0</v>
      </c>
      <c r="DG71" s="21">
        <f>EXP(-LN(2)/25)*DG70+(1-EXP(-LN(2)/25))/(LN(2)/25)*Calculateur!DB71*Calculateur!DD71*VLOOKUP('Données projet'!$B$13,Paramètres!$A$1:$I$89,3,0)*0.475*44/12</f>
        <v>1.5573848170906477</v>
      </c>
      <c r="DH71" s="21">
        <f>EXP(-LN(2)/2)*DH70+(1-EXP(-LN(2)/2))/(LN(2)/2)*DB71*DE71*VLOOKUP('Données projet'!$B$13,Paramètres!$A$1:$I$89,3,0)*0.475*44/12</f>
        <v>1.0159299568058565E-5</v>
      </c>
      <c r="DI71" s="22">
        <f t="shared" si="69"/>
        <v>1.5573949763902157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7</v>
      </c>
      <c r="DO71" s="12">
        <f>IF('Données projet'!$A$166&gt;35,DO70+DN71-DW70,IF(A71&lt;'Données projet'!$A$166,$DL$205^A71,IF(A71='Données projet'!$A$166,'Données projet'!$B$166,DO70+DN71-DW70)))</f>
        <v>249.00000000000017</v>
      </c>
      <c r="DP71" s="17">
        <f>DO71*VLOOKUP('Données projet'!$B$14,Paramètres!$A$1:$I$89,3,0)*VLOOKUP('Données projet'!$B$14,Paramètres!$A$1:$I$89,5,0)</f>
        <v>240.83280000000019</v>
      </c>
      <c r="DQ71" s="13">
        <f t="shared" si="97"/>
        <v>58.618675319436718</v>
      </c>
      <c r="DR71" s="20">
        <f t="shared" si="70"/>
        <v>521.54465284801927</v>
      </c>
      <c r="DS71" s="59">
        <f t="shared" si="71"/>
        <v>814.87798618135253</v>
      </c>
      <c r="DT71" s="59">
        <f ca="1">AVERAGE(OFFSET($DS$3,0,0,'Données projet'!$E$14+1,1))-AVERAGE(OFFSET($H$3,0,0,'Données projet'!$E$14+1,1))</f>
        <v>261.22357949323879</v>
      </c>
      <c r="DU71" s="59">
        <f t="shared" si="98"/>
        <v>163.41029152029387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0</v>
      </c>
      <c r="EB71" s="21">
        <f>EXP(-LN(2)/25)*EB70+(1-EXP(-LN(2)/25))/(LN(2)/25)*Calculateur!DW71*Calculateur!DY71*VLOOKUP('Données projet'!$B$14,Paramètres!$A$1:$I$89,3,0)*0.475*44/12</f>
        <v>1.15768633981762</v>
      </c>
      <c r="EC71" s="21">
        <f>EXP(-LN(2)/2)*EC70+(1-EXP(-LN(2)/2))/(LN(2)/2)*DW71*DZ71*VLOOKUP('Données projet'!$B$14,Paramètres!$A$1:$I$89,3,0)*0.475*44/12</f>
        <v>1.2619398938361938E-5</v>
      </c>
      <c r="ED71" s="22">
        <f t="shared" si="72"/>
        <v>1.1576989592165583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7.5</v>
      </c>
      <c r="EJ71" s="12">
        <f>IF('Données projet'!$A$192&gt;35,EJ70+EI71-ER70,IF(A71&lt;'Données projet'!$A$192,$EG$205^A71,IF(A71='Données projet'!$A$192,'Données projet'!$B$192,EJ70+EI71-ER70)))</f>
        <v>288.79999999999995</v>
      </c>
      <c r="EK71" s="17">
        <f>EJ71*VLOOKUP('Données projet'!$B$15,Paramètres!$A$1:$I$89,3,0)*VLOOKUP('Données projet'!$B$15,Paramètres!$A$1:$I$89,5,0)</f>
        <v>135.15839999999997</v>
      </c>
      <c r="EL71" s="13">
        <f t="shared" si="99"/>
        <v>35.185601260047996</v>
      </c>
      <c r="EM71" s="20">
        <f t="shared" si="73"/>
        <v>296.68246886125024</v>
      </c>
      <c r="EN71" s="59">
        <f t="shared" si="74"/>
        <v>590.01580219458356</v>
      </c>
      <c r="EO71" s="59">
        <f ca="1">AVERAGE(OFFSET($EN$3,0,0,'Données projet'!$E$15+1,1))-AVERAGE(OFFSET($H$3,0,0,'Données projet'!$E$15+1,1))</f>
        <v>123.60520571614535</v>
      </c>
      <c r="EP71" s="59">
        <f t="shared" si="100"/>
        <v>119.00926870519527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0.40863734030716453</v>
      </c>
      <c r="EW71" s="21">
        <f>EXP(-LN(2)/25)*EW70+(1-EXP(-LN(2)/25))/(LN(2)/25)*Calculateur!ER71*Calculateur!ET71*VLOOKUP('Données projet'!$B$15,Paramètres!$A$1:$I$89,3,0)*0.475*44/12</f>
        <v>1.6655883124132027</v>
      </c>
      <c r="EX71" s="21">
        <f>EXP(-LN(2)/2)*EX70+(1-EXP(-LN(2)/2))/(LN(2)/2)*ER71*EU71*VLOOKUP('Données projet'!$B$15,Paramètres!$A$1:$I$89,3,0)*0.475*44/12</f>
        <v>1.1660977346577731E-5</v>
      </c>
      <c r="EY71" s="22">
        <f t="shared" si="75"/>
        <v>2.0742373136977137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3.2</v>
      </c>
      <c r="FE71" s="12">
        <f>IF('Données projet'!$A$218&gt;35,FE70+FD71-FM70,IF(A71&lt;'Données projet'!$A$218,$FB$205^A71,IF(A71='Données projet'!$A$218,'Données projet'!$B$218,FE70+FD71-FM70)))</f>
        <v>210.59999999999994</v>
      </c>
      <c r="FF71" s="17">
        <f>FE71*VLOOKUP('Données projet'!$B$16,Paramètres!$A$1:$I$89,3,0)*VLOOKUP('Données projet'!$B$16,Paramètres!$A$1:$I$89,5,0)</f>
        <v>154.41191999999995</v>
      </c>
      <c r="FG71" s="13">
        <f t="shared" si="101"/>
        <v>39.579512453354198</v>
      </c>
      <c r="FH71" s="20">
        <f t="shared" si="76"/>
        <v>337.8684115229251</v>
      </c>
      <c r="FI71" s="59">
        <f t="shared" si="77"/>
        <v>631.20174485625841</v>
      </c>
      <c r="FJ71" s="59">
        <f ca="1">AVERAGE(OFFSET($FI$3,0,0,'Données projet'!$E$16+1,1))-AVERAGE(OFFSET($H$3,0,0,'Données projet'!$E$16+1,1))</f>
        <v>124.15919323713428</v>
      </c>
      <c r="FK71" s="59">
        <f t="shared" si="102"/>
        <v>157.85954678210715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0</v>
      </c>
      <c r="FR71" s="21">
        <f>EXP(-LN(2)/25)*FR70+(1-EXP(-LN(2)/25))/(LN(2)/25)*Calculateur!FM71*Calculateur!FO71*VLOOKUP('Données projet'!$B$16,Paramètres!$A$1:$I$89,3,0)*0.475*44/12</f>
        <v>1.7526303161710846</v>
      </c>
      <c r="FS71" s="21">
        <f>EXP(-LN(2)/2)*FS70+(1-EXP(-LN(2)/2))/(LN(2)/2)*FM71*FP71*VLOOKUP('Données projet'!$B$16,Paramètres!$A$1:$I$89,3,0)*0.475*44/12</f>
        <v>1.4071147436224455E-5</v>
      </c>
      <c r="FT71" s="22">
        <f t="shared" si="78"/>
        <v>1.7526443873185207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7</v>
      </c>
      <c r="N72" s="13">
        <f>IF('Données projet'!$A$36&gt;35,N71+M72-V71,IF(A72&lt;'Données projet'!$A$36,$K$205^A72,IF(A72='Données projet'!$A$36,'Données projet'!$B$36,N71+M72-V71)))</f>
        <v>256.00000000000017</v>
      </c>
      <c r="O72" s="13">
        <f>N72*VLOOKUP('Données projet'!$B$9,Paramètres!$A$1:$I$89,3,0)*VLOOKUP('Données projet'!$B$9,Paramètres!$A$1:$I$89,5,0)</f>
        <v>231.62880000000013</v>
      </c>
      <c r="P72" s="13">
        <f t="shared" si="87"/>
        <v>56.63472139815827</v>
      </c>
      <c r="Q72" s="20">
        <f t="shared" si="54"/>
        <v>502.0589664351258</v>
      </c>
      <c r="R72" s="59">
        <f t="shared" si="55"/>
        <v>795.39229976845911</v>
      </c>
      <c r="S72" s="59">
        <f ca="1">AVERAGE(OFFSET($R$3,0,0,'Données projet'!$E$9+1,1))-AVERAGE(OFFSET($H$3,0,0,'Données projet'!$E$9+1,1))</f>
        <v>237.22177246688199</v>
      </c>
      <c r="T72" s="59">
        <f t="shared" si="88"/>
        <v>149.27472147904302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0</v>
      </c>
      <c r="AA72" s="21">
        <f>EXP(-LN(2)/25)*AA71+(1-EXP(-LN(2)/25))/(LN(2)/25)*Calculateur!V72*Calculateur!X72*VLOOKUP('Données projet'!$B$9,Paramètres!$A$1:$I$89,3,0)*0.475*44/12</f>
        <v>1.0533822913961814</v>
      </c>
      <c r="AB72" s="21">
        <f>EXP(-LN(2)/2)*AB71+(1-EXP(-LN(2)/2))/(LN(2)/2)*V72*Y72*VLOOKUP('Données projet'!$B$9,Paramètres!$A$1:$I$89,3,0)*0.475*44/12</f>
        <v>8.3475682048583016E-6</v>
      </c>
      <c r="AC72" s="22">
        <f t="shared" si="57"/>
        <v>1.0533906389643863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4.3</v>
      </c>
      <c r="AI72" s="13">
        <f>IF('Données projet'!$A$62&gt;35,AI71+AH72-AQ71,IF(A72&lt;'Données projet'!$A$62,$AF$205^A72,IF(A72='Données projet'!$A$62,'Données projet'!$B$62,AI71+AH72-AQ71)))</f>
        <v>218.69999999999979</v>
      </c>
      <c r="AJ72" s="13">
        <f>AI72*VLOOKUP('Données projet'!$B$10,Paramètres!$A$1:$I$89,3,0)*VLOOKUP('Données projet'!$B$10,Paramètres!$A$1:$I$89,5,0)</f>
        <v>191.05631999999983</v>
      </c>
      <c r="AK72" s="13">
        <f t="shared" si="89"/>
        <v>47.773414796152679</v>
      </c>
      <c r="AL72" s="20">
        <f t="shared" si="58"/>
        <v>415.96178810329894</v>
      </c>
      <c r="AM72" s="59">
        <f t="shared" si="59"/>
        <v>709.29512143663226</v>
      </c>
      <c r="AN72" s="59">
        <f ca="1">AVERAGE(OFFSET($AM$3,0,0,'Données projet'!$E$10+1,1))-AVERAGE(OFFSET($H$3,0,0,'Données projet'!$E$10+1,1))</f>
        <v>191.94797389630673</v>
      </c>
      <c r="AO72" s="59">
        <f t="shared" si="90"/>
        <v>273.52540822767878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1.1892864123802076</v>
      </c>
      <c r="AV72" s="21">
        <f>EXP(-LN(2)/25)*AV71+(1-EXP(-LN(2)/25))/(LN(2)/25)*Calculateur!AQ72*Calculateur!AS72*VLOOKUP('Données projet'!$B$10,Paramètres!$A$1:$I$89,3,0)*0.475*44/12</f>
        <v>4.7644456262151662</v>
      </c>
      <c r="AW72" s="21">
        <f>EXP(-LN(2)/2)*AW71+(1-EXP(-LN(2)/2))/(LN(2)/2)*AQ72*AT72*VLOOKUP('Données projet'!$B$10,Paramètres!$A$1:$I$89,3,0)*0.475*44/12</f>
        <v>3.1293951291649525E-5</v>
      </c>
      <c r="AX72" s="21">
        <f t="shared" si="60"/>
        <v>5.9537633325466652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>
        <f>BD72*VLOOKUP('Données projet'!$B$11,Paramètres!$A$1:$I$89,3,0)*VLOOKUP('Données projet'!$B$11,Paramètres!$A$1:$I$89,5,0)</f>
        <v>0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72.647148358003676</v>
      </c>
      <c r="BJ72" s="59">
        <f t="shared" si="92"/>
        <v>87.231299224620898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0.58778404106158622</v>
      </c>
      <c r="BQ72" s="21">
        <f>EXP(-LN(2)/25)*BQ71+(1-EXP(-LN(2)/25))/(LN(2)/25)*Calculateur!BL72*Calculateur!BN72*VLOOKUP('Données projet'!$B$11,Paramètres!$A$1:$I$89,3,0)*0.475*44/12</f>
        <v>1.5367369455929094</v>
      </c>
      <c r="BR72" s="21">
        <f>EXP(-LN(2)/2)*BR71+(1-EXP(-LN(2)/2))/(LN(2)/2)*BL72*BO72*VLOOKUP('Données projet'!$B$11,Paramètres!$A$1:$I$89,3,0)*0.475*44/12</f>
        <v>3.0762426586096425E-6</v>
      </c>
      <c r="BS72" s="22">
        <f t="shared" si="63"/>
        <v>2.1245240628971542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8</v>
      </c>
      <c r="BY72" s="12">
        <f>IF('Données projet'!$A$114&gt;35,BY71+BX72-CG71,IF(A72&lt;'Données projet'!$A$114,$BV$205^A72,IF(A72='Données projet'!$A$114,'Données projet'!$B$114,BY71+BX72-CG71)))</f>
        <v>347.00000000000006</v>
      </c>
      <c r="BZ72" s="13">
        <f>BY72*VLOOKUP('Données projet'!$B$12,Paramètres!$A$1:$I$89,3,0)*VLOOKUP('Données projet'!$B$12,Paramètres!$A$1:$I$89,5,0)</f>
        <v>207.50600000000006</v>
      </c>
      <c r="CA72" s="13">
        <f t="shared" si="93"/>
        <v>51.3902055726969</v>
      </c>
      <c r="CB72" s="20">
        <f t="shared" si="64"/>
        <v>450.91089137244717</v>
      </c>
      <c r="CC72" s="59">
        <f t="shared" si="65"/>
        <v>744.24422470578043</v>
      </c>
      <c r="CD72" s="59">
        <f ca="1">AVERAGE(OFFSET($CC$3,0,0,'Données projet'!$E$12+1,1))-AVERAGE(OFFSET($H$3,0,0,'Données projet'!$E$12+1,1))</f>
        <v>165.39579887388538</v>
      </c>
      <c r="CE72" s="59">
        <f t="shared" si="94"/>
        <v>155.89639262545802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2.4721553817657234</v>
      </c>
      <c r="CM72" s="21">
        <f>EXP(-LN(2)/2)*CM71+(1-EXP(-LN(2)/2))/(LN(2)/2)*CG72*CJ72*VLOOKUP('Données projet'!$B$12,Paramètres!$A$1:$I$89,3,0)*0.475*44/12</f>
        <v>1.8719992430871296E-5</v>
      </c>
      <c r="CN72" s="22">
        <f t="shared" si="66"/>
        <v>2.4721741017581542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5.6</v>
      </c>
      <c r="CT72" s="12">
        <f>IF('Données projet'!$A$140&gt;35,CT71+CS72-DB71,IF(A72&lt;'Données projet'!$A$140,$CQ$205^A72,IF(A72='Données projet'!$A$140,'Données projet'!$B$140,CT71+CS72-DB71)))</f>
        <v>272.4000000000002</v>
      </c>
      <c r="CU72" s="17">
        <f>CT72*VLOOKUP('Données projet'!$B$13,Paramètres!$A$1:$I$89,3,0)*VLOOKUP('Données projet'!$B$13,Paramètres!$A$1:$I$89,5,0)</f>
        <v>212.47200000000018</v>
      </c>
      <c r="CV72" s="13">
        <f t="shared" si="95"/>
        <v>52.475411418566573</v>
      </c>
      <c r="CW72" s="20">
        <f t="shared" si="67"/>
        <v>461.450074887337</v>
      </c>
      <c r="CX72" s="59">
        <f t="shared" si="68"/>
        <v>754.78340822067025</v>
      </c>
      <c r="CY72" s="59">
        <f ca="1">AVERAGE(OFFSET($CX$3,0,0,'Données projet'!$E$13+1,1))-AVERAGE(OFFSET($H$3,0,0,'Données projet'!$E$13+1,1))</f>
        <v>190.06335940156185</v>
      </c>
      <c r="CZ72" s="59">
        <f t="shared" si="96"/>
        <v>166.43663896839928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0</v>
      </c>
      <c r="DG72" s="21">
        <f>EXP(-LN(2)/25)*DG71+(1-EXP(-LN(2)/25))/(LN(2)/25)*Calculateur!DB72*Calculateur!DD72*VLOOKUP('Données projet'!$B$13,Paramètres!$A$1:$I$89,3,0)*0.475*44/12</f>
        <v>1.5147980473679958</v>
      </c>
      <c r="DH72" s="21">
        <f>EXP(-LN(2)/2)*DH71+(1-EXP(-LN(2)/2))/(LN(2)/2)*DB72*DE72*VLOOKUP('Données projet'!$B$13,Paramètres!$A$1:$I$89,3,0)*0.475*44/12</f>
        <v>7.1837096166797749E-6</v>
      </c>
      <c r="DI72" s="22">
        <f t="shared" si="69"/>
        <v>1.5148052310776126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7</v>
      </c>
      <c r="DO72" s="12">
        <f>IF('Données projet'!$A$166&gt;35,DO71+DN72-DW71,IF(A72&lt;'Données projet'!$A$166,$DL$205^A72,IF(A72='Données projet'!$A$166,'Données projet'!$B$166,DO71+DN72-DW71)))</f>
        <v>256.00000000000017</v>
      </c>
      <c r="DP72" s="17">
        <f>DO72*VLOOKUP('Données projet'!$B$14,Paramètres!$A$1:$I$89,3,0)*VLOOKUP('Données projet'!$B$14,Paramètres!$A$1:$I$89,5,0)</f>
        <v>247.60320000000019</v>
      </c>
      <c r="DQ72" s="13">
        <f t="shared" si="97"/>
        <v>60.072414804475471</v>
      </c>
      <c r="DR72" s="20">
        <f t="shared" si="70"/>
        <v>535.86836245112841</v>
      </c>
      <c r="DS72" s="59">
        <f t="shared" si="71"/>
        <v>829.20169578446166</v>
      </c>
      <c r="DT72" s="59">
        <f ca="1">AVERAGE(OFFSET($DS$3,0,0,'Données projet'!$E$14+1,1))-AVERAGE(OFFSET($H$3,0,0,'Données projet'!$E$14+1,1))</f>
        <v>261.22357949323879</v>
      </c>
      <c r="DU72" s="59">
        <f t="shared" si="98"/>
        <v>163.41029152029387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0</v>
      </c>
      <c r="EB72" s="21">
        <f>EXP(-LN(2)/25)*EB71+(1-EXP(-LN(2)/25))/(LN(2)/25)*Calculateur!DW72*Calculateur!DY72*VLOOKUP('Données projet'!$B$14,Paramètres!$A$1:$I$89,3,0)*0.475*44/12</f>
        <v>1.1260293459752286</v>
      </c>
      <c r="EC72" s="21">
        <f>EXP(-LN(2)/2)*EC71+(1-EXP(-LN(2)/2))/(LN(2)/2)*DW72*DZ72*VLOOKUP('Données projet'!$B$14,Paramètres!$A$1:$I$89,3,0)*0.475*44/12</f>
        <v>8.9232625638140448E-6</v>
      </c>
      <c r="ED72" s="22">
        <f t="shared" si="72"/>
        <v>1.1260382692377924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7.5</v>
      </c>
      <c r="EJ72" s="12">
        <f>IF('Données projet'!$A$192&gt;35,EJ71+EI72-ER71,IF(A72&lt;'Données projet'!$A$192,$EG$205^A72,IF(A72='Données projet'!$A$192,'Données projet'!$B$192,EJ71+EI72-ER71)))</f>
        <v>296.29999999999995</v>
      </c>
      <c r="EK72" s="17">
        <f>EJ72*VLOOKUP('Données projet'!$B$15,Paramètres!$A$1:$I$89,3,0)*VLOOKUP('Données projet'!$B$15,Paramètres!$A$1:$I$89,5,0)</f>
        <v>138.66839999999996</v>
      </c>
      <c r="EL72" s="13">
        <f t="shared" si="99"/>
        <v>35.991785167697529</v>
      </c>
      <c r="EM72" s="20">
        <f t="shared" si="73"/>
        <v>304.19982250040647</v>
      </c>
      <c r="EN72" s="59">
        <f t="shared" si="74"/>
        <v>597.53315583373978</v>
      </c>
      <c r="EO72" s="59">
        <f ca="1">AVERAGE(OFFSET($EN$3,0,0,'Données projet'!$E$15+1,1))-AVERAGE(OFFSET($H$3,0,0,'Données projet'!$E$15+1,1))</f>
        <v>123.60520571614535</v>
      </c>
      <c r="EP72" s="59">
        <f t="shared" si="100"/>
        <v>119.00926870519527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0.40062421130790782</v>
      </c>
      <c r="EW72" s="21">
        <f>EXP(-LN(2)/25)*EW71+(1-EXP(-LN(2)/25))/(LN(2)/25)*Calculateur!ER72*Calculateur!ET72*VLOOKUP('Données projet'!$B$15,Paramètres!$A$1:$I$89,3,0)*0.475*44/12</f>
        <v>1.620042712420781</v>
      </c>
      <c r="EX72" s="21">
        <f>EXP(-LN(2)/2)*EX71+(1-EXP(-LN(2)/2))/(LN(2)/2)*ER72*EU72*VLOOKUP('Données projet'!$B$15,Paramètres!$A$1:$I$89,3,0)*0.475*44/12</f>
        <v>8.2455561570278271E-6</v>
      </c>
      <c r="EY72" s="22">
        <f t="shared" si="75"/>
        <v>2.0206751692848459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3.2</v>
      </c>
      <c r="FE72" s="12">
        <f>IF('Données projet'!$A$218&gt;35,FE71+FD72-FM71,IF(A72&lt;'Données projet'!$A$218,$FB$205^A72,IF(A72='Données projet'!$A$218,'Données projet'!$B$218,FE71+FD72-FM71)))</f>
        <v>213.79999999999993</v>
      </c>
      <c r="FF72" s="17">
        <f>FE72*VLOOKUP('Données projet'!$B$16,Paramètres!$A$1:$I$89,3,0)*VLOOKUP('Données projet'!$B$16,Paramètres!$A$1:$I$89,5,0)</f>
        <v>156.75815999999995</v>
      </c>
      <c r="FG72" s="13">
        <f t="shared" si="101"/>
        <v>40.110440521385584</v>
      </c>
      <c r="FH72" s="20">
        <f t="shared" si="76"/>
        <v>342.87947924141309</v>
      </c>
      <c r="FI72" s="59">
        <f t="shared" si="77"/>
        <v>636.21281257474641</v>
      </c>
      <c r="FJ72" s="59">
        <f ca="1">AVERAGE(OFFSET($FI$3,0,0,'Données projet'!$E$16+1,1))-AVERAGE(OFFSET($H$3,0,0,'Données projet'!$E$16+1,1))</f>
        <v>124.15919323713428</v>
      </c>
      <c r="FK72" s="59">
        <f t="shared" si="102"/>
        <v>157.85954678210715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0</v>
      </c>
      <c r="FR72" s="21">
        <f>EXP(-LN(2)/25)*FR71+(1-EXP(-LN(2)/25))/(LN(2)/25)*Calculateur!FM72*Calculateur!FO72*VLOOKUP('Données projet'!$B$16,Paramètres!$A$1:$I$89,3,0)*0.475*44/12</f>
        <v>1.7047045480085636</v>
      </c>
      <c r="FS72" s="21">
        <f>EXP(-LN(2)/2)*FS71+(1-EXP(-LN(2)/2))/(LN(2)/2)*FM72*FP72*VLOOKUP('Données projet'!$B$16,Paramètres!$A$1:$I$89,3,0)*0.475*44/12</f>
        <v>9.9498037712300146E-6</v>
      </c>
      <c r="FT72" s="22">
        <f t="shared" si="78"/>
        <v>1.704714497812335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263</v>
      </c>
      <c r="L73" s="12">
        <f>VLOOKUP(A73,'Données projet'!$A$35:$I$55,9,0)</f>
        <v>7</v>
      </c>
      <c r="M73" s="12">
        <f t="array" ref="M73">INDEX(L:L,MIN(IF(ISNUMBER(L73:L269),ROW(L73:L269),"")))</f>
        <v>7</v>
      </c>
      <c r="N73" s="13">
        <f>IF('Données projet'!$A$36&gt;35,N72+M73-V72,IF(A73&lt;'Données projet'!$A$36,$K$205^A73,IF(A73='Données projet'!$A$36,'Données projet'!$B$36,N72+M73-V72)))</f>
        <v>263.00000000000017</v>
      </c>
      <c r="O73" s="13">
        <f>N73*VLOOKUP('Données projet'!$B$9,Paramètres!$A$1:$I$89,3,0)*VLOOKUP('Données projet'!$B$9,Paramètres!$A$1:$I$89,5,0)</f>
        <v>237.96240000000012</v>
      </c>
      <c r="P73" s="13">
        <f t="shared" si="87"/>
        <v>58.000913607663399</v>
      </c>
      <c r="Q73" s="20">
        <f t="shared" si="54"/>
        <v>515.46943786668055</v>
      </c>
      <c r="R73" s="59">
        <f t="shared" si="55"/>
        <v>808.80277120001392</v>
      </c>
      <c r="S73" s="59">
        <f ca="1">AVERAGE(OFFSET($R$3,0,0,'Données projet'!$E$9+1,1))-AVERAGE(OFFSET($H$3,0,0,'Données projet'!$E$9+1,1))</f>
        <v>237.22177246688199</v>
      </c>
      <c r="T73" s="59">
        <f t="shared" si="88"/>
        <v>149.27472147904302</v>
      </c>
      <c r="U73" s="15">
        <f>IF(ISNA(VLOOKUP(A73,'Données projet'!$A$35:$I$55,3,0)),0,VLOOKUP(A73,'Données projet'!$A$35:$I$55,3,0))</f>
        <v>5</v>
      </c>
      <c r="V73" s="15">
        <f>IF(ISNA(VLOOKUP(A73,'Données projet'!$A$35:$I$55,4,0)),0,VLOOKUP(A73,'Données projet'!$A$35:$I$55,4,0))</f>
        <v>42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0</v>
      </c>
      <c r="AA73" s="21">
        <f>EXP(-LN(2)/25)*AA72+(1-EXP(-LN(2)/25))/(LN(2)/25)*Calculateur!V73*Calculateur!X73*VLOOKUP('Données projet'!$B$9,Paramètres!$A$1:$I$89,3,0)*0.475*44/12</f>
        <v>1.0245774972429857</v>
      </c>
      <c r="AB73" s="21">
        <f>EXP(-LN(2)/2)*AB72+(1-EXP(-LN(2)/2))/(LN(2)/2)*V73*Y73*VLOOKUP('Données projet'!$B$9,Paramètres!$A$1:$I$89,3,0)*0.475*44/12</f>
        <v>5.9026220840725205E-6</v>
      </c>
      <c r="AC73" s="22">
        <f t="shared" si="57"/>
        <v>1.0245833998650697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223</v>
      </c>
      <c r="AG73" s="12">
        <f>VLOOKUP(A73,'Données projet'!$A$61:$I$81,9,0)</f>
        <v>4.3</v>
      </c>
      <c r="AH73" s="12">
        <f t="array" ref="AH73">INDEX(AG:AG,MIN(IF(ISNUMBER(AG73:AG269),ROW(AG73:AG269),"")))</f>
        <v>4.3</v>
      </c>
      <c r="AI73" s="13">
        <f>IF('Données projet'!$A$62&gt;35,AI72+AH73-AQ72,IF(A73&lt;'Données projet'!$A$62,$AF$205^A73,IF(A73='Données projet'!$A$62,'Données projet'!$B$62,AI72+AH73-AQ72)))</f>
        <v>222.9999999999998</v>
      </c>
      <c r="AJ73" s="13">
        <f>AI73*VLOOKUP('Données projet'!$B$10,Paramètres!$A$1:$I$89,3,0)*VLOOKUP('Données projet'!$B$10,Paramètres!$A$1:$I$89,5,0)</f>
        <v>194.81279999999984</v>
      </c>
      <c r="AK73" s="13">
        <f t="shared" si="89"/>
        <v>48.602440540253809</v>
      </c>
      <c r="AL73" s="20">
        <f t="shared" si="58"/>
        <v>423.94821060760842</v>
      </c>
      <c r="AM73" s="59">
        <f t="shared" si="59"/>
        <v>717.28154394094167</v>
      </c>
      <c r="AN73" s="59">
        <f ca="1">AVERAGE(OFFSET($AM$3,0,0,'Données projet'!$E$10+1,1))-AVERAGE(OFFSET($H$3,0,0,'Données projet'!$E$10+1,1))</f>
        <v>191.94797389630673</v>
      </c>
      <c r="AO73" s="59">
        <f t="shared" si="90"/>
        <v>273.52540822767878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32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1.1659652312265167</v>
      </c>
      <c r="AV73" s="21">
        <f>EXP(-LN(2)/25)*AV72+(1-EXP(-LN(2)/25))/(LN(2)/25)*Calculateur!AQ73*Calculateur!AS73*VLOOKUP('Données projet'!$B$10,Paramètres!$A$1:$I$89,3,0)*0.475*44/12</f>
        <v>4.6341616100150063</v>
      </c>
      <c r="AW73" s="21">
        <f>EXP(-LN(2)/2)*AW72+(1-EXP(-LN(2)/2))/(LN(2)/2)*AQ73*AT73*VLOOKUP('Données projet'!$B$10,Paramètres!$A$1:$I$89,3,0)*0.475*44/12</f>
        <v>2.2128165168446898E-5</v>
      </c>
      <c r="AX73" s="21">
        <f t="shared" si="60"/>
        <v>5.8001489694066919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>
        <f>BD73*VLOOKUP('Données projet'!$B$11,Paramètres!$A$1:$I$89,3,0)*VLOOKUP('Données projet'!$B$11,Paramètres!$A$1:$I$89,5,0)</f>
        <v>0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72.647148358003676</v>
      </c>
      <c r="BJ73" s="59">
        <f t="shared" si="92"/>
        <v>87.231299224620898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0.57625795452923334</v>
      </c>
      <c r="BQ73" s="21">
        <f>EXP(-LN(2)/25)*BQ72+(1-EXP(-LN(2)/25))/(LN(2)/25)*Calculateur!BL73*Calculateur!BN73*VLOOKUP('Données projet'!$B$11,Paramètres!$A$1:$I$89,3,0)*0.475*44/12</f>
        <v>1.4947147930021876</v>
      </c>
      <c r="BR73" s="21">
        <f>EXP(-LN(2)/2)*BR72+(1-EXP(-LN(2)/2))/(LN(2)/2)*BL73*BO73*VLOOKUP('Données projet'!$B$11,Paramètres!$A$1:$I$89,3,0)*0.475*44/12</f>
        <v>2.1752320444782116E-6</v>
      </c>
      <c r="BS73" s="22">
        <f t="shared" si="63"/>
        <v>2.0709749227634653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355</v>
      </c>
      <c r="BW73" s="12">
        <f>VLOOKUP(A73,'Données projet'!$A$113:$I$133,9,0)</f>
        <v>8</v>
      </c>
      <c r="BX73" s="12">
        <f t="array" ref="BX73">INDEX(BW:BW,MIN(IF(ISNUMBER(BW73:BW269),ROW(BW73:BW269),"")))</f>
        <v>8</v>
      </c>
      <c r="BY73" s="12">
        <f>IF('Données projet'!$A$114&gt;35,BY72+BX73-CG72,IF(A73&lt;'Données projet'!$A$114,$BV$205^A73,IF(A73='Données projet'!$A$114,'Données projet'!$B$114,BY72+BX73-CG72)))</f>
        <v>355.00000000000006</v>
      </c>
      <c r="BZ73" s="13">
        <f>BY73*VLOOKUP('Données projet'!$B$12,Paramètres!$A$1:$I$89,3,0)*VLOOKUP('Données projet'!$B$12,Paramètres!$A$1:$I$89,5,0)</f>
        <v>212.29000000000005</v>
      </c>
      <c r="CA73" s="13">
        <f t="shared" si="93"/>
        <v>52.435691998503984</v>
      </c>
      <c r="CB73" s="20">
        <f t="shared" si="64"/>
        <v>461.06391356406112</v>
      </c>
      <c r="CC73" s="59">
        <f t="shared" si="65"/>
        <v>754.39724689739444</v>
      </c>
      <c r="CD73" s="59">
        <f ca="1">AVERAGE(OFFSET($CC$3,0,0,'Données projet'!$E$12+1,1))-AVERAGE(OFFSET($H$3,0,0,'Données projet'!$E$12+1,1))</f>
        <v>165.39579887388538</v>
      </c>
      <c r="CE73" s="59">
        <f t="shared" si="94"/>
        <v>155.89639262545802</v>
      </c>
      <c r="CF73" s="15">
        <f>IF(ISNA(VLOOKUP(A73,'Données projet'!$A$113:$I$133,3,0)),0,VLOOKUP(A73,'Données projet'!$A$113:$I$133,3,0))</f>
        <v>5</v>
      </c>
      <c r="CG73" s="15">
        <f>IF(ISNA(VLOOKUP(A73,'Données projet'!$A$113:$I$133,4,0)),0,VLOOKUP(A73,'Données projet'!$A$113:$I$133,4,0))</f>
        <v>38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2.4045541628463383</v>
      </c>
      <c r="CM73" s="21">
        <f>EXP(-LN(2)/2)*CM72+(1-EXP(-LN(2)/2))/(LN(2)/2)*CG73*CJ73*VLOOKUP('Données projet'!$B$12,Paramètres!$A$1:$I$89,3,0)*0.475*44/12</f>
        <v>1.3237033591629936E-5</v>
      </c>
      <c r="CN73" s="22">
        <f t="shared" si="66"/>
        <v>2.4045673998799297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5.6</v>
      </c>
      <c r="CT73" s="12">
        <f>IF('Données projet'!$A$140&gt;35,CT72+CS73-DB72,IF(A73&lt;'Données projet'!$A$140,$CQ$205^A73,IF(A73='Données projet'!$A$140,'Données projet'!$B$140,CT72+CS73-DB72)))</f>
        <v>278.00000000000023</v>
      </c>
      <c r="CU73" s="17">
        <f>CT73*VLOOKUP('Données projet'!$B$13,Paramètres!$A$1:$I$89,3,0)*VLOOKUP('Données projet'!$B$13,Paramètres!$A$1:$I$89,5,0)</f>
        <v>216.84000000000017</v>
      </c>
      <c r="CV73" s="13">
        <f t="shared" si="95"/>
        <v>53.427498092567987</v>
      </c>
      <c r="CW73" s="20">
        <f t="shared" si="67"/>
        <v>470.71589251122288</v>
      </c>
      <c r="CX73" s="59">
        <f t="shared" si="68"/>
        <v>764.04922584455619</v>
      </c>
      <c r="CY73" s="59">
        <f ca="1">AVERAGE(OFFSET($CX$3,0,0,'Données projet'!$E$13+1,1))-AVERAGE(OFFSET($H$3,0,0,'Données projet'!$E$13+1,1))</f>
        <v>190.06335940156185</v>
      </c>
      <c r="CZ73" s="59">
        <f t="shared" si="96"/>
        <v>166.43663896839928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0</v>
      </c>
      <c r="DG73" s="21">
        <f>EXP(-LN(2)/25)*DG72+(1-EXP(-LN(2)/25))/(LN(2)/25)*Calculateur!DB73*Calculateur!DD73*VLOOKUP('Données projet'!$B$13,Paramètres!$A$1:$I$89,3,0)*0.475*44/12</f>
        <v>1.4733758151029508</v>
      </c>
      <c r="DH73" s="21">
        <f>EXP(-LN(2)/2)*DH72+(1-EXP(-LN(2)/2))/(LN(2)/2)*DB73*DE73*VLOOKUP('Données projet'!$B$13,Paramètres!$A$1:$I$89,3,0)*0.475*44/12</f>
        <v>5.0796497840292834E-6</v>
      </c>
      <c r="DI73" s="22">
        <f t="shared" si="69"/>
        <v>1.4733808947527349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263</v>
      </c>
      <c r="DM73" s="12">
        <f>VLOOKUP(A73,'Données projet'!$A$165:$I$185,9,0)</f>
        <v>7</v>
      </c>
      <c r="DN73" s="12">
        <f t="array" ref="DN73">INDEX(DM:DM,MIN(IF(ISNUMBER(DM73:DM269),ROW(DM73:DM269),"")))</f>
        <v>7</v>
      </c>
      <c r="DO73" s="12">
        <f>IF('Données projet'!$A$166&gt;35,DO72+DN73-DW72,IF(A73&lt;'Données projet'!$A$166,$DL$205^A73,IF(A73='Données projet'!$A$166,'Données projet'!$B$166,DO72+DN73-DW72)))</f>
        <v>263.00000000000017</v>
      </c>
      <c r="DP73" s="17">
        <f>DO73*VLOOKUP('Données projet'!$B$14,Paramètres!$A$1:$I$89,3,0)*VLOOKUP('Données projet'!$B$14,Paramètres!$A$1:$I$89,5,0)</f>
        <v>254.37360000000018</v>
      </c>
      <c r="DQ73" s="13">
        <f t="shared" si="97"/>
        <v>61.521534056516209</v>
      </c>
      <c r="DR73" s="20">
        <f t="shared" si="70"/>
        <v>550.18402514843262</v>
      </c>
      <c r="DS73" s="59">
        <f t="shared" si="71"/>
        <v>843.517358481766</v>
      </c>
      <c r="DT73" s="59">
        <f ca="1">AVERAGE(OFFSET($DS$3,0,0,'Données projet'!$E$14+1,1))-AVERAGE(OFFSET($H$3,0,0,'Données projet'!$E$14+1,1))</f>
        <v>261.22357949323879</v>
      </c>
      <c r="DU73" s="59">
        <f t="shared" si="98"/>
        <v>163.41029152029387</v>
      </c>
      <c r="DV73" s="15">
        <f>IF(ISNA(VLOOKUP(A73,'Données projet'!$A$165:$I$185,3,0)),0,VLOOKUP(A73,'Données projet'!$A$165:$I$185,3,0))</f>
        <v>5</v>
      </c>
      <c r="DW73" s="15">
        <f>IF(ISNA(VLOOKUP(A73,'Données projet'!$A$165:$I$185,4,0)),0,VLOOKUP(A73,'Données projet'!$A$165:$I$185,4,0))</f>
        <v>42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0</v>
      </c>
      <c r="EB73" s="21">
        <f>EXP(-LN(2)/25)*EB72+(1-EXP(-LN(2)/25))/(LN(2)/25)*Calculateur!DW73*Calculateur!DY73*VLOOKUP('Données projet'!$B$14,Paramètres!$A$1:$I$89,3,0)*0.475*44/12</f>
        <v>1.0952380142942262</v>
      </c>
      <c r="EC73" s="21">
        <f>EXP(-LN(2)/2)*EC72+(1-EXP(-LN(2)/2))/(LN(2)/2)*DW73*DZ73*VLOOKUP('Données projet'!$B$14,Paramètres!$A$1:$I$89,3,0)*0.475*44/12</f>
        <v>6.309699469180969E-6</v>
      </c>
      <c r="ED73" s="22">
        <f t="shared" si="72"/>
        <v>1.0952443239936953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303.8</v>
      </c>
      <c r="EH73" s="12">
        <f>VLOOKUP(A73,'Données projet'!$A$191:$I$211,9,0)</f>
        <v>7.5</v>
      </c>
      <c r="EI73" s="12">
        <f t="array" ref="EI73">INDEX(EH:EH,MIN(IF(ISNUMBER(EH73:EH269),ROW(EH73:EH269),"")))</f>
        <v>7.5</v>
      </c>
      <c r="EJ73" s="12">
        <f>IF('Données projet'!$A$192&gt;35,EJ72+EI73-ER72,IF(A73&lt;'Données projet'!$A$192,$EG$205^A73,IF(A73='Données projet'!$A$192,'Données projet'!$B$192,EJ72+EI73-ER72)))</f>
        <v>303.79999999999995</v>
      </c>
      <c r="EK73" s="17">
        <f>EJ73*VLOOKUP('Données projet'!$B$15,Paramètres!$A$1:$I$89,3,0)*VLOOKUP('Données projet'!$B$15,Paramètres!$A$1:$I$89,5,0)</f>
        <v>142.17839999999998</v>
      </c>
      <c r="EL73" s="13">
        <f t="shared" si="99"/>
        <v>36.795597013009356</v>
      </c>
      <c r="EM73" s="20">
        <f t="shared" si="73"/>
        <v>311.71304479765791</v>
      </c>
      <c r="EN73" s="59">
        <f t="shared" si="74"/>
        <v>605.04637813099123</v>
      </c>
      <c r="EO73" s="59">
        <f ca="1">AVERAGE(OFFSET($EN$3,0,0,'Données projet'!$E$15+1,1))-AVERAGE(OFFSET($H$3,0,0,'Données projet'!$E$15+1,1))</f>
        <v>123.60520571614535</v>
      </c>
      <c r="EP73" s="59">
        <f t="shared" si="100"/>
        <v>119.00926870519527</v>
      </c>
      <c r="EQ73" s="15">
        <f>IF(ISNA(VLOOKUP(A73,'Données projet'!$A$191:$I$211,3,0)),0,VLOOKUP(A73,'Données projet'!$A$191:$I$211,3,0))</f>
        <v>6</v>
      </c>
      <c r="ER73" s="15">
        <f>IF(ISNA(VLOOKUP(A73,'Données projet'!$A$191:$I$211,4,0)),0,VLOOKUP(A73,'Données projet'!$A$191:$I$211,4,0))</f>
        <v>46.3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0.39276821488080044</v>
      </c>
      <c r="EW73" s="21">
        <f>EXP(-LN(2)/25)*EW72+(1-EXP(-LN(2)/25))/(LN(2)/25)*Calculateur!ER73*Calculateur!ET73*VLOOKUP('Données projet'!$B$15,Paramètres!$A$1:$I$89,3,0)*0.475*44/12</f>
        <v>1.5757425592552912</v>
      </c>
      <c r="EX73" s="21">
        <f>EXP(-LN(2)/2)*EX72+(1-EXP(-LN(2)/2))/(LN(2)/2)*ER73*EU73*VLOOKUP('Données projet'!$B$15,Paramètres!$A$1:$I$89,3,0)*0.475*44/12</f>
        <v>5.8304886732888656E-6</v>
      </c>
      <c r="EY73" s="22">
        <f t="shared" si="75"/>
        <v>1.9685166046247649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>
        <f>VLOOKUP(A73,'Données projet'!$A$217:$I$237,2,0)</f>
        <v>217</v>
      </c>
      <c r="FC73" s="12">
        <f>VLOOKUP(A73,'Données projet'!$A$217:$I$237,9,0)</f>
        <v>3.2</v>
      </c>
      <c r="FD73" s="12">
        <f t="array" ref="FD73">INDEX(FC:FC,MIN(IF(ISNUMBER(FC73:FC269),ROW(FC73:FC269),"")))</f>
        <v>3.2</v>
      </c>
      <c r="FE73" s="12">
        <f>IF('Données projet'!$A$218&gt;35,FE72+FD73-FM72,IF(A73&lt;'Données projet'!$A$218,$FB$205^A73,IF(A73='Données projet'!$A$218,'Données projet'!$B$218,FE72+FD73-FM72)))</f>
        <v>216.99999999999991</v>
      </c>
      <c r="FF73" s="17">
        <f>FE73*VLOOKUP('Données projet'!$B$16,Paramètres!$A$1:$I$89,3,0)*VLOOKUP('Données projet'!$B$16,Paramètres!$A$1:$I$89,5,0)</f>
        <v>159.10439999999994</v>
      </c>
      <c r="FG73" s="13">
        <f t="shared" si="101"/>
        <v>40.64044438118686</v>
      </c>
      <c r="FH73" s="20">
        <f t="shared" si="76"/>
        <v>347.88893729723367</v>
      </c>
      <c r="FI73" s="59">
        <f t="shared" si="77"/>
        <v>641.22227063056698</v>
      </c>
      <c r="FJ73" s="59">
        <f ca="1">AVERAGE(OFFSET($FI$3,0,0,'Données projet'!$E$16+1,1))-AVERAGE(OFFSET($H$3,0,0,'Données projet'!$E$16+1,1))</f>
        <v>124.15919323713428</v>
      </c>
      <c r="FK73" s="59">
        <f t="shared" si="102"/>
        <v>157.85954678210715</v>
      </c>
      <c r="FL73" s="15">
        <f>IF(ISNA(VLOOKUP(A73,'Données projet'!$A$217:$I$237,3,0)),0,VLOOKUP(A73,'Données projet'!$A$217:$I$237,3,0))</f>
        <v>6</v>
      </c>
      <c r="FM73" s="15">
        <f>IF(ISNA(VLOOKUP(A73,'Données projet'!$A$217:$I$237,4,0)),0,VLOOKUP(A73,'Données projet'!$A$217:$I$237,4,0))</f>
        <v>16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0</v>
      </c>
      <c r="FR73" s="21">
        <f>EXP(-LN(2)/25)*FR72+(1-EXP(-LN(2)/25))/(LN(2)/25)*Calculateur!FM73*Calculateur!FO73*VLOOKUP('Données projet'!$B$16,Paramètres!$A$1:$I$89,3,0)*0.475*44/12</f>
        <v>1.6580893124967535</v>
      </c>
      <c r="FS73" s="21">
        <f>EXP(-LN(2)/2)*FS72+(1-EXP(-LN(2)/2))/(LN(2)/2)*FM73*FP73*VLOOKUP('Données projet'!$B$16,Paramètres!$A$1:$I$89,3,0)*0.475*44/12</f>
        <v>7.0355737181122274E-6</v>
      </c>
      <c r="FT73" s="22">
        <f t="shared" si="78"/>
        <v>1.6580963480704716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6.1</v>
      </c>
      <c r="N74" s="13">
        <f>IF('Données projet'!$A$36&gt;35,N73+M74-V73,IF(A74&lt;'Données projet'!$A$36,$K$205^A74,IF(A74='Données projet'!$A$36,'Données projet'!$B$36,N73+M74-V73)))</f>
        <v>227.10000000000019</v>
      </c>
      <c r="O74" s="13">
        <f>N74*VLOOKUP('Données projet'!$B$9,Paramètres!$A$1:$I$89,3,0)*VLOOKUP('Données projet'!$B$9,Paramètres!$A$1:$I$89,5,0)</f>
        <v>205.48008000000016</v>
      </c>
      <c r="P74" s="13">
        <f t="shared" si="87"/>
        <v>50.94662215818515</v>
      </c>
      <c r="Q74" s="20">
        <f t="shared" si="54"/>
        <v>446.6098395921727</v>
      </c>
      <c r="R74" s="59">
        <f t="shared" si="55"/>
        <v>739.94317292550602</v>
      </c>
      <c r="S74" s="59">
        <f ca="1">AVERAGE(OFFSET($R$3,0,0,'Données projet'!$E$9+1,1))-AVERAGE(OFFSET($H$3,0,0,'Données projet'!$E$9+1,1))</f>
        <v>237.22177246688199</v>
      </c>
      <c r="T74" s="59">
        <f t="shared" si="88"/>
        <v>149.27472147904302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0</v>
      </c>
      <c r="AA74" s="21">
        <f>EXP(-LN(2)/25)*AA73+(1-EXP(-LN(2)/25))/(LN(2)/25)*Calculateur!V74*Calculateur!X74*VLOOKUP('Données projet'!$B$9,Paramètres!$A$1:$I$89,3,0)*0.475*44/12</f>
        <v>0.99656037170068745</v>
      </c>
      <c r="AB74" s="21">
        <f>EXP(-LN(2)/2)*AB73+(1-EXP(-LN(2)/2))/(LN(2)/2)*V74*Y74*VLOOKUP('Données projet'!$B$9,Paramètres!$A$1:$I$89,3,0)*0.475*44/12</f>
        <v>4.1737841024291508E-6</v>
      </c>
      <c r="AC74" s="22">
        <f t="shared" si="57"/>
        <v>0.9965645454847899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3.3</v>
      </c>
      <c r="AI74" s="13">
        <f>IF('Données projet'!$A$62&gt;35,AI73+AH74-AQ73,IF(A74&lt;'Données projet'!$A$62,$AF$205^A74,IF(A74='Données projet'!$A$62,'Données projet'!$B$62,AI73+AH74-AQ73)))</f>
        <v>194.29999999999981</v>
      </c>
      <c r="AJ74" s="13">
        <f>AI74*VLOOKUP('Données projet'!$B$10,Paramètres!$A$1:$I$89,3,0)*VLOOKUP('Données projet'!$B$10,Paramètres!$A$1:$I$89,5,0)</f>
        <v>169.74047999999985</v>
      </c>
      <c r="AK74" s="13">
        <f t="shared" si="89"/>
        <v>43.03189457132202</v>
      </c>
      <c r="AL74" s="20">
        <f t="shared" si="58"/>
        <v>370.57855237838561</v>
      </c>
      <c r="AM74" s="59">
        <f t="shared" si="59"/>
        <v>663.91188571171892</v>
      </c>
      <c r="AN74" s="59">
        <f ca="1">AVERAGE(OFFSET($AM$3,0,0,'Données projet'!$E$10+1,1))-AVERAGE(OFFSET($H$3,0,0,'Données projet'!$E$10+1,1))</f>
        <v>191.94797389630673</v>
      </c>
      <c r="AO74" s="59">
        <f t="shared" si="90"/>
        <v>273.52540822767878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1.1431013642107337</v>
      </c>
      <c r="AV74" s="21">
        <f>EXP(-LN(2)/25)*AV73+(1-EXP(-LN(2)/25))/(LN(2)/25)*Calculateur!AQ74*Calculateur!AS74*VLOOKUP('Données projet'!$B$10,Paramètres!$A$1:$I$89,3,0)*0.475*44/12</f>
        <v>4.5074402170891785</v>
      </c>
      <c r="AW74" s="21">
        <f>EXP(-LN(2)/2)*AW73+(1-EXP(-LN(2)/2))/(LN(2)/2)*AQ74*AT74*VLOOKUP('Données projet'!$B$10,Paramètres!$A$1:$I$89,3,0)*0.475*44/12</f>
        <v>1.5646975645824763E-5</v>
      </c>
      <c r="AX74" s="21">
        <f t="shared" si="60"/>
        <v>5.6505572282755576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>
        <f>BD74*VLOOKUP('Données projet'!$B$11,Paramètres!$A$1:$I$89,3,0)*VLOOKUP('Données projet'!$B$11,Paramètres!$A$1:$I$89,5,0)</f>
        <v>0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72.647148358003676</v>
      </c>
      <c r="BJ74" s="59">
        <f t="shared" si="92"/>
        <v>87.231299224620898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0.56495788752356135</v>
      </c>
      <c r="BQ74" s="21">
        <f>EXP(-LN(2)/25)*BQ73+(1-EXP(-LN(2)/25))/(LN(2)/25)*Calculateur!BL74*Calculateur!BN74*VLOOKUP('Données projet'!$B$11,Paramètres!$A$1:$I$89,3,0)*0.475*44/12</f>
        <v>1.453841738383908</v>
      </c>
      <c r="BR74" s="21">
        <f>EXP(-LN(2)/2)*BR73+(1-EXP(-LN(2)/2))/(LN(2)/2)*BL74*BO74*VLOOKUP('Données projet'!$B$11,Paramètres!$A$1:$I$89,3,0)*0.475*44/12</f>
        <v>1.5381213293048212E-6</v>
      </c>
      <c r="BS74" s="22">
        <f t="shared" si="63"/>
        <v>2.0188011640287988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6</v>
      </c>
      <c r="BY74" s="12">
        <f>IF('Données projet'!$A$114&gt;35,BY73+BX74-CG73,IF(A74&lt;'Données projet'!$A$114,$BV$205^A74,IF(A74='Données projet'!$A$114,'Données projet'!$B$114,BY73+BX74-CG73)))</f>
        <v>323.00000000000006</v>
      </c>
      <c r="BZ74" s="13">
        <f>BY74*VLOOKUP('Données projet'!$B$12,Paramètres!$A$1:$I$89,3,0)*VLOOKUP('Données projet'!$B$12,Paramètres!$A$1:$I$89,5,0)</f>
        <v>193.15400000000005</v>
      </c>
      <c r="CA74" s="13">
        <f t="shared" si="93"/>
        <v>48.236587915544618</v>
      </c>
      <c r="CB74" s="20">
        <f t="shared" si="64"/>
        <v>420.42194061957366</v>
      </c>
      <c r="CC74" s="59">
        <f t="shared" si="65"/>
        <v>713.75527395290692</v>
      </c>
      <c r="CD74" s="59">
        <f ca="1">AVERAGE(OFFSET($CC$3,0,0,'Données projet'!$E$12+1,1))-AVERAGE(OFFSET($H$3,0,0,'Données projet'!$E$12+1,1))</f>
        <v>165.39579887388538</v>
      </c>
      <c r="CE74" s="59">
        <f t="shared" si="94"/>
        <v>155.89639262545802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2.3388015028132974</v>
      </c>
      <c r="CM74" s="21">
        <f>EXP(-LN(2)/2)*CM73+(1-EXP(-LN(2)/2))/(LN(2)/2)*CG74*CJ74*VLOOKUP('Données projet'!$B$12,Paramètres!$A$1:$I$89,3,0)*0.475*44/12</f>
        <v>9.3599962154356482E-6</v>
      </c>
      <c r="CN74" s="22">
        <f t="shared" si="66"/>
        <v>2.3388108628095128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5.6</v>
      </c>
      <c r="CT74" s="12">
        <f>IF('Données projet'!$A$140&gt;35,CT73+CS74-DB73,IF(A74&lt;'Données projet'!$A$140,$CQ$205^A74,IF(A74='Données projet'!$A$140,'Données projet'!$B$140,CT73+CS74-DB73)))</f>
        <v>283.60000000000025</v>
      </c>
      <c r="CU74" s="17">
        <f>CT74*VLOOKUP('Données projet'!$B$13,Paramètres!$A$1:$I$89,3,0)*VLOOKUP('Données projet'!$B$13,Paramètres!$A$1:$I$89,5,0)</f>
        <v>221.2080000000002</v>
      </c>
      <c r="CV74" s="13">
        <f t="shared" si="95"/>
        <v>54.377354818804932</v>
      </c>
      <c r="CW74" s="20">
        <f t="shared" si="67"/>
        <v>479.97782630941884</v>
      </c>
      <c r="CX74" s="59">
        <f t="shared" si="68"/>
        <v>773.31115964275216</v>
      </c>
      <c r="CY74" s="59">
        <f ca="1">AVERAGE(OFFSET($CX$3,0,0,'Données projet'!$E$13+1,1))-AVERAGE(OFFSET($H$3,0,0,'Données projet'!$E$13+1,1))</f>
        <v>190.06335940156185</v>
      </c>
      <c r="CZ74" s="59">
        <f t="shared" si="96"/>
        <v>166.43663896839928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0</v>
      </c>
      <c r="DG74" s="21">
        <f>EXP(-LN(2)/25)*DG73+(1-EXP(-LN(2)/25))/(LN(2)/25)*Calculateur!DB74*Calculateur!DD74*VLOOKUP('Données projet'!$B$13,Paramètres!$A$1:$I$89,3,0)*0.475*44/12</f>
        <v>1.4330862759574938</v>
      </c>
      <c r="DH74" s="21">
        <f>EXP(-LN(2)/2)*DH73+(1-EXP(-LN(2)/2))/(LN(2)/2)*DB74*DE74*VLOOKUP('Données projet'!$B$13,Paramètres!$A$1:$I$89,3,0)*0.475*44/12</f>
        <v>3.5918548083398883E-6</v>
      </c>
      <c r="DI74" s="22">
        <f t="shared" si="69"/>
        <v>1.4330898678123021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6.1</v>
      </c>
      <c r="DO74" s="12">
        <f>IF('Données projet'!$A$166&gt;35,DO73+DN74-DW73,IF(A74&lt;'Données projet'!$A$166,$DL$205^A74,IF(A74='Données projet'!$A$166,'Données projet'!$B$166,DO73+DN74-DW73)))</f>
        <v>227.10000000000019</v>
      </c>
      <c r="DP74" s="17">
        <f>DO74*VLOOKUP('Données projet'!$B$14,Paramètres!$A$1:$I$89,3,0)*VLOOKUP('Données projet'!$B$14,Paramètres!$A$1:$I$89,5,0)</f>
        <v>219.65112000000016</v>
      </c>
      <c r="DQ74" s="13">
        <f t="shared" si="97"/>
        <v>54.0390513737551</v>
      </c>
      <c r="DR74" s="20">
        <f t="shared" si="70"/>
        <v>476.67704847595706</v>
      </c>
      <c r="DS74" s="59">
        <f t="shared" si="71"/>
        <v>770.01038180929038</v>
      </c>
      <c r="DT74" s="59">
        <f ca="1">AVERAGE(OFFSET($DS$3,0,0,'Données projet'!$E$14+1,1))-AVERAGE(OFFSET($H$3,0,0,'Données projet'!$E$14+1,1))</f>
        <v>261.22357949323879</v>
      </c>
      <c r="DU74" s="59">
        <f t="shared" si="98"/>
        <v>163.41029152029387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0</v>
      </c>
      <c r="EB74" s="21">
        <f>EXP(-LN(2)/25)*EB73+(1-EXP(-LN(2)/25))/(LN(2)/25)*Calculateur!DW74*Calculateur!DY74*VLOOKUP('Données projet'!$B$14,Paramètres!$A$1:$I$89,3,0)*0.475*44/12</f>
        <v>1.0652886731972866</v>
      </c>
      <c r="EC74" s="21">
        <f>EXP(-LN(2)/2)*EC73+(1-EXP(-LN(2)/2))/(LN(2)/2)*DW74*DZ74*VLOOKUP('Données projet'!$B$14,Paramètres!$A$1:$I$89,3,0)*0.475*44/12</f>
        <v>4.4616312819070224E-6</v>
      </c>
      <c r="ED74" s="22">
        <f t="shared" si="72"/>
        <v>1.0652931348285686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7.7</v>
      </c>
      <c r="EJ74" s="12">
        <f>IF('Données projet'!$A$192&gt;35,EJ73+EI74-ER73,IF(A74&lt;'Données projet'!$A$192,$EG$205^A74,IF(A74='Données projet'!$A$192,'Données projet'!$B$192,EJ73+EI74-ER73)))</f>
        <v>265.19999999999993</v>
      </c>
      <c r="EK74" s="17">
        <f>EJ74*VLOOKUP('Données projet'!$B$15,Paramètres!$A$1:$I$89,3,0)*VLOOKUP('Données projet'!$B$15,Paramètres!$A$1:$I$89,5,0)</f>
        <v>124.11359999999996</v>
      </c>
      <c r="EL74" s="13">
        <f t="shared" si="99"/>
        <v>32.632538771598028</v>
      </c>
      <c r="EM74" s="20">
        <f t="shared" si="73"/>
        <v>272.99952502719981</v>
      </c>
      <c r="EN74" s="59">
        <f t="shared" si="74"/>
        <v>566.33285836053312</v>
      </c>
      <c r="EO74" s="59">
        <f ca="1">AVERAGE(OFFSET($EN$3,0,0,'Données projet'!$E$15+1,1))-AVERAGE(OFFSET($H$3,0,0,'Données projet'!$E$15+1,1))</f>
        <v>123.60520571614535</v>
      </c>
      <c r="EP74" s="59">
        <f t="shared" si="100"/>
        <v>119.00926870519527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0.38506626975194397</v>
      </c>
      <c r="EW74" s="21">
        <f>EXP(-LN(2)/25)*EW73+(1-EXP(-LN(2)/25))/(LN(2)/25)*Calculateur!ER74*Calculateur!ET74*VLOOKUP('Données projet'!$B$15,Paramètres!$A$1:$I$89,3,0)*0.475*44/12</f>
        <v>1.5326537961077555</v>
      </c>
      <c r="EX74" s="21">
        <f>EXP(-LN(2)/2)*EX73+(1-EXP(-LN(2)/2))/(LN(2)/2)*ER74*EU74*VLOOKUP('Données projet'!$B$15,Paramètres!$A$1:$I$89,3,0)*0.475*44/12</f>
        <v>4.1227780785139136E-6</v>
      </c>
      <c r="EY74" s="22">
        <f t="shared" si="75"/>
        <v>1.917724188637778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2.5</v>
      </c>
      <c r="FE74" s="12">
        <f>IF('Données projet'!$A$218&gt;35,FE73+FD74-FM73,IF(A74&lt;'Données projet'!$A$218,$FB$205^A74,IF(A74='Données projet'!$A$218,'Données projet'!$B$218,FE73+FD74-FM73)))</f>
        <v>203.49999999999991</v>
      </c>
      <c r="FF74" s="17">
        <f>FE74*VLOOKUP('Données projet'!$B$16,Paramètres!$A$1:$I$89,3,0)*VLOOKUP('Données projet'!$B$16,Paramètres!$A$1:$I$89,5,0)</f>
        <v>149.20619999999994</v>
      </c>
      <c r="FG74" s="13">
        <f t="shared" si="101"/>
        <v>38.398136052375925</v>
      </c>
      <c r="FH74" s="20">
        <f t="shared" si="76"/>
        <v>326.74421862455461</v>
      </c>
      <c r="FI74" s="59">
        <f t="shared" si="77"/>
        <v>620.07755195788786</v>
      </c>
      <c r="FJ74" s="59">
        <f ca="1">AVERAGE(OFFSET($FI$3,0,0,'Données projet'!$E$16+1,1))-AVERAGE(OFFSET($H$3,0,0,'Données projet'!$E$16+1,1))</f>
        <v>124.15919323713428</v>
      </c>
      <c r="FK74" s="59">
        <f t="shared" si="102"/>
        <v>157.85954678210715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0</v>
      </c>
      <c r="FR74" s="21">
        <f>EXP(-LN(2)/25)*FR73+(1-EXP(-LN(2)/25))/(LN(2)/25)*Calculateur!FM74*Calculateur!FO74*VLOOKUP('Données projet'!$B$16,Paramètres!$A$1:$I$89,3,0)*0.475*44/12</f>
        <v>1.6127487730514025</v>
      </c>
      <c r="FS74" s="21">
        <f>EXP(-LN(2)/2)*FS73+(1-EXP(-LN(2)/2))/(LN(2)/2)*FM74*FP74*VLOOKUP('Données projet'!$B$16,Paramètres!$A$1:$I$89,3,0)*0.475*44/12</f>
        <v>4.9749018856150073E-6</v>
      </c>
      <c r="FT74" s="22">
        <f t="shared" si="78"/>
        <v>1.6127537479532881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6.1</v>
      </c>
      <c r="N75" s="13">
        <f>IF('Données projet'!$A$36&gt;35,N74+M75-V74,IF(A75&lt;'Données projet'!$A$36,$K$205^A75,IF(A75='Données projet'!$A$36,'Données projet'!$B$36,N74+M75-V74)))</f>
        <v>233.20000000000019</v>
      </c>
      <c r="O75" s="13">
        <f>N75*VLOOKUP('Données projet'!$B$9,Paramètres!$A$1:$I$89,3,0)*VLOOKUP('Données projet'!$B$9,Paramètres!$A$1:$I$89,5,0)</f>
        <v>210.99936000000014</v>
      </c>
      <c r="P75" s="13">
        <f t="shared" si="87"/>
        <v>52.153910623486667</v>
      </c>
      <c r="Q75" s="20">
        <f t="shared" si="54"/>
        <v>458.32527966923953</v>
      </c>
      <c r="R75" s="59">
        <f t="shared" si="55"/>
        <v>751.65861300257279</v>
      </c>
      <c r="S75" s="59">
        <f ca="1">AVERAGE(OFFSET($R$3,0,0,'Données projet'!$E$9+1,1))-AVERAGE(OFFSET($H$3,0,0,'Données projet'!$E$9+1,1))</f>
        <v>237.22177246688199</v>
      </c>
      <c r="T75" s="59">
        <f t="shared" si="88"/>
        <v>149.27472147904302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0</v>
      </c>
      <c r="AA75" s="21">
        <f>EXP(-LN(2)/25)*AA74+(1-EXP(-LN(2)/25))/(LN(2)/25)*Calculateur!V75*Calculateur!X75*VLOOKUP('Données projet'!$B$9,Paramètres!$A$1:$I$89,3,0)*0.475*44/12</f>
        <v>0.9693093759296999</v>
      </c>
      <c r="AB75" s="21">
        <f>EXP(-LN(2)/2)*AB74+(1-EXP(-LN(2)/2))/(LN(2)/2)*V75*Y75*VLOOKUP('Données projet'!$B$9,Paramètres!$A$1:$I$89,3,0)*0.475*44/12</f>
        <v>2.9513110420362603E-6</v>
      </c>
      <c r="AC75" s="22">
        <f t="shared" si="57"/>
        <v>0.9693123272407419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3.3</v>
      </c>
      <c r="AI75" s="13">
        <f>IF('Données projet'!$A$62&gt;35,AI74+AH75-AQ74,IF(A75&lt;'Données projet'!$A$62,$AF$205^A75,IF(A75='Données projet'!$A$62,'Données projet'!$B$62,AI74+AH75-AQ74)))</f>
        <v>197.59999999999982</v>
      </c>
      <c r="AJ75" s="13">
        <f>AI75*VLOOKUP('Données projet'!$B$10,Paramètres!$A$1:$I$89,3,0)*VLOOKUP('Données projet'!$B$10,Paramètres!$A$1:$I$89,5,0)</f>
        <v>172.62335999999985</v>
      </c>
      <c r="AK75" s="13">
        <f t="shared" si="89"/>
        <v>43.677044279986035</v>
      </c>
      <c r="AL75" s="20">
        <f t="shared" si="58"/>
        <v>376.72320412097542</v>
      </c>
      <c r="AM75" s="59">
        <f t="shared" si="59"/>
        <v>670.05653745430868</v>
      </c>
      <c r="AN75" s="59">
        <f ca="1">AVERAGE(OFFSET($AM$3,0,0,'Données projet'!$E$10+1,1))-AVERAGE(OFFSET($H$3,0,0,'Données projet'!$E$10+1,1))</f>
        <v>191.94797389630673</v>
      </c>
      <c r="AO75" s="59">
        <f t="shared" si="90"/>
        <v>273.52540822767878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1.1206858436815483</v>
      </c>
      <c r="AV75" s="21">
        <f>EXP(-LN(2)/25)*AV74+(1-EXP(-LN(2)/25))/(LN(2)/25)*Calculateur!AQ75*Calculateur!AS75*VLOOKUP('Données projet'!$B$10,Paramètres!$A$1:$I$89,3,0)*0.475*44/12</f>
        <v>4.3841840273168957</v>
      </c>
      <c r="AW75" s="21">
        <f>EXP(-LN(2)/2)*AW74+(1-EXP(-LN(2)/2))/(LN(2)/2)*AQ75*AT75*VLOOKUP('Données projet'!$B$10,Paramètres!$A$1:$I$89,3,0)*0.475*44/12</f>
        <v>1.1064082584223449E-5</v>
      </c>
      <c r="AX75" s="21">
        <f t="shared" si="60"/>
        <v>5.5048809350810286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>
        <f>BD75*VLOOKUP('Données projet'!$B$11,Paramètres!$A$1:$I$89,3,0)*VLOOKUP('Données projet'!$B$11,Paramètres!$A$1:$I$89,5,0)</f>
        <v>0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72.647148358003676</v>
      </c>
      <c r="BJ75" s="59">
        <f t="shared" si="92"/>
        <v>87.231299224620898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0.55387940793951029</v>
      </c>
      <c r="BQ75" s="21">
        <f>EXP(-LN(2)/25)*BQ74+(1-EXP(-LN(2)/25))/(LN(2)/25)*Calculateur!BL75*Calculateur!BN75*VLOOKUP('Données projet'!$B$11,Paramètres!$A$1:$I$89,3,0)*0.475*44/12</f>
        <v>1.4140863595935858</v>
      </c>
      <c r="BR75" s="21">
        <f>EXP(-LN(2)/2)*BR74+(1-EXP(-LN(2)/2))/(LN(2)/2)*BL75*BO75*VLOOKUP('Données projet'!$B$11,Paramètres!$A$1:$I$89,3,0)*0.475*44/12</f>
        <v>1.0876160222391058E-6</v>
      </c>
      <c r="BS75" s="22">
        <f t="shared" si="63"/>
        <v>1.9679668551491183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6</v>
      </c>
      <c r="BY75" s="12">
        <f>IF('Données projet'!$A$114&gt;35,BY74+BX75-CG74,IF(A75&lt;'Données projet'!$A$114,$BV$205^A75,IF(A75='Données projet'!$A$114,'Données projet'!$B$114,BY74+BX75-CG74)))</f>
        <v>329.00000000000006</v>
      </c>
      <c r="BZ75" s="13">
        <f>BY75*VLOOKUP('Données projet'!$B$12,Paramètres!$A$1:$I$89,3,0)*VLOOKUP('Données projet'!$B$12,Paramètres!$A$1:$I$89,5,0)</f>
        <v>196.74200000000005</v>
      </c>
      <c r="CA75" s="13">
        <f t="shared" si="93"/>
        <v>49.027474951150033</v>
      </c>
      <c r="CB75" s="20">
        <f t="shared" si="64"/>
        <v>428.04850220658636</v>
      </c>
      <c r="CC75" s="59">
        <f t="shared" si="65"/>
        <v>721.38183553991962</v>
      </c>
      <c r="CD75" s="59">
        <f ca="1">AVERAGE(OFFSET($CC$3,0,0,'Données projet'!$E$12+1,1))-AVERAGE(OFFSET($H$3,0,0,'Données projet'!$E$12+1,1))</f>
        <v>165.39579887388538</v>
      </c>
      <c r="CE75" s="59">
        <f t="shared" si="94"/>
        <v>155.89639262545802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2.2748468527266419</v>
      </c>
      <c r="CM75" s="21">
        <f>EXP(-LN(2)/2)*CM74+(1-EXP(-LN(2)/2))/(LN(2)/2)*CG75*CJ75*VLOOKUP('Données projet'!$B$12,Paramètres!$A$1:$I$89,3,0)*0.475*44/12</f>
        <v>6.618516795814968E-6</v>
      </c>
      <c r="CN75" s="22">
        <f t="shared" si="66"/>
        <v>2.2748534712434378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5.6</v>
      </c>
      <c r="CT75" s="12">
        <f>IF('Données projet'!$A$140&gt;35,CT74+CS75-DB74,IF(A75&lt;'Données projet'!$A$140,$CQ$205^A75,IF(A75='Données projet'!$A$140,'Données projet'!$B$140,CT74+CS75-DB74)))</f>
        <v>289.20000000000027</v>
      </c>
      <c r="CU75" s="17">
        <f>CT75*VLOOKUP('Données projet'!$B$13,Paramètres!$A$1:$I$89,3,0)*VLOOKUP('Données projet'!$B$13,Paramètres!$A$1:$I$89,5,0)</f>
        <v>225.57600000000022</v>
      </c>
      <c r="CV75" s="13">
        <f t="shared" si="95"/>
        <v>55.325030705506045</v>
      </c>
      <c r="CW75" s="20">
        <f t="shared" si="67"/>
        <v>489.23596181209012</v>
      </c>
      <c r="CX75" s="59">
        <f t="shared" si="68"/>
        <v>782.56929514542344</v>
      </c>
      <c r="CY75" s="59">
        <f ca="1">AVERAGE(OFFSET($CX$3,0,0,'Données projet'!$E$13+1,1))-AVERAGE(OFFSET($H$3,0,0,'Données projet'!$E$13+1,1))</f>
        <v>190.06335940156185</v>
      </c>
      <c r="CZ75" s="59">
        <f t="shared" si="96"/>
        <v>166.43663896839928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0</v>
      </c>
      <c r="DG75" s="21">
        <f>EXP(-LN(2)/25)*DG74+(1-EXP(-LN(2)/25))/(LN(2)/25)*Calculateur!DB75*Calculateur!DD75*VLOOKUP('Données projet'!$B$13,Paramètres!$A$1:$I$89,3,0)*0.475*44/12</f>
        <v>1.3938984563787042</v>
      </c>
      <c r="DH75" s="21">
        <f>EXP(-LN(2)/2)*DH74+(1-EXP(-LN(2)/2))/(LN(2)/2)*DB75*DE75*VLOOKUP('Données projet'!$B$13,Paramètres!$A$1:$I$89,3,0)*0.475*44/12</f>
        <v>2.5398248920146421E-6</v>
      </c>
      <c r="DI75" s="22">
        <f t="shared" si="69"/>
        <v>1.3939009962035962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6.1</v>
      </c>
      <c r="DO75" s="12">
        <f>IF('Données projet'!$A$166&gt;35,DO74+DN75-DW74,IF(A75&lt;'Données projet'!$A$166,$DL$205^A75,IF(A75='Données projet'!$A$166,'Données projet'!$B$166,DO74+DN75-DW74)))</f>
        <v>233.20000000000019</v>
      </c>
      <c r="DP75" s="17">
        <f>DO75*VLOOKUP('Données projet'!$B$14,Paramètres!$A$1:$I$89,3,0)*VLOOKUP('Données projet'!$B$14,Paramètres!$A$1:$I$89,5,0)</f>
        <v>225.5510400000002</v>
      </c>
      <c r="DQ75" s="13">
        <f t="shared" si="97"/>
        <v>55.319621520227244</v>
      </c>
      <c r="DR75" s="20">
        <f t="shared" si="70"/>
        <v>489.18306881439611</v>
      </c>
      <c r="DS75" s="59">
        <f t="shared" si="71"/>
        <v>782.51640214772942</v>
      </c>
      <c r="DT75" s="59">
        <f ca="1">AVERAGE(OFFSET($DS$3,0,0,'Données projet'!$E$14+1,1))-AVERAGE(OFFSET($H$3,0,0,'Données projet'!$E$14+1,1))</f>
        <v>261.22357949323879</v>
      </c>
      <c r="DU75" s="59">
        <f t="shared" si="98"/>
        <v>163.41029152029387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0</v>
      </c>
      <c r="EB75" s="21">
        <f>EXP(-LN(2)/25)*EB74+(1-EXP(-LN(2)/25))/(LN(2)/25)*Calculateur!DW75*Calculateur!DY75*VLOOKUP('Données projet'!$B$14,Paramètres!$A$1:$I$89,3,0)*0.475*44/12</f>
        <v>1.0361582984076103</v>
      </c>
      <c r="EC75" s="21">
        <f>EXP(-LN(2)/2)*EC74+(1-EXP(-LN(2)/2))/(LN(2)/2)*DW75*DZ75*VLOOKUP('Données projet'!$B$14,Paramètres!$A$1:$I$89,3,0)*0.475*44/12</f>
        <v>3.1548497345904845E-6</v>
      </c>
      <c r="ED75" s="22">
        <f t="shared" si="72"/>
        <v>1.0361614532573449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7.7</v>
      </c>
      <c r="EJ75" s="12">
        <f>IF('Données projet'!$A$192&gt;35,EJ74+EI75-ER74,IF(A75&lt;'Données projet'!$A$192,$EG$205^A75,IF(A75='Données projet'!$A$192,'Données projet'!$B$192,EJ74+EI75-ER74)))</f>
        <v>272.89999999999992</v>
      </c>
      <c r="EK75" s="17">
        <f>EJ75*VLOOKUP('Données projet'!$B$15,Paramètres!$A$1:$I$89,3,0)*VLOOKUP('Données projet'!$B$15,Paramètres!$A$1:$I$89,5,0)</f>
        <v>127.71719999999996</v>
      </c>
      <c r="EL75" s="13">
        <f t="shared" si="99"/>
        <v>33.468328632580821</v>
      </c>
      <c r="EM75" s="20">
        <f t="shared" si="73"/>
        <v>280.73146236841148</v>
      </c>
      <c r="EN75" s="59">
        <f t="shared" si="74"/>
        <v>574.06479570174474</v>
      </c>
      <c r="EO75" s="59">
        <f ca="1">AVERAGE(OFFSET($EN$3,0,0,'Données projet'!$E$15+1,1))-AVERAGE(OFFSET($H$3,0,0,'Données projet'!$E$15+1,1))</f>
        <v>123.60520571614535</v>
      </c>
      <c r="EP75" s="59">
        <f t="shared" si="100"/>
        <v>119.00926870519527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0.3775153550693417</v>
      </c>
      <c r="EW75" s="21">
        <f>EXP(-LN(2)/25)*EW74+(1-EXP(-LN(2)/25))/(LN(2)/25)*Calculateur!ER75*Calculateur!ET75*VLOOKUP('Données projet'!$B$15,Paramètres!$A$1:$I$89,3,0)*0.475*44/12</f>
        <v>1.4907432974544288</v>
      </c>
      <c r="EX75" s="21">
        <f>EXP(-LN(2)/2)*EX74+(1-EXP(-LN(2)/2))/(LN(2)/2)*ER75*EU75*VLOOKUP('Données projet'!$B$15,Paramètres!$A$1:$I$89,3,0)*0.475*44/12</f>
        <v>2.9152443366444328E-6</v>
      </c>
      <c r="EY75" s="22">
        <f t="shared" si="75"/>
        <v>1.8682615677681071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2.5</v>
      </c>
      <c r="FE75" s="12">
        <f>IF('Données projet'!$A$218&gt;35,FE74+FD75-FM74,IF(A75&lt;'Données projet'!$A$218,$FB$205^A75,IF(A75='Données projet'!$A$218,'Données projet'!$B$218,FE74+FD75-FM74)))</f>
        <v>205.99999999999991</v>
      </c>
      <c r="FF75" s="17">
        <f>FE75*VLOOKUP('Données projet'!$B$16,Paramètres!$A$1:$I$89,3,0)*VLOOKUP('Données projet'!$B$16,Paramètres!$A$1:$I$89,5,0)</f>
        <v>151.03919999999994</v>
      </c>
      <c r="FG75" s="13">
        <f t="shared" si="101"/>
        <v>38.814652571726043</v>
      </c>
      <c r="FH75" s="20">
        <f t="shared" si="76"/>
        <v>330.66212656242277</v>
      </c>
      <c r="FI75" s="59">
        <f t="shared" si="77"/>
        <v>623.99545989575608</v>
      </c>
      <c r="FJ75" s="59">
        <f ca="1">AVERAGE(OFFSET($FI$3,0,0,'Données projet'!$E$16+1,1))-AVERAGE(OFFSET($H$3,0,0,'Données projet'!$E$16+1,1))</f>
        <v>124.15919323713428</v>
      </c>
      <c r="FK75" s="59">
        <f t="shared" si="102"/>
        <v>157.85954678210715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0</v>
      </c>
      <c r="FR75" s="21">
        <f>EXP(-LN(2)/25)*FR74+(1-EXP(-LN(2)/25))/(LN(2)/25)*Calculateur!FM75*Calculateur!FO75*VLOOKUP('Données projet'!$B$16,Paramètres!$A$1:$I$89,3,0)*0.475*44/12</f>
        <v>1.56864807304154</v>
      </c>
      <c r="FS75" s="21">
        <f>EXP(-LN(2)/2)*FS74+(1-EXP(-LN(2)/2))/(LN(2)/2)*FM75*FP75*VLOOKUP('Données projet'!$B$16,Paramètres!$A$1:$I$89,3,0)*0.475*44/12</f>
        <v>3.5177868590561137E-6</v>
      </c>
      <c r="FT75" s="22">
        <f t="shared" si="78"/>
        <v>1.5686515908283991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6.1</v>
      </c>
      <c r="N76" s="13">
        <f>IF('Données projet'!$A$36&gt;35,N75+M76-V75,IF(A76&lt;'Données projet'!$A$36,$K$205^A76,IF(A76='Données projet'!$A$36,'Données projet'!$B$36,N75+M76-V75)))</f>
        <v>239.30000000000018</v>
      </c>
      <c r="O76" s="13">
        <f>N76*VLOOKUP('Données projet'!$B$9,Paramètres!$A$1:$I$89,3,0)*VLOOKUP('Données projet'!$B$9,Paramètres!$A$1:$I$89,5,0)</f>
        <v>216.51864000000015</v>
      </c>
      <c r="P76" s="13">
        <f t="shared" si="87"/>
        <v>53.357528323079173</v>
      </c>
      <c r="Q76" s="20">
        <f t="shared" si="54"/>
        <v>470.03432649602973</v>
      </c>
      <c r="R76" s="59">
        <f t="shared" si="55"/>
        <v>763.36765982936299</v>
      </c>
      <c r="S76" s="59">
        <f ca="1">AVERAGE(OFFSET($R$3,0,0,'Données projet'!$E$9+1,1))-AVERAGE(OFFSET($H$3,0,0,'Données projet'!$E$9+1,1))</f>
        <v>237.22177246688199</v>
      </c>
      <c r="T76" s="59">
        <f t="shared" si="88"/>
        <v>149.27472147904302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0</v>
      </c>
      <c r="AA76" s="21">
        <f>EXP(-LN(2)/25)*AA75+(1-EXP(-LN(2)/25))/(LN(2)/25)*Calculateur!V76*Calculateur!X76*VLOOKUP('Données projet'!$B$9,Paramètres!$A$1:$I$89,3,0)*0.475*44/12</f>
        <v>0.94280356007113753</v>
      </c>
      <c r="AB76" s="21">
        <f>EXP(-LN(2)/2)*AB75+(1-EXP(-LN(2)/2))/(LN(2)/2)*V76*Y76*VLOOKUP('Données projet'!$B$9,Paramètres!$A$1:$I$89,3,0)*0.475*44/12</f>
        <v>2.0868920512145754E-6</v>
      </c>
      <c r="AC76" s="22">
        <f t="shared" si="57"/>
        <v>0.94280564696318869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3.3</v>
      </c>
      <c r="AI76" s="13">
        <f>IF('Données projet'!$A$62&gt;35,AI75+AH76-AQ75,IF(A76&lt;'Données projet'!$A$62,$AF$205^A76,IF(A76='Données projet'!$A$62,'Données projet'!$B$62,AI75+AH76-AQ75)))</f>
        <v>200.89999999999984</v>
      </c>
      <c r="AJ76" s="13">
        <f>AI76*VLOOKUP('Données projet'!$B$10,Paramètres!$A$1:$I$89,3,0)*VLOOKUP('Données projet'!$B$10,Paramètres!$A$1:$I$89,5,0)</f>
        <v>175.50623999999988</v>
      </c>
      <c r="AK76" s="13">
        <f t="shared" si="89"/>
        <v>44.320941021227853</v>
      </c>
      <c r="AL76" s="20">
        <f t="shared" si="58"/>
        <v>382.86567361197154</v>
      </c>
      <c r="AM76" s="59">
        <f t="shared" si="59"/>
        <v>676.19900694530486</v>
      </c>
      <c r="AN76" s="59">
        <f ca="1">AVERAGE(OFFSET($AM$3,0,0,'Données projet'!$E$10+1,1))-AVERAGE(OFFSET($H$3,0,0,'Données projet'!$E$10+1,1))</f>
        <v>191.94797389630673</v>
      </c>
      <c r="AO76" s="59">
        <f t="shared" si="90"/>
        <v>273.52540822767878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1.0987098778378228</v>
      </c>
      <c r="AV76" s="21">
        <f>EXP(-LN(2)/25)*AV75+(1-EXP(-LN(2)/25))/(LN(2)/25)*Calculateur!AQ76*Calculateur!AS76*VLOOKUP('Données projet'!$B$10,Paramètres!$A$1:$I$89,3,0)*0.475*44/12</f>
        <v>4.2642982845356974</v>
      </c>
      <c r="AW76" s="21">
        <f>EXP(-LN(2)/2)*AW75+(1-EXP(-LN(2)/2))/(LN(2)/2)*AQ76*AT76*VLOOKUP('Données projet'!$B$10,Paramètres!$A$1:$I$89,3,0)*0.475*44/12</f>
        <v>7.8234878229123813E-6</v>
      </c>
      <c r="AX76" s="21">
        <f t="shared" si="60"/>
        <v>5.3630159858613426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>
        <f>BD76*VLOOKUP('Données projet'!$B$11,Paramètres!$A$1:$I$89,3,0)*VLOOKUP('Données projet'!$B$11,Paramètres!$A$1:$I$89,5,0)</f>
        <v>0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72.647148358003676</v>
      </c>
      <c r="BJ76" s="59">
        <f t="shared" si="92"/>
        <v>87.231299224620898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0.54301817058289714</v>
      </c>
      <c r="BQ76" s="21">
        <f>EXP(-LN(2)/25)*BQ75+(1-EXP(-LN(2)/25))/(LN(2)/25)*Calculateur!BL76*Calculateur!BN76*VLOOKUP('Données projet'!$B$11,Paramètres!$A$1:$I$89,3,0)*0.475*44/12</f>
        <v>1.3754180937269294</v>
      </c>
      <c r="BR76" s="21">
        <f>EXP(-LN(2)/2)*BR75+(1-EXP(-LN(2)/2))/(LN(2)/2)*BL76*BO76*VLOOKUP('Données projet'!$B$11,Paramètres!$A$1:$I$89,3,0)*0.475*44/12</f>
        <v>7.6906066465241062E-7</v>
      </c>
      <c r="BS76" s="22">
        <f t="shared" si="63"/>
        <v>1.9184370333704912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6</v>
      </c>
      <c r="BY76" s="12">
        <f>IF('Données projet'!$A$114&gt;35,BY75+BX76-CG75,IF(A76&lt;'Données projet'!$A$114,$BV$205^A76,IF(A76='Données projet'!$A$114,'Données projet'!$B$114,BY75+BX76-CG75)))</f>
        <v>335.00000000000006</v>
      </c>
      <c r="BZ76" s="13">
        <f>BY76*VLOOKUP('Données projet'!$B$12,Paramètres!$A$1:$I$89,3,0)*VLOOKUP('Données projet'!$B$12,Paramètres!$A$1:$I$89,5,0)</f>
        <v>200.33000000000004</v>
      </c>
      <c r="CA76" s="13">
        <f t="shared" si="93"/>
        <v>49.81668477706851</v>
      </c>
      <c r="CB76" s="20">
        <f t="shared" si="64"/>
        <v>435.67214265339436</v>
      </c>
      <c r="CC76" s="59">
        <f t="shared" si="65"/>
        <v>729.00547598672767</v>
      </c>
      <c r="CD76" s="59">
        <f ca="1">AVERAGE(OFFSET($CC$3,0,0,'Données projet'!$E$12+1,1))-AVERAGE(OFFSET($H$3,0,0,'Données projet'!$E$12+1,1))</f>
        <v>165.39579887388538</v>
      </c>
      <c r="CE76" s="59">
        <f t="shared" si="94"/>
        <v>155.89639262545802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2.2126410459098351</v>
      </c>
      <c r="CM76" s="21">
        <f>EXP(-LN(2)/2)*CM75+(1-EXP(-LN(2)/2))/(LN(2)/2)*CG76*CJ76*VLOOKUP('Données projet'!$B$12,Paramètres!$A$1:$I$89,3,0)*0.475*44/12</f>
        <v>4.6799981077178241E-6</v>
      </c>
      <c r="CN76" s="22">
        <f t="shared" si="66"/>
        <v>2.2126457259079428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5.6</v>
      </c>
      <c r="CT76" s="12">
        <f>IF('Données projet'!$A$140&gt;35,CT75+CS76-DB75,IF(A76&lt;'Données projet'!$A$140,$CQ$205^A76,IF(A76='Données projet'!$A$140,'Données projet'!$B$140,CT75+CS76-DB75)))</f>
        <v>294.8000000000003</v>
      </c>
      <c r="CU76" s="17">
        <f>CT76*VLOOKUP('Données projet'!$B$13,Paramètres!$A$1:$I$89,3,0)*VLOOKUP('Données projet'!$B$13,Paramètres!$A$1:$I$89,5,0)</f>
        <v>229.94400000000024</v>
      </c>
      <c r="CV76" s="13">
        <f t="shared" si="95"/>
        <v>56.270572850262468</v>
      </c>
      <c r="CW76" s="20">
        <f t="shared" si="67"/>
        <v>498.49038104754089</v>
      </c>
      <c r="CX76" s="59">
        <f t="shared" si="68"/>
        <v>791.82371438087421</v>
      </c>
      <c r="CY76" s="59">
        <f ca="1">AVERAGE(OFFSET($CX$3,0,0,'Données projet'!$E$13+1,1))-AVERAGE(OFFSET($H$3,0,0,'Données projet'!$E$13+1,1))</f>
        <v>190.06335940156185</v>
      </c>
      <c r="CZ76" s="59">
        <f t="shared" si="96"/>
        <v>166.43663896839928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0</v>
      </c>
      <c r="DG76" s="21">
        <f>EXP(-LN(2)/25)*DG75+(1-EXP(-LN(2)/25))/(LN(2)/25)*Calculateur!DB76*Calculateur!DD76*VLOOKUP('Données projet'!$B$13,Paramètres!$A$1:$I$89,3,0)*0.475*44/12</f>
        <v>1.3557822297870945</v>
      </c>
      <c r="DH76" s="21">
        <f>EXP(-LN(2)/2)*DH75+(1-EXP(-LN(2)/2))/(LN(2)/2)*DB76*DE76*VLOOKUP('Données projet'!$B$13,Paramètres!$A$1:$I$89,3,0)*0.475*44/12</f>
        <v>1.7959274041699444E-6</v>
      </c>
      <c r="DI76" s="22">
        <f t="shared" si="69"/>
        <v>1.3557840257144986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6.1</v>
      </c>
      <c r="DO76" s="12">
        <f>IF('Données projet'!$A$166&gt;35,DO75+DN76-DW75,IF(A76&lt;'Données projet'!$A$166,$DL$205^A76,IF(A76='Données projet'!$A$166,'Données projet'!$B$166,DO75+DN76-DW75)))</f>
        <v>239.30000000000018</v>
      </c>
      <c r="DP76" s="17">
        <f>DO76*VLOOKUP('Données projet'!$B$14,Paramètres!$A$1:$I$89,3,0)*VLOOKUP('Données projet'!$B$14,Paramètres!$A$1:$I$89,5,0)</f>
        <v>231.45096000000015</v>
      </c>
      <c r="DQ76" s="13">
        <f t="shared" si="97"/>
        <v>56.596298087727369</v>
      </c>
      <c r="DR76" s="20">
        <f t="shared" si="70"/>
        <v>501.6823078361254</v>
      </c>
      <c r="DS76" s="59">
        <f t="shared" si="71"/>
        <v>795.01564116945872</v>
      </c>
      <c r="DT76" s="59">
        <f ca="1">AVERAGE(OFFSET($DS$3,0,0,'Données projet'!$E$14+1,1))-AVERAGE(OFFSET($H$3,0,0,'Données projet'!$E$14+1,1))</f>
        <v>261.22357949323879</v>
      </c>
      <c r="DU76" s="59">
        <f t="shared" si="98"/>
        <v>163.41029152029387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0</v>
      </c>
      <c r="EB76" s="21">
        <f>EXP(-LN(2)/25)*EB75+(1-EXP(-LN(2)/25))/(LN(2)/25)*Calculateur!DW76*Calculateur!DY76*VLOOKUP('Données projet'!$B$14,Paramètres!$A$1:$I$89,3,0)*0.475*44/12</f>
        <v>1.0078244952484574</v>
      </c>
      <c r="EC76" s="21">
        <f>EXP(-LN(2)/2)*EC75+(1-EXP(-LN(2)/2))/(LN(2)/2)*DW76*DZ76*VLOOKUP('Données projet'!$B$14,Paramètres!$A$1:$I$89,3,0)*0.475*44/12</f>
        <v>2.2308156409535112E-6</v>
      </c>
      <c r="ED76" s="22">
        <f t="shared" si="72"/>
        <v>1.0078267260640983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7.7</v>
      </c>
      <c r="EJ76" s="12">
        <f>IF('Données projet'!$A$192&gt;35,EJ75+EI76-ER75,IF(A76&lt;'Données projet'!$A$192,$EG$205^A76,IF(A76='Données projet'!$A$192,'Données projet'!$B$192,EJ75+EI76-ER75)))</f>
        <v>280.59999999999991</v>
      </c>
      <c r="EK76" s="17">
        <f>EJ76*VLOOKUP('Données projet'!$B$15,Paramètres!$A$1:$I$89,3,0)*VLOOKUP('Données projet'!$B$15,Paramètres!$A$1:$I$89,5,0)</f>
        <v>131.32079999999996</v>
      </c>
      <c r="EL76" s="13">
        <f t="shared" si="99"/>
        <v>34.301377644087616</v>
      </c>
      <c r="EM76" s="20">
        <f t="shared" si="73"/>
        <v>288.45862606345253</v>
      </c>
      <c r="EN76" s="59">
        <f t="shared" si="74"/>
        <v>581.79195939678584</v>
      </c>
      <c r="EO76" s="59">
        <f ca="1">AVERAGE(OFFSET($EN$3,0,0,'Données projet'!$E$15+1,1))-AVERAGE(OFFSET($H$3,0,0,'Données projet'!$E$15+1,1))</f>
        <v>123.60520571614535</v>
      </c>
      <c r="EP76" s="59">
        <f t="shared" si="100"/>
        <v>119.00926870519527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0.37011250921806205</v>
      </c>
      <c r="EW76" s="21">
        <f>EXP(-LN(2)/25)*EW75+(1-EXP(-LN(2)/25))/(LN(2)/25)*Calculateur!ER76*Calculateur!ET76*VLOOKUP('Données projet'!$B$15,Paramètres!$A$1:$I$89,3,0)*0.475*44/12</f>
        <v>1.4499788435907546</v>
      </c>
      <c r="EX76" s="21">
        <f>EXP(-LN(2)/2)*EX75+(1-EXP(-LN(2)/2))/(LN(2)/2)*ER76*EU76*VLOOKUP('Données projet'!$B$15,Paramètres!$A$1:$I$89,3,0)*0.475*44/12</f>
        <v>2.0613890392569568E-6</v>
      </c>
      <c r="EY76" s="22">
        <f t="shared" si="75"/>
        <v>1.8200934141978558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2.5</v>
      </c>
      <c r="FE76" s="12">
        <f>IF('Données projet'!$A$218&gt;35,FE75+FD76-FM75,IF(A76&lt;'Données projet'!$A$218,$FB$205^A76,IF(A76='Données projet'!$A$218,'Données projet'!$B$218,FE75+FD76-FM75)))</f>
        <v>208.49999999999991</v>
      </c>
      <c r="FF76" s="17">
        <f>FE76*VLOOKUP('Données projet'!$B$16,Paramètres!$A$1:$I$89,3,0)*VLOOKUP('Données projet'!$B$16,Paramètres!$A$1:$I$89,5,0)</f>
        <v>152.87219999999994</v>
      </c>
      <c r="FG76" s="13">
        <f t="shared" si="101"/>
        <v>39.230581111065234</v>
      </c>
      <c r="FH76" s="20">
        <f t="shared" si="76"/>
        <v>334.57901043510515</v>
      </c>
      <c r="FI76" s="59">
        <f t="shared" si="77"/>
        <v>627.9123437684384</v>
      </c>
      <c r="FJ76" s="59">
        <f ca="1">AVERAGE(OFFSET($FI$3,0,0,'Données projet'!$E$16+1,1))-AVERAGE(OFFSET($H$3,0,0,'Données projet'!$E$16+1,1))</f>
        <v>124.15919323713428</v>
      </c>
      <c r="FK76" s="59">
        <f t="shared" si="102"/>
        <v>157.85954678210715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0</v>
      </c>
      <c r="FR76" s="21">
        <f>EXP(-LN(2)/25)*FR75+(1-EXP(-LN(2)/25))/(LN(2)/25)*Calculateur!FM76*Calculateur!FO76*VLOOKUP('Données projet'!$B$16,Paramètres!$A$1:$I$89,3,0)*0.475*44/12</f>
        <v>1.5257533089926021</v>
      </c>
      <c r="FS76" s="21">
        <f>EXP(-LN(2)/2)*FS75+(1-EXP(-LN(2)/2))/(LN(2)/2)*FM76*FP76*VLOOKUP('Données projet'!$B$16,Paramètres!$A$1:$I$89,3,0)*0.475*44/12</f>
        <v>2.4874509428075036E-6</v>
      </c>
      <c r="FT76" s="22">
        <f t="shared" si="78"/>
        <v>1.5257557964435449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6.1</v>
      </c>
      <c r="N77" s="13">
        <f>IF('Données projet'!$A$36&gt;35,N76+M77-V76,IF(A77&lt;'Données projet'!$A$36,$K$205^A77,IF(A77='Données projet'!$A$36,'Données projet'!$B$36,N76+M77-V76)))</f>
        <v>245.40000000000018</v>
      </c>
      <c r="O77" s="13">
        <f>N77*VLOOKUP('Données projet'!$B$9,Paramètres!$A$1:$I$89,3,0)*VLOOKUP('Données projet'!$B$9,Paramètres!$A$1:$I$89,5,0)</f>
        <v>222.03792000000013</v>
      </c>
      <c r="P77" s="13">
        <f t="shared" si="87"/>
        <v>54.5575795882731</v>
      </c>
      <c r="Q77" s="20">
        <f t="shared" si="54"/>
        <v>481.7371617829092</v>
      </c>
      <c r="R77" s="59">
        <f t="shared" si="55"/>
        <v>775.07049511624245</v>
      </c>
      <c r="S77" s="59">
        <f ca="1">AVERAGE(OFFSET($R$3,0,0,'Données projet'!$E$9+1,1))-AVERAGE(OFFSET($H$3,0,0,'Données projet'!$E$9+1,1))</f>
        <v>237.22177246688199</v>
      </c>
      <c r="T77" s="59">
        <f t="shared" si="88"/>
        <v>149.27472147904302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0</v>
      </c>
      <c r="AA77" s="21">
        <f>EXP(-LN(2)/25)*AA76+(1-EXP(-LN(2)/25))/(LN(2)/25)*Calculateur!V77*Calculateur!X77*VLOOKUP('Données projet'!$B$9,Paramètres!$A$1:$I$89,3,0)*0.475*44/12</f>
        <v>0.91702254714110787</v>
      </c>
      <c r="AB77" s="21">
        <f>EXP(-LN(2)/2)*AB76+(1-EXP(-LN(2)/2))/(LN(2)/2)*V77*Y77*VLOOKUP('Données projet'!$B$9,Paramètres!$A$1:$I$89,3,0)*0.475*44/12</f>
        <v>1.4756555210181301E-6</v>
      </c>
      <c r="AC77" s="22">
        <f t="shared" si="57"/>
        <v>0.91702402279662887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3.3</v>
      </c>
      <c r="AI77" s="13">
        <f>IF('Données projet'!$A$62&gt;35,AI76+AH77-AQ76,IF(A77&lt;'Données projet'!$A$62,$AF$205^A77,IF(A77='Données projet'!$A$62,'Données projet'!$B$62,AI76+AH77-AQ76)))</f>
        <v>204.19999999999985</v>
      </c>
      <c r="AJ77" s="13">
        <f>AI77*VLOOKUP('Données projet'!$B$10,Paramètres!$A$1:$I$89,3,0)*VLOOKUP('Données projet'!$B$10,Paramètres!$A$1:$I$89,5,0)</f>
        <v>178.38911999999988</v>
      </c>
      <c r="AK77" s="13">
        <f t="shared" si="89"/>
        <v>44.963607752190804</v>
      </c>
      <c r="AL77" s="20">
        <f t="shared" si="58"/>
        <v>389.00600083506538</v>
      </c>
      <c r="AM77" s="59">
        <f t="shared" si="59"/>
        <v>682.33933416839864</v>
      </c>
      <c r="AN77" s="59">
        <f ca="1">AVERAGE(OFFSET($AM$3,0,0,'Données projet'!$E$10+1,1))-AVERAGE(OFFSET($H$3,0,0,'Données projet'!$E$10+1,1))</f>
        <v>191.94797389630673</v>
      </c>
      <c r="AO77" s="59">
        <f t="shared" si="90"/>
        <v>273.52540822767878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1.0771648472802771</v>
      </c>
      <c r="AV77" s="21">
        <f>EXP(-LN(2)/25)*AV76+(1-EXP(-LN(2)/25))/(LN(2)/25)*Calculateur!AQ77*Calculateur!AS77*VLOOKUP('Données projet'!$B$10,Paramètres!$A$1:$I$89,3,0)*0.475*44/12</f>
        <v>4.1476908236953678</v>
      </c>
      <c r="AW77" s="21">
        <f>EXP(-LN(2)/2)*AW76+(1-EXP(-LN(2)/2))/(LN(2)/2)*AQ77*AT77*VLOOKUP('Données projet'!$B$10,Paramètres!$A$1:$I$89,3,0)*0.475*44/12</f>
        <v>5.5320412921117245E-6</v>
      </c>
      <c r="AX77" s="21">
        <f t="shared" si="60"/>
        <v>5.2248612030169364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>
        <f>BD77*VLOOKUP('Données projet'!$B$11,Paramètres!$A$1:$I$89,3,0)*VLOOKUP('Données projet'!$B$11,Paramètres!$A$1:$I$89,5,0)</f>
        <v>0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72.647148358003676</v>
      </c>
      <c r="BJ77" s="59">
        <f t="shared" si="92"/>
        <v>87.231299224620898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0.53236991546614643</v>
      </c>
      <c r="BQ77" s="21">
        <f>EXP(-LN(2)/25)*BQ76+(1-EXP(-LN(2)/25))/(LN(2)/25)*Calculateur!BL77*Calculateur!BN77*VLOOKUP('Données projet'!$B$11,Paramètres!$A$1:$I$89,3,0)*0.475*44/12</f>
        <v>1.3378072136238726</v>
      </c>
      <c r="BR77" s="21">
        <f>EXP(-LN(2)/2)*BR76+(1-EXP(-LN(2)/2))/(LN(2)/2)*BL77*BO77*VLOOKUP('Données projet'!$B$11,Paramètres!$A$1:$I$89,3,0)*0.475*44/12</f>
        <v>5.4380801111955291E-7</v>
      </c>
      <c r="BS77" s="22">
        <f t="shared" si="63"/>
        <v>1.8701776728980302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6</v>
      </c>
      <c r="BY77" s="12">
        <f>IF('Données projet'!$A$114&gt;35,BY76+BX77-CG76,IF(A77&lt;'Données projet'!$A$114,$BV$205^A77,IF(A77='Données projet'!$A$114,'Données projet'!$B$114,BY76+BX77-CG76)))</f>
        <v>341.00000000000006</v>
      </c>
      <c r="BZ77" s="13">
        <f>BY77*VLOOKUP('Données projet'!$B$12,Paramètres!$A$1:$I$89,3,0)*VLOOKUP('Données projet'!$B$12,Paramètres!$A$1:$I$89,5,0)</f>
        <v>203.91800000000006</v>
      </c>
      <c r="CA77" s="13">
        <f t="shared" si="93"/>
        <v>50.604250898161411</v>
      </c>
      <c r="CB77" s="20">
        <f t="shared" si="64"/>
        <v>443.29292031429787</v>
      </c>
      <c r="CC77" s="59">
        <f t="shared" si="65"/>
        <v>736.62625364763119</v>
      </c>
      <c r="CD77" s="59">
        <f ca="1">AVERAGE(OFFSET($CC$3,0,0,'Données projet'!$E$12+1,1))-AVERAGE(OFFSET($H$3,0,0,'Données projet'!$E$12+1,1))</f>
        <v>165.39579887388538</v>
      </c>
      <c r="CE77" s="59">
        <f t="shared" si="94"/>
        <v>155.89639262545802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2.1521362601516953</v>
      </c>
      <c r="CM77" s="21">
        <f>EXP(-LN(2)/2)*CM76+(1-EXP(-LN(2)/2))/(LN(2)/2)*CG77*CJ77*VLOOKUP('Données projet'!$B$12,Paramètres!$A$1:$I$89,3,0)*0.475*44/12</f>
        <v>3.309258397907484E-6</v>
      </c>
      <c r="CN77" s="22">
        <f t="shared" si="66"/>
        <v>2.1521395694100933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5.6</v>
      </c>
      <c r="CT77" s="12">
        <f>IF('Données projet'!$A$140&gt;35,CT76+CS77-DB76,IF(A77&lt;'Données projet'!$A$140,$CQ$205^A77,IF(A77='Données projet'!$A$140,'Données projet'!$B$140,CT76+CS77-DB76)))</f>
        <v>300.40000000000032</v>
      </c>
      <c r="CU77" s="17">
        <f>CT77*VLOOKUP('Données projet'!$B$13,Paramètres!$A$1:$I$89,3,0)*VLOOKUP('Données projet'!$B$13,Paramètres!$A$1:$I$89,5,0)</f>
        <v>234.31200000000027</v>
      </c>
      <c r="CV77" s="13">
        <f t="shared" si="95"/>
        <v>57.214026458952496</v>
      </c>
      <c r="CW77" s="20">
        <f t="shared" si="67"/>
        <v>507.74116274934266</v>
      </c>
      <c r="CX77" s="59">
        <f t="shared" si="68"/>
        <v>801.07449608267598</v>
      </c>
      <c r="CY77" s="59">
        <f ca="1">AVERAGE(OFFSET($CX$3,0,0,'Données projet'!$E$13+1,1))-AVERAGE(OFFSET($H$3,0,0,'Données projet'!$E$13+1,1))</f>
        <v>190.06335940156185</v>
      </c>
      <c r="CZ77" s="59">
        <f t="shared" si="96"/>
        <v>166.43663896839928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0</v>
      </c>
      <c r="DG77" s="21">
        <f>EXP(-LN(2)/25)*DG76+(1-EXP(-LN(2)/25))/(LN(2)/25)*Calculateur!DB77*Calculateur!DD77*VLOOKUP('Données projet'!$B$13,Paramètres!$A$1:$I$89,3,0)*0.475*44/12</f>
        <v>1.3187082934160776</v>
      </c>
      <c r="DH77" s="21">
        <f>EXP(-LN(2)/2)*DH76+(1-EXP(-LN(2)/2))/(LN(2)/2)*DB77*DE77*VLOOKUP('Données projet'!$B$13,Paramètres!$A$1:$I$89,3,0)*0.475*44/12</f>
        <v>1.2699124460073213E-6</v>
      </c>
      <c r="DI77" s="22">
        <f t="shared" si="69"/>
        <v>1.3187095633285237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6.1</v>
      </c>
      <c r="DO77" s="12">
        <f>IF('Données projet'!$A$166&gt;35,DO76+DN77-DW76,IF(A77&lt;'Données projet'!$A$166,$DL$205^A77,IF(A77='Données projet'!$A$166,'Données projet'!$B$166,DO76+DN77-DW76)))</f>
        <v>245.40000000000018</v>
      </c>
      <c r="DP77" s="17">
        <f>DO77*VLOOKUP('Données projet'!$B$14,Paramètres!$A$1:$I$89,3,0)*VLOOKUP('Données projet'!$B$14,Paramètres!$A$1:$I$89,5,0)</f>
        <v>237.35088000000019</v>
      </c>
      <c r="DQ77" s="13">
        <f t="shared" si="97"/>
        <v>57.869191740413591</v>
      </c>
      <c r="DR77" s="20">
        <f t="shared" si="70"/>
        <v>514.17495828122071</v>
      </c>
      <c r="DS77" s="59">
        <f t="shared" si="71"/>
        <v>807.50829161455408</v>
      </c>
      <c r="DT77" s="59">
        <f ca="1">AVERAGE(OFFSET($DS$3,0,0,'Données projet'!$E$14+1,1))-AVERAGE(OFFSET($H$3,0,0,'Données projet'!$E$14+1,1))</f>
        <v>261.22357949323879</v>
      </c>
      <c r="DU77" s="59">
        <f t="shared" si="98"/>
        <v>163.41029152029387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0</v>
      </c>
      <c r="EB77" s="21">
        <f>EXP(-LN(2)/25)*EB76+(1-EXP(-LN(2)/25))/(LN(2)/25)*Calculateur!DW77*Calculateur!DY77*VLOOKUP('Données projet'!$B$14,Paramètres!$A$1:$I$89,3,0)*0.475*44/12</f>
        <v>0.98026548142670156</v>
      </c>
      <c r="EC77" s="21">
        <f>EXP(-LN(2)/2)*EC76+(1-EXP(-LN(2)/2))/(LN(2)/2)*DW77*DZ77*VLOOKUP('Données projet'!$B$14,Paramètres!$A$1:$I$89,3,0)*0.475*44/12</f>
        <v>1.5774248672952423E-6</v>
      </c>
      <c r="ED77" s="22">
        <f t="shared" si="72"/>
        <v>0.98026705885156884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7.7</v>
      </c>
      <c r="EJ77" s="12">
        <f>IF('Données projet'!$A$192&gt;35,EJ76+EI77-ER76,IF(A77&lt;'Données projet'!$A$192,$EG$205^A77,IF(A77='Données projet'!$A$192,'Données projet'!$B$192,EJ76+EI77-ER76)))</f>
        <v>288.2999999999999</v>
      </c>
      <c r="EK77" s="17">
        <f>EJ77*VLOOKUP('Données projet'!$B$15,Paramètres!$A$1:$I$89,3,0)*VLOOKUP('Données projet'!$B$15,Paramètres!$A$1:$I$89,5,0)</f>
        <v>134.92439999999993</v>
      </c>
      <c r="EL77" s="13">
        <f t="shared" si="99"/>
        <v>35.131769660365201</v>
      </c>
      <c r="EM77" s="20">
        <f t="shared" si="73"/>
        <v>296.18116215846925</v>
      </c>
      <c r="EN77" s="59">
        <f t="shared" si="74"/>
        <v>589.51449549180256</v>
      </c>
      <c r="EO77" s="59">
        <f ca="1">AVERAGE(OFFSET($EN$3,0,0,'Données projet'!$E$15+1,1))-AVERAGE(OFFSET($H$3,0,0,'Données projet'!$E$15+1,1))</f>
        <v>123.60520571614535</v>
      </c>
      <c r="EP77" s="59">
        <f t="shared" si="100"/>
        <v>119.00926870519527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0.36285482865863589</v>
      </c>
      <c r="EW77" s="21">
        <f>EXP(-LN(2)/25)*EW76+(1-EXP(-LN(2)/25))/(LN(2)/25)*Calculateur!ER77*Calculateur!ET77*VLOOKUP('Données projet'!$B$15,Paramètres!$A$1:$I$89,3,0)*0.475*44/12</f>
        <v>1.4103290958616921</v>
      </c>
      <c r="EX77" s="21">
        <f>EXP(-LN(2)/2)*EX76+(1-EXP(-LN(2)/2))/(LN(2)/2)*ER77*EU77*VLOOKUP('Données projet'!$B$15,Paramètres!$A$1:$I$89,3,0)*0.475*44/12</f>
        <v>1.4576221683222164E-6</v>
      </c>
      <c r="EY77" s="22">
        <f t="shared" si="75"/>
        <v>1.7731853821424963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2.5</v>
      </c>
      <c r="FE77" s="12">
        <f>IF('Données projet'!$A$218&gt;35,FE76+FD77-FM76,IF(A77&lt;'Données projet'!$A$218,$FB$205^A77,IF(A77='Données projet'!$A$218,'Données projet'!$B$218,FE76+FD77-FM76)))</f>
        <v>210.99999999999991</v>
      </c>
      <c r="FF77" s="17">
        <f>FE77*VLOOKUP('Données projet'!$B$16,Paramètres!$A$1:$I$89,3,0)*VLOOKUP('Données projet'!$B$16,Paramètres!$A$1:$I$89,5,0)</f>
        <v>154.70519999999993</v>
      </c>
      <c r="FG77" s="13">
        <f t="shared" si="101"/>
        <v>39.645929536036498</v>
      </c>
      <c r="FH77" s="20">
        <f t="shared" si="76"/>
        <v>338.49488394193014</v>
      </c>
      <c r="FI77" s="59">
        <f t="shared" si="77"/>
        <v>631.82821727526346</v>
      </c>
      <c r="FJ77" s="59">
        <f ca="1">AVERAGE(OFFSET($FI$3,0,0,'Données projet'!$E$16+1,1))-AVERAGE(OFFSET($H$3,0,0,'Données projet'!$E$16+1,1))</f>
        <v>124.15919323713428</v>
      </c>
      <c r="FK77" s="59">
        <f t="shared" si="102"/>
        <v>157.85954678210715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0</v>
      </c>
      <c r="FR77" s="21">
        <f>EXP(-LN(2)/25)*FR76+(1-EXP(-LN(2)/25))/(LN(2)/25)*Calculateur!FM77*Calculateur!FO77*VLOOKUP('Données projet'!$B$16,Paramètres!$A$1:$I$89,3,0)*0.475*44/12</f>
        <v>1.48403150452232</v>
      </c>
      <c r="FS77" s="21">
        <f>EXP(-LN(2)/2)*FS76+(1-EXP(-LN(2)/2))/(LN(2)/2)*FM77*FP77*VLOOKUP('Données projet'!$B$16,Paramètres!$A$1:$I$89,3,0)*0.475*44/12</f>
        <v>1.7588934295280569E-6</v>
      </c>
      <c r="FT77" s="22">
        <f t="shared" si="78"/>
        <v>1.4840332634157496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6.1</v>
      </c>
      <c r="N78" s="13">
        <f>IF('Données projet'!$A$36&gt;35,N77+M78-V77,IF(A78&lt;'Données projet'!$A$36,$K$205^A78,IF(A78='Données projet'!$A$36,'Données projet'!$B$36,N77+M78-V77)))</f>
        <v>251.50000000000017</v>
      </c>
      <c r="O78" s="13">
        <f>N78*VLOOKUP('Données projet'!$B$9,Paramètres!$A$1:$I$89,3,0)*VLOOKUP('Données projet'!$B$9,Paramètres!$A$1:$I$89,5,0)</f>
        <v>227.55720000000014</v>
      </c>
      <c r="P78" s="13">
        <f t="shared" si="87"/>
        <v>55.754163267932753</v>
      </c>
      <c r="Q78" s="20">
        <f t="shared" si="54"/>
        <v>493.43395769164982</v>
      </c>
      <c r="R78" s="59">
        <f t="shared" si="55"/>
        <v>786.76729102498314</v>
      </c>
      <c r="S78" s="59">
        <f ca="1">AVERAGE(OFFSET($R$3,0,0,'Données projet'!$E$9+1,1))-AVERAGE(OFFSET($H$3,0,0,'Données projet'!$E$9+1,1))</f>
        <v>237.22177246688199</v>
      </c>
      <c r="T78" s="59">
        <f t="shared" si="88"/>
        <v>149.27472147904302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0</v>
      </c>
      <c r="AA78" s="21">
        <f>EXP(-LN(2)/25)*AA77+(1-EXP(-LN(2)/25))/(LN(2)/25)*Calculateur!V78*Calculateur!X78*VLOOKUP('Données projet'!$B$9,Paramètres!$A$1:$I$89,3,0)*0.475*44/12</f>
        <v>0.89194651736541442</v>
      </c>
      <c r="AB78" s="21">
        <f>EXP(-LN(2)/2)*AB77+(1-EXP(-LN(2)/2))/(LN(2)/2)*V78*Y78*VLOOKUP('Données projet'!$B$9,Paramètres!$A$1:$I$89,3,0)*0.475*44/12</f>
        <v>1.0434460256072877E-6</v>
      </c>
      <c r="AC78" s="22">
        <f t="shared" si="57"/>
        <v>0.89194756081144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3.3</v>
      </c>
      <c r="AI78" s="13">
        <f>IF('Données projet'!$A$62&gt;35,AI77+AH78-AQ77,IF(A78&lt;'Données projet'!$A$62,$AF$205^A78,IF(A78='Données projet'!$A$62,'Données projet'!$B$62,AI77+AH78-AQ77)))</f>
        <v>207.49999999999986</v>
      </c>
      <c r="AJ78" s="13">
        <f>AI78*VLOOKUP('Données projet'!$B$10,Paramètres!$A$1:$I$89,3,0)*VLOOKUP('Données projet'!$B$10,Paramètres!$A$1:$I$89,5,0)</f>
        <v>181.27199999999991</v>
      </c>
      <c r="AK78" s="13">
        <f t="shared" si="89"/>
        <v>45.605066645465826</v>
      </c>
      <c r="AL78" s="20">
        <f t="shared" si="58"/>
        <v>395.14422440751946</v>
      </c>
      <c r="AM78" s="59">
        <f t="shared" si="59"/>
        <v>688.47755774085272</v>
      </c>
      <c r="AN78" s="59">
        <f ca="1">AVERAGE(OFFSET($AM$3,0,0,'Données projet'!$E$10+1,1))-AVERAGE(OFFSET($H$3,0,0,'Données projet'!$E$10+1,1))</f>
        <v>191.94797389630673</v>
      </c>
      <c r="AO78" s="59">
        <f t="shared" si="90"/>
        <v>273.52540822767878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1.0560423016307938</v>
      </c>
      <c r="AV78" s="21">
        <f>EXP(-LN(2)/25)*AV77+(1-EXP(-LN(2)/25))/(LN(2)/25)*Calculateur!AQ78*Calculateur!AS78*VLOOKUP('Données projet'!$B$10,Paramètres!$A$1:$I$89,3,0)*0.475*44/12</f>
        <v>4.0342720000038375</v>
      </c>
      <c r="AW78" s="21">
        <f>EXP(-LN(2)/2)*AW77+(1-EXP(-LN(2)/2))/(LN(2)/2)*AQ78*AT78*VLOOKUP('Données projet'!$B$10,Paramètres!$A$1:$I$89,3,0)*0.475*44/12</f>
        <v>3.9117439114561907E-6</v>
      </c>
      <c r="AX78" s="21">
        <f t="shared" si="60"/>
        <v>5.0903182133785432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>
        <f>BD78*VLOOKUP('Données projet'!$B$11,Paramètres!$A$1:$I$89,3,0)*VLOOKUP('Données projet'!$B$11,Paramètres!$A$1:$I$89,5,0)</f>
        <v>0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72.647148358003676</v>
      </c>
      <c r="BJ78" s="59">
        <f t="shared" si="92"/>
        <v>87.231299224620898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0.52193046613744087</v>
      </c>
      <c r="BQ78" s="21">
        <f>EXP(-LN(2)/25)*BQ77+(1-EXP(-LN(2)/25))/(LN(2)/25)*Calculateur!BL78*Calculateur!BN78*VLOOKUP('Données projet'!$B$11,Paramètres!$A$1:$I$89,3,0)*0.475*44/12</f>
        <v>1.3012248050151041</v>
      </c>
      <c r="BR78" s="21">
        <f>EXP(-LN(2)/2)*BR77+(1-EXP(-LN(2)/2))/(LN(2)/2)*BL78*BO78*VLOOKUP('Données projet'!$B$11,Paramètres!$A$1:$I$89,3,0)*0.475*44/12</f>
        <v>3.8453033232620531E-7</v>
      </c>
      <c r="BS78" s="22">
        <f t="shared" si="63"/>
        <v>1.8231556556828772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6</v>
      </c>
      <c r="BY78" s="12">
        <f>IF('Données projet'!$A$114&gt;35,BY77+BX78-CG77,IF(A78&lt;'Données projet'!$A$114,$BV$205^A78,IF(A78='Données projet'!$A$114,'Données projet'!$B$114,BY77+BX78-CG77)))</f>
        <v>347.00000000000006</v>
      </c>
      <c r="BZ78" s="13">
        <f>BY78*VLOOKUP('Données projet'!$B$12,Paramètres!$A$1:$I$89,3,0)*VLOOKUP('Données projet'!$B$12,Paramètres!$A$1:$I$89,5,0)</f>
        <v>207.50600000000006</v>
      </c>
      <c r="CA78" s="13">
        <f t="shared" si="93"/>
        <v>51.3902055726969</v>
      </c>
      <c r="CB78" s="20">
        <f t="shared" si="64"/>
        <v>450.91089137244717</v>
      </c>
      <c r="CC78" s="59">
        <f t="shared" si="65"/>
        <v>744.24422470578043</v>
      </c>
      <c r="CD78" s="59">
        <f ca="1">AVERAGE(OFFSET($CC$3,0,0,'Données projet'!$E$12+1,1))-AVERAGE(OFFSET($H$3,0,0,'Données projet'!$E$12+1,1))</f>
        <v>165.39579887388538</v>
      </c>
      <c r="CE78" s="59">
        <f t="shared" si="94"/>
        <v>155.89639262545802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</v>
      </c>
      <c r="CL78" s="21">
        <f>EXP(-LN(2)/25)*CL77+(1-EXP(-LN(2)/25))/(LN(2)/25)*Calculateur!CG78*Calculateur!CI78*VLOOKUP('Données projet'!$B$12,Paramètres!$A$1:$I$89,3,0)*0.475*44/12</f>
        <v>2.09328598094192</v>
      </c>
      <c r="CM78" s="21">
        <f>EXP(-LN(2)/2)*CM77+(1-EXP(-LN(2)/2))/(LN(2)/2)*CG78*CJ78*VLOOKUP('Données projet'!$B$12,Paramètres!$A$1:$I$89,3,0)*0.475*44/12</f>
        <v>2.3399990538589121E-6</v>
      </c>
      <c r="CN78" s="22">
        <f t="shared" si="66"/>
        <v>2.0932883209409741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306</v>
      </c>
      <c r="CR78" s="12">
        <f>VLOOKUP(A78,'Données projet'!$A$139:$I$159,9,0)</f>
        <v>5.6</v>
      </c>
      <c r="CS78" s="12">
        <f t="array" ref="CS78">INDEX(CR:CR,MIN(IF(ISNUMBER(CR78:CR274),ROW(CR78:CR274),"")))</f>
        <v>5.6</v>
      </c>
      <c r="CT78" s="12">
        <f>IF('Données projet'!$A$140&gt;35,CT77+CS78-DB77,IF(A78&lt;'Données projet'!$A$140,$CQ$205^A78,IF(A78='Données projet'!$A$140,'Données projet'!$B$140,CT77+CS78-DB77)))</f>
        <v>306.00000000000034</v>
      </c>
      <c r="CU78" s="17">
        <f>CT78*VLOOKUP('Données projet'!$B$13,Paramètres!$A$1:$I$89,3,0)*VLOOKUP('Données projet'!$B$13,Paramètres!$A$1:$I$89,5,0)</f>
        <v>238.68000000000026</v>
      </c>
      <c r="CV78" s="13">
        <f t="shared" si="95"/>
        <v>58.15543495554752</v>
      </c>
      <c r="CW78" s="20">
        <f t="shared" si="67"/>
        <v>516.98838254757902</v>
      </c>
      <c r="CX78" s="59">
        <f t="shared" si="68"/>
        <v>810.32171588091228</v>
      </c>
      <c r="CY78" s="59">
        <f ca="1">AVERAGE(OFFSET($CX$3,0,0,'Données projet'!$E$13+1,1))-AVERAGE(OFFSET($H$3,0,0,'Données projet'!$E$13+1,1))</f>
        <v>190.06335940156185</v>
      </c>
      <c r="CZ78" s="59">
        <f t="shared" si="96"/>
        <v>166.43663896839928</v>
      </c>
      <c r="DA78" s="15">
        <f>IF(ISNA(VLOOKUP(A78,'Données projet'!$A$139:$I$159,3,0)),0,VLOOKUP(A78,'Données projet'!$A$139:$I$159,3,0))</f>
        <v>7</v>
      </c>
      <c r="DB78" s="15">
        <f>IF(ISNA(VLOOKUP(A78,'Données projet'!$A$139:$I$159,4,0)),0,VLOOKUP(A78,'Données projet'!$A$139:$I$159,4,0))</f>
        <v>306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0</v>
      </c>
      <c r="DG78" s="21">
        <f>EXP(-LN(2)/25)*DG77+(1-EXP(-LN(2)/25))/(LN(2)/25)*Calculateur!DB78*Calculateur!DD78*VLOOKUP('Données projet'!$B$13,Paramètres!$A$1:$I$89,3,0)*0.475*44/12</f>
        <v>1.2826481457847598</v>
      </c>
      <c r="DH78" s="21">
        <f>EXP(-LN(2)/2)*DH77+(1-EXP(-LN(2)/2))/(LN(2)/2)*DB78*DE78*VLOOKUP('Données projet'!$B$13,Paramètres!$A$1:$I$89,3,0)*0.475*44/12</f>
        <v>8.9796370208497229E-7</v>
      </c>
      <c r="DI78" s="22">
        <f t="shared" si="69"/>
        <v>1.2826490437484619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6.1</v>
      </c>
      <c r="DO78" s="12">
        <f>IF('Données projet'!$A$166&gt;35,DO77+DN78-DW77,IF(A78&lt;'Données projet'!$A$166,$DL$205^A78,IF(A78='Données projet'!$A$166,'Données projet'!$B$166,DO77+DN78-DW77)))</f>
        <v>251.50000000000017</v>
      </c>
      <c r="DP78" s="17">
        <f>DO78*VLOOKUP('Données projet'!$B$14,Paramètres!$A$1:$I$89,3,0)*VLOOKUP('Données projet'!$B$14,Paramètres!$A$1:$I$89,5,0)</f>
        <v>243.25080000000014</v>
      </c>
      <c r="DQ78" s="13">
        <f t="shared" si="97"/>
        <v>59.138407327216456</v>
      </c>
      <c r="DR78" s="20">
        <f t="shared" si="70"/>
        <v>526.66120276156892</v>
      </c>
      <c r="DS78" s="59">
        <f t="shared" si="71"/>
        <v>819.99453609490229</v>
      </c>
      <c r="DT78" s="59">
        <f ca="1">AVERAGE(OFFSET($DS$3,0,0,'Données projet'!$E$14+1,1))-AVERAGE(OFFSET($H$3,0,0,'Données projet'!$E$14+1,1))</f>
        <v>261.22357949323879</v>
      </c>
      <c r="DU78" s="59">
        <f t="shared" si="98"/>
        <v>163.41029152029387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0</v>
      </c>
      <c r="EB78" s="21">
        <f>EXP(-LN(2)/25)*EB77+(1-EXP(-LN(2)/25))/(LN(2)/25)*Calculateur!DW78*Calculateur!DY78*VLOOKUP('Données projet'!$B$14,Paramètres!$A$1:$I$89,3,0)*0.475*44/12</f>
        <v>0.95346007028716717</v>
      </c>
      <c r="EC78" s="21">
        <f>EXP(-LN(2)/2)*EC77+(1-EXP(-LN(2)/2))/(LN(2)/2)*DW78*DZ78*VLOOKUP('Données projet'!$B$14,Paramètres!$A$1:$I$89,3,0)*0.475*44/12</f>
        <v>1.1154078204767556E-6</v>
      </c>
      <c r="ED78" s="22">
        <f t="shared" si="72"/>
        <v>0.95346118569498761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7.7</v>
      </c>
      <c r="EJ78" s="12">
        <f>IF('Données projet'!$A$192&gt;35,EJ77+EI78-ER77,IF(A78&lt;'Données projet'!$A$192,$EG$205^A78,IF(A78='Données projet'!$A$192,'Données projet'!$B$192,EJ77+EI78-ER77)))</f>
        <v>295.99999999999989</v>
      </c>
      <c r="EK78" s="17">
        <f>EJ78*VLOOKUP('Données projet'!$B$15,Paramètres!$A$1:$I$89,3,0)*VLOOKUP('Données projet'!$B$15,Paramètres!$A$1:$I$89,5,0)</f>
        <v>138.52799999999996</v>
      </c>
      <c r="EL78" s="13">
        <f t="shared" si="99"/>
        <v>35.959583801423776</v>
      </c>
      <c r="EM78" s="20">
        <f t="shared" si="73"/>
        <v>303.89920845414628</v>
      </c>
      <c r="EN78" s="59">
        <f t="shared" si="74"/>
        <v>597.23254178747959</v>
      </c>
      <c r="EO78" s="59">
        <f ca="1">AVERAGE(OFFSET($EN$3,0,0,'Données projet'!$E$15+1,1))-AVERAGE(OFFSET($H$3,0,0,'Données projet'!$E$15+1,1))</f>
        <v>123.60520571614535</v>
      </c>
      <c r="EP78" s="59">
        <f t="shared" si="100"/>
        <v>119.00926870519527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0.35573946678823204</v>
      </c>
      <c r="EW78" s="21">
        <f>EXP(-LN(2)/25)*EW77+(1-EXP(-LN(2)/25))/(LN(2)/25)*Calculateur!ER78*Calculateur!ET78*VLOOKUP('Données projet'!$B$15,Paramètres!$A$1:$I$89,3,0)*0.475*44/12</f>
        <v>1.3717635725693702</v>
      </c>
      <c r="EX78" s="21">
        <f>EXP(-LN(2)/2)*EX77+(1-EXP(-LN(2)/2))/(LN(2)/2)*ER78*EU78*VLOOKUP('Données projet'!$B$15,Paramètres!$A$1:$I$89,3,0)*0.475*44/12</f>
        <v>1.0306945196284784E-6</v>
      </c>
      <c r="EY78" s="22">
        <f t="shared" si="75"/>
        <v>1.727504070052122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2.5</v>
      </c>
      <c r="FE78" s="12">
        <f>IF('Données projet'!$A$218&gt;35,FE77+FD78-FM77,IF(A78&lt;'Données projet'!$A$218,$FB$205^A78,IF(A78='Données projet'!$A$218,'Données projet'!$B$218,FE77+FD78-FM77)))</f>
        <v>213.49999999999991</v>
      </c>
      <c r="FF78" s="17">
        <f>FE78*VLOOKUP('Données projet'!$B$16,Paramètres!$A$1:$I$89,3,0)*VLOOKUP('Données projet'!$B$16,Paramètres!$A$1:$I$89,5,0)</f>
        <v>156.53819999999993</v>
      </c>
      <c r="FG78" s="13">
        <f t="shared" si="101"/>
        <v>40.060705515167541</v>
      </c>
      <c r="FH78" s="20">
        <f t="shared" si="76"/>
        <v>342.40976043891669</v>
      </c>
      <c r="FI78" s="59">
        <f t="shared" si="77"/>
        <v>635.74309377224995</v>
      </c>
      <c r="FJ78" s="59">
        <f ca="1">AVERAGE(OFFSET($FI$3,0,0,'Données projet'!$E$16+1,1))-AVERAGE(OFFSET($H$3,0,0,'Données projet'!$E$16+1,1))</f>
        <v>124.15919323713428</v>
      </c>
      <c r="FK78" s="59">
        <f t="shared" si="102"/>
        <v>157.85954678210715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0</v>
      </c>
      <c r="FR78" s="21">
        <f>EXP(-LN(2)/25)*FR77+(1-EXP(-LN(2)/25))/(LN(2)/25)*Calculateur!FM78*Calculateur!FO78*VLOOKUP('Données projet'!$B$16,Paramètres!$A$1:$I$89,3,0)*0.475*44/12</f>
        <v>1.4434505849893322</v>
      </c>
      <c r="FS78" s="21">
        <f>EXP(-LN(2)/2)*FS77+(1-EXP(-LN(2)/2))/(LN(2)/2)*FM78*FP78*VLOOKUP('Données projet'!$B$16,Paramètres!$A$1:$I$89,3,0)*0.475*44/12</f>
        <v>1.2437254714037518E-6</v>
      </c>
      <c r="FT78" s="22">
        <f t="shared" si="78"/>
        <v>1.4434518287148037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6.1</v>
      </c>
      <c r="N79" s="13">
        <f>IF('Données projet'!$A$36&gt;35,N78+M79-V78,IF(A79&lt;'Données projet'!$A$36,$K$205^A79,IF(A79='Données projet'!$A$36,'Données projet'!$B$36,N78+M79-V78)))</f>
        <v>257.60000000000019</v>
      </c>
      <c r="O79" s="13">
        <f>N79*VLOOKUP('Données projet'!$B$9,Paramètres!$A$1:$I$89,3,0)*VLOOKUP('Données projet'!$B$9,Paramètres!$A$1:$I$89,5,0)</f>
        <v>233.07648000000017</v>
      </c>
      <c r="P79" s="13">
        <f t="shared" si="87"/>
        <v>56.947373142454929</v>
      </c>
      <c r="Q79" s="20">
        <f t="shared" si="54"/>
        <v>505.12487755644264</v>
      </c>
      <c r="R79" s="59">
        <f t="shared" si="55"/>
        <v>798.45821088977596</v>
      </c>
      <c r="S79" s="59">
        <f ca="1">AVERAGE(OFFSET($R$3,0,0,'Données projet'!$E$9+1,1))-AVERAGE(OFFSET($H$3,0,0,'Données projet'!$E$9+1,1))</f>
        <v>237.22177246688199</v>
      </c>
      <c r="T79" s="59">
        <f t="shared" si="88"/>
        <v>149.27472147904302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0</v>
      </c>
      <c r="AA79" s="21">
        <f>EXP(-LN(2)/25)*AA78+(1-EXP(-LN(2)/25))/(LN(2)/25)*Calculateur!V79*Calculateur!X79*VLOOKUP('Données projet'!$B$9,Paramètres!$A$1:$I$89,3,0)*0.475*44/12</f>
        <v>0.86755619294262842</v>
      </c>
      <c r="AB79" s="21">
        <f>EXP(-LN(2)/2)*AB78+(1-EXP(-LN(2)/2))/(LN(2)/2)*V79*Y79*VLOOKUP('Données projet'!$B$9,Paramètres!$A$1:$I$89,3,0)*0.475*44/12</f>
        <v>7.3782776050906506E-7</v>
      </c>
      <c r="AC79" s="22">
        <f t="shared" si="57"/>
        <v>0.86755693077038898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3.3</v>
      </c>
      <c r="AI79" s="13">
        <f>IF('Données projet'!$A$62&gt;35,AI78+AH79-AQ78,IF(A79&lt;'Données projet'!$A$62,$AF$205^A79,IF(A79='Données projet'!$A$62,'Données projet'!$B$62,AI78+AH79-AQ78)))</f>
        <v>210.79999999999987</v>
      </c>
      <c r="AJ79" s="13">
        <f>AI79*VLOOKUP('Données projet'!$B$10,Paramètres!$A$1:$I$89,3,0)*VLOOKUP('Données projet'!$B$10,Paramètres!$A$1:$I$89,5,0)</f>
        <v>184.15487999999993</v>
      </c>
      <c r="AK79" s="13">
        <f t="shared" si="89"/>
        <v>46.245339127946259</v>
      </c>
      <c r="AL79" s="20">
        <f t="shared" si="58"/>
        <v>401.28038164783965</v>
      </c>
      <c r="AM79" s="59">
        <f t="shared" si="59"/>
        <v>694.61371498117296</v>
      </c>
      <c r="AN79" s="59">
        <f ca="1">AVERAGE(OFFSET($AM$3,0,0,'Données projet'!$E$10+1,1))-AVERAGE(OFFSET($H$3,0,0,'Données projet'!$E$10+1,1))</f>
        <v>191.94797389630673</v>
      </c>
      <c r="AO79" s="59">
        <f t="shared" si="90"/>
        <v>273.52540822767878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1.0353339562180162</v>
      </c>
      <c r="AV79" s="21">
        <f>EXP(-LN(2)/25)*AV78+(1-EXP(-LN(2)/25))/(LN(2)/25)*Calculateur!AQ79*Calculateur!AS79*VLOOKUP('Données projet'!$B$10,Paramètres!$A$1:$I$89,3,0)*0.475*44/12</f>
        <v>3.9239546200105884</v>
      </c>
      <c r="AW79" s="21">
        <f>EXP(-LN(2)/2)*AW78+(1-EXP(-LN(2)/2))/(LN(2)/2)*AQ79*AT79*VLOOKUP('Données projet'!$B$10,Paramètres!$A$1:$I$89,3,0)*0.475*44/12</f>
        <v>2.7660206460558622E-6</v>
      </c>
      <c r="AX79" s="21">
        <f t="shared" si="60"/>
        <v>4.9592913422492506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>
        <f>BD79*VLOOKUP('Données projet'!$B$11,Paramètres!$A$1:$I$89,3,0)*VLOOKUP('Données projet'!$B$11,Paramètres!$A$1:$I$89,5,0)</f>
        <v>0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72.647148358003676</v>
      </c>
      <c r="BJ79" s="59">
        <f t="shared" si="92"/>
        <v>87.231299224620898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0.51169572804263597</v>
      </c>
      <c r="BQ79" s="21">
        <f>EXP(-LN(2)/25)*BQ78+(1-EXP(-LN(2)/25))/(LN(2)/25)*Calculateur!BL79*Calculateur!BN79*VLOOKUP('Données projet'!$B$11,Paramètres!$A$1:$I$89,3,0)*0.475*44/12</f>
        <v>1.2656427442935276</v>
      </c>
      <c r="BR79" s="21">
        <f>EXP(-LN(2)/2)*BR78+(1-EXP(-LN(2)/2))/(LN(2)/2)*BL79*BO79*VLOOKUP('Données projet'!$B$11,Paramètres!$A$1:$I$89,3,0)*0.475*44/12</f>
        <v>2.7190400555977646E-7</v>
      </c>
      <c r="BS79" s="22">
        <f t="shared" si="63"/>
        <v>1.7773387442401691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6</v>
      </c>
      <c r="BY79" s="12">
        <f>IF('Données projet'!$A$114&gt;35,BY78+BX79-CG78,IF(A79&lt;'Données projet'!$A$114,$BV$205^A79,IF(A79='Données projet'!$A$114,'Données projet'!$B$114,BY78+BX79-CG78)))</f>
        <v>353.00000000000006</v>
      </c>
      <c r="BZ79" s="13">
        <f>BY79*VLOOKUP('Données projet'!$B$12,Paramètres!$A$1:$I$89,3,0)*VLOOKUP('Données projet'!$B$12,Paramètres!$A$1:$I$89,5,0)</f>
        <v>211.09400000000005</v>
      </c>
      <c r="CA79" s="13">
        <f t="shared" si="93"/>
        <v>52.1745798794691</v>
      </c>
      <c r="CB79" s="20">
        <f t="shared" si="64"/>
        <v>458.52610995674212</v>
      </c>
      <c r="CC79" s="59">
        <f t="shared" si="65"/>
        <v>751.85944329007543</v>
      </c>
      <c r="CD79" s="59">
        <f ca="1">AVERAGE(OFFSET($CC$3,0,0,'Données projet'!$E$12+1,1))-AVERAGE(OFFSET($H$3,0,0,'Données projet'!$E$12+1,1))</f>
        <v>165.39579887388538</v>
      </c>
      <c r="CE79" s="59">
        <f t="shared" si="94"/>
        <v>155.89639262545802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</v>
      </c>
      <c r="CL79" s="21">
        <f>EXP(-LN(2)/25)*CL78+(1-EXP(-LN(2)/25))/(LN(2)/25)*Calculateur!CG79*Calculateur!CI79*VLOOKUP('Données projet'!$B$12,Paramètres!$A$1:$I$89,3,0)*0.475*44/12</f>
        <v>2.0360449657119375</v>
      </c>
      <c r="CM79" s="21">
        <f>EXP(-LN(2)/2)*CM78+(1-EXP(-LN(2)/2))/(LN(2)/2)*CG79*CJ79*VLOOKUP('Données projet'!$B$12,Paramètres!$A$1:$I$89,3,0)*0.475*44/12</f>
        <v>1.654629198953742E-6</v>
      </c>
      <c r="CN79" s="22">
        <f t="shared" si="66"/>
        <v>2.0360466203411365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3.4106051316484809E-13</v>
      </c>
      <c r="CU79" s="17">
        <f>CT79*VLOOKUP('Données projet'!$B$13,Paramètres!$A$1:$I$89,3,0)*VLOOKUP('Données projet'!$B$13,Paramètres!$A$1:$I$89,5,0)</f>
        <v>2.6602720026858149E-13</v>
      </c>
      <c r="CV79" s="13">
        <f t="shared" si="95"/>
        <v>3.5662905043956649E-12</v>
      </c>
      <c r="CW79" s="20">
        <f t="shared" si="67"/>
        <v>6.6746200022902298E-12</v>
      </c>
      <c r="CX79" s="59">
        <f t="shared" si="68"/>
        <v>293.33333333333997</v>
      </c>
      <c r="CY79" s="59">
        <f ca="1">AVERAGE(OFFSET($CX$3,0,0,'Données projet'!$E$13+1,1))-AVERAGE(OFFSET($H$3,0,0,'Données projet'!$E$13+1,1))</f>
        <v>190.06335940156185</v>
      </c>
      <c r="CZ79" s="59">
        <f t="shared" si="96"/>
        <v>166.43663896839928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0</v>
      </c>
      <c r="DG79" s="21">
        <f>EXP(-LN(2)/25)*DG78+(1-EXP(-LN(2)/25))/(LN(2)/25)*Calculateur!DB79*Calculateur!DD79*VLOOKUP('Données projet'!$B$13,Paramètres!$A$1:$I$89,3,0)*0.475*44/12</f>
        <v>1.247574064786741</v>
      </c>
      <c r="DH79" s="21">
        <f>EXP(-LN(2)/2)*DH78+(1-EXP(-LN(2)/2))/(LN(2)/2)*DB79*DE79*VLOOKUP('Données projet'!$B$13,Paramètres!$A$1:$I$89,3,0)*0.475*44/12</f>
        <v>6.3495622300366074E-7</v>
      </c>
      <c r="DI79" s="22">
        <f t="shared" si="69"/>
        <v>1.247574699742964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6.1</v>
      </c>
      <c r="DO79" s="12">
        <f>IF('Données projet'!$A$166&gt;35,DO78+DN79-DW78,IF(A79&lt;'Données projet'!$A$166,$DL$205^A79,IF(A79='Données projet'!$A$166,'Données projet'!$B$166,DO78+DN79-DW78)))</f>
        <v>257.60000000000019</v>
      </c>
      <c r="DP79" s="17">
        <f>DO79*VLOOKUP('Données projet'!$B$14,Paramètres!$A$1:$I$89,3,0)*VLOOKUP('Données projet'!$B$14,Paramètres!$A$1:$I$89,5,0)</f>
        <v>249.15072000000021</v>
      </c>
      <c r="DQ79" s="13">
        <f t="shared" si="97"/>
        <v>60.404044320946298</v>
      </c>
      <c r="DR79" s="20">
        <f t="shared" si="70"/>
        <v>539.14121452564848</v>
      </c>
      <c r="DS79" s="59">
        <f t="shared" si="71"/>
        <v>832.47454785898185</v>
      </c>
      <c r="DT79" s="59">
        <f ca="1">AVERAGE(OFFSET($DS$3,0,0,'Données projet'!$E$14+1,1))-AVERAGE(OFFSET($H$3,0,0,'Données projet'!$E$14+1,1))</f>
        <v>261.22357949323879</v>
      </c>
      <c r="DU79" s="59">
        <f t="shared" si="98"/>
        <v>163.41029152029387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0</v>
      </c>
      <c r="EB79" s="21">
        <f>EXP(-LN(2)/25)*EB78+(1-EXP(-LN(2)/25))/(LN(2)/25)*Calculateur!DW79*Calculateur!DY79*VLOOKUP('Données projet'!$B$14,Paramètres!$A$1:$I$89,3,0)*0.475*44/12</f>
        <v>0.9273876545248787</v>
      </c>
      <c r="EC79" s="21">
        <f>EXP(-LN(2)/2)*EC78+(1-EXP(-LN(2)/2))/(LN(2)/2)*DW79*DZ79*VLOOKUP('Données projet'!$B$14,Paramètres!$A$1:$I$89,3,0)*0.475*44/12</f>
        <v>7.8871243364762113E-7</v>
      </c>
      <c r="ED79" s="22">
        <f t="shared" si="72"/>
        <v>0.9273884432373124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7.7</v>
      </c>
      <c r="EJ79" s="12">
        <f>IF('Données projet'!$A$192&gt;35,EJ78+EI79-ER78,IF(A79&lt;'Données projet'!$A$192,$EG$205^A79,IF(A79='Données projet'!$A$192,'Données projet'!$B$192,EJ78+EI79-ER78)))</f>
        <v>303.69999999999987</v>
      </c>
      <c r="EK79" s="17">
        <f>EJ79*VLOOKUP('Données projet'!$B$15,Paramètres!$A$1:$I$89,3,0)*VLOOKUP('Données projet'!$B$15,Paramètres!$A$1:$I$89,5,0)</f>
        <v>142.13159999999993</v>
      </c>
      <c r="EL79" s="13">
        <f t="shared" si="99"/>
        <v>36.784894836428784</v>
      </c>
      <c r="EM79" s="20">
        <f t="shared" si="73"/>
        <v>311.6128951734467</v>
      </c>
      <c r="EN79" s="59">
        <f t="shared" si="74"/>
        <v>604.94622850678002</v>
      </c>
      <c r="EO79" s="59">
        <f ca="1">AVERAGE(OFFSET($EN$3,0,0,'Données projet'!$E$15+1,1))-AVERAGE(OFFSET($H$3,0,0,'Données projet'!$E$15+1,1))</f>
        <v>123.60520571614535</v>
      </c>
      <c r="EP79" s="59">
        <f t="shared" si="100"/>
        <v>119.00926870519527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0.34876363282416462</v>
      </c>
      <c r="EW79" s="21">
        <f>EXP(-LN(2)/25)*EW78+(1-EXP(-LN(2)/25))/(LN(2)/25)*Calculateur!ER79*Calculateur!ET79*VLOOKUP('Données projet'!$B$15,Paramètres!$A$1:$I$89,3,0)*0.475*44/12</f>
        <v>1.3342526255395497</v>
      </c>
      <c r="EX79" s="21">
        <f>EXP(-LN(2)/2)*EX78+(1-EXP(-LN(2)/2))/(LN(2)/2)*ER79*EU79*VLOOKUP('Données projet'!$B$15,Paramètres!$A$1:$I$89,3,0)*0.475*44/12</f>
        <v>7.288110841611082E-7</v>
      </c>
      <c r="EY79" s="22">
        <f t="shared" si="75"/>
        <v>1.6830169871747984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2.5</v>
      </c>
      <c r="FE79" s="12">
        <f>IF('Données projet'!$A$218&gt;35,FE78+FD79-FM78,IF(A79&lt;'Données projet'!$A$218,$FB$205^A79,IF(A79='Données projet'!$A$218,'Données projet'!$B$218,FE78+FD79-FM78)))</f>
        <v>215.99999999999991</v>
      </c>
      <c r="FF79" s="17">
        <f>FE79*VLOOKUP('Données projet'!$B$16,Paramètres!$A$1:$I$89,3,0)*VLOOKUP('Données projet'!$B$16,Paramètres!$A$1:$I$89,5,0)</f>
        <v>158.37119999999993</v>
      </c>
      <c r="FG79" s="13">
        <f t="shared" si="101"/>
        <v>40.474916527059634</v>
      </c>
      <c r="FH79" s="20">
        <f t="shared" si="76"/>
        <v>346.3236529512954</v>
      </c>
      <c r="FI79" s="59">
        <f t="shared" si="77"/>
        <v>639.65698628462872</v>
      </c>
      <c r="FJ79" s="59">
        <f ca="1">AVERAGE(OFFSET($FI$3,0,0,'Données projet'!$E$16+1,1))-AVERAGE(OFFSET($H$3,0,0,'Données projet'!$E$16+1,1))</f>
        <v>124.15919323713428</v>
      </c>
      <c r="FK79" s="59">
        <f t="shared" si="102"/>
        <v>157.85954678210715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0</v>
      </c>
      <c r="FR79" s="21">
        <f>EXP(-LN(2)/25)*FR78+(1-EXP(-LN(2)/25))/(LN(2)/25)*Calculateur!FM79*Calculateur!FO79*VLOOKUP('Données projet'!$B$16,Paramètres!$A$1:$I$89,3,0)*0.475*44/12</f>
        <v>1.4039793528350317</v>
      </c>
      <c r="FS79" s="21">
        <f>EXP(-LN(2)/2)*FS78+(1-EXP(-LN(2)/2))/(LN(2)/2)*FM79*FP79*VLOOKUP('Données projet'!$B$16,Paramètres!$A$1:$I$89,3,0)*0.475*44/12</f>
        <v>8.7944671476402843E-7</v>
      </c>
      <c r="FT79" s="22">
        <f t="shared" si="78"/>
        <v>1.4039802322817465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6.1</v>
      </c>
      <c r="N80" s="13">
        <f>IF('Données projet'!$A$36&gt;35,N79+M80-V79,IF(A80&lt;'Données projet'!$A$36,$K$205^A80,IF(A80='Données projet'!$A$36,'Données projet'!$B$36,N79+M80-V79)))</f>
        <v>263.70000000000022</v>
      </c>
      <c r="O80" s="13">
        <f>N80*VLOOKUP('Données projet'!$B$9,Paramètres!$A$1:$I$89,3,0)*VLOOKUP('Données projet'!$B$9,Paramètres!$A$1:$I$89,5,0)</f>
        <v>238.59576000000018</v>
      </c>
      <c r="P80" s="13">
        <f t="shared" si="87"/>
        <v>58.137298297430824</v>
      </c>
      <c r="Q80" s="20">
        <f t="shared" si="54"/>
        <v>516.81007653469237</v>
      </c>
      <c r="R80" s="59">
        <f t="shared" si="55"/>
        <v>810.14340986802563</v>
      </c>
      <c r="S80" s="59">
        <f ca="1">AVERAGE(OFFSET($R$3,0,0,'Données projet'!$E$9+1,1))-AVERAGE(OFFSET($H$3,0,0,'Données projet'!$E$9+1,1))</f>
        <v>237.22177246688199</v>
      </c>
      <c r="T80" s="59">
        <f t="shared" si="88"/>
        <v>149.27472147904302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0</v>
      </c>
      <c r="AA80" s="21">
        <f>EXP(-LN(2)/25)*AA79+(1-EXP(-LN(2)/25))/(LN(2)/25)*Calculateur!V80*Calculateur!X80*VLOOKUP('Données projet'!$B$9,Paramètres!$A$1:$I$89,3,0)*0.475*44/12</f>
        <v>0.84383282322381492</v>
      </c>
      <c r="AB80" s="21">
        <f>EXP(-LN(2)/2)*AB79+(1-EXP(-LN(2)/2))/(LN(2)/2)*V80*Y80*VLOOKUP('Données projet'!$B$9,Paramètres!$A$1:$I$89,3,0)*0.475*44/12</f>
        <v>5.2172301280364385E-7</v>
      </c>
      <c r="AC80" s="22">
        <f t="shared" si="57"/>
        <v>0.84383334494682771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3.3</v>
      </c>
      <c r="AI80" s="13">
        <f>IF('Données projet'!$A$62&gt;35,AI79+AH80-AQ79,IF(A80&lt;'Données projet'!$A$62,$AF$205^A80,IF(A80='Données projet'!$A$62,'Données projet'!$B$62,AI79+AH80-AQ79)))</f>
        <v>214.09999999999988</v>
      </c>
      <c r="AJ80" s="13">
        <f>AI80*VLOOKUP('Données projet'!$B$10,Paramètres!$A$1:$I$89,3,0)*VLOOKUP('Données projet'!$B$10,Paramètres!$A$1:$I$89,5,0)</f>
        <v>187.03775999999991</v>
      </c>
      <c r="AK80" s="13">
        <f t="shared" si="89"/>
        <v>46.884445917180038</v>
      </c>
      <c r="AL80" s="20">
        <f t="shared" si="58"/>
        <v>407.41450863908841</v>
      </c>
      <c r="AM80" s="59">
        <f t="shared" si="59"/>
        <v>700.74784197242172</v>
      </c>
      <c r="AN80" s="59">
        <f ca="1">AVERAGE(OFFSET($AM$3,0,0,'Données projet'!$E$10+1,1))-AVERAGE(OFFSET($H$3,0,0,'Données projet'!$E$10+1,1))</f>
        <v>191.94797389630673</v>
      </c>
      <c r="AO80" s="59">
        <f t="shared" si="90"/>
        <v>273.52540822767878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1.0150316888279396</v>
      </c>
      <c r="AV80" s="21">
        <f>EXP(-LN(2)/25)*AV79+(1-EXP(-LN(2)/25))/(LN(2)/25)*Calculateur!AQ80*Calculateur!AS80*VLOOKUP('Données projet'!$B$10,Paramètres!$A$1:$I$89,3,0)*0.475*44/12</f>
        <v>3.8166538745745937</v>
      </c>
      <c r="AW80" s="21">
        <f>EXP(-LN(2)/2)*AW79+(1-EXP(-LN(2)/2))/(LN(2)/2)*AQ80*AT80*VLOOKUP('Données projet'!$B$10,Paramètres!$A$1:$I$89,3,0)*0.475*44/12</f>
        <v>1.9558719557280953E-6</v>
      </c>
      <c r="AX80" s="21">
        <f t="shared" si="60"/>
        <v>4.8316875192744897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>
        <f>BD80*VLOOKUP('Données projet'!$B$11,Paramètres!$A$1:$I$89,3,0)*VLOOKUP('Données projet'!$B$11,Paramètres!$A$1:$I$89,5,0)</f>
        <v>0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72.647148358003676</v>
      </c>
      <c r="BJ80" s="59">
        <f t="shared" si="92"/>
        <v>87.231299224620898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0.50166168691929636</v>
      </c>
      <c r="BQ80" s="21">
        <f>EXP(-LN(2)/25)*BQ79+(1-EXP(-LN(2)/25))/(LN(2)/25)*Calculateur!BL80*Calculateur!BN80*VLOOKUP('Données projet'!$B$11,Paramètres!$A$1:$I$89,3,0)*0.475*44/12</f>
        <v>1.2310336768935619</v>
      </c>
      <c r="BR80" s="21">
        <f>EXP(-LN(2)/2)*BR79+(1-EXP(-LN(2)/2))/(LN(2)/2)*BL80*BO80*VLOOKUP('Données projet'!$B$11,Paramètres!$A$1:$I$89,3,0)*0.475*44/12</f>
        <v>1.9226516616310265E-7</v>
      </c>
      <c r="BS80" s="22">
        <f t="shared" si="63"/>
        <v>1.7326955560780244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6</v>
      </c>
      <c r="BY80" s="12">
        <f>IF('Données projet'!$A$114&gt;35,BY79+BX80-CG79,IF(A80&lt;'Données projet'!$A$114,$BV$205^A80,IF(A80='Données projet'!$A$114,'Données projet'!$B$114,BY79+BX80-CG79)))</f>
        <v>359.00000000000006</v>
      </c>
      <c r="BZ80" s="13">
        <f>BY80*VLOOKUP('Données projet'!$B$12,Paramètres!$A$1:$I$89,3,0)*VLOOKUP('Données projet'!$B$12,Paramètres!$A$1:$I$89,5,0)</f>
        <v>214.68200000000007</v>
      </c>
      <c r="CA80" s="13">
        <f t="shared" si="93"/>
        <v>52.957403780225121</v>
      </c>
      <c r="CB80" s="20">
        <f t="shared" si="64"/>
        <v>466.13862825055884</v>
      </c>
      <c r="CC80" s="59">
        <f t="shared" si="65"/>
        <v>759.47196158389215</v>
      </c>
      <c r="CD80" s="59">
        <f ca="1">AVERAGE(OFFSET($CC$3,0,0,'Données projet'!$E$12+1,1))-AVERAGE(OFFSET($H$3,0,0,'Données projet'!$E$12+1,1))</f>
        <v>165.39579887388538</v>
      </c>
      <c r="CE80" s="59">
        <f t="shared" si="94"/>
        <v>155.89639262545802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</v>
      </c>
      <c r="CL80" s="21">
        <f>EXP(-LN(2)/25)*CL79+(1-EXP(-LN(2)/25))/(LN(2)/25)*Calculateur!CG80*Calculateur!CI80*VLOOKUP('Données projet'!$B$12,Paramètres!$A$1:$I$89,3,0)*0.475*44/12</f>
        <v>1.9803692090535931</v>
      </c>
      <c r="CM80" s="21">
        <f>EXP(-LN(2)/2)*CM79+(1-EXP(-LN(2)/2))/(LN(2)/2)*CG80*CJ80*VLOOKUP('Données projet'!$B$12,Paramètres!$A$1:$I$89,3,0)*0.475*44/12</f>
        <v>1.169999526929456E-6</v>
      </c>
      <c r="CN80" s="22">
        <f t="shared" si="66"/>
        <v>1.9803703790531202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3.4106051316484809E-13</v>
      </c>
      <c r="CU80" s="17">
        <f>CT80*VLOOKUP('Données projet'!$B$13,Paramètres!$A$1:$I$89,3,0)*VLOOKUP('Données projet'!$B$13,Paramètres!$A$1:$I$89,5,0)</f>
        <v>2.6602720026858149E-13</v>
      </c>
      <c r="CV80" s="13">
        <f t="shared" si="95"/>
        <v>3.5662905043956649E-12</v>
      </c>
      <c r="CW80" s="20">
        <f t="shared" si="67"/>
        <v>6.6746200022902298E-12</v>
      </c>
      <c r="CX80" s="59">
        <f t="shared" si="68"/>
        <v>293.33333333333997</v>
      </c>
      <c r="CY80" s="59">
        <f ca="1">AVERAGE(OFFSET($CX$3,0,0,'Données projet'!$E$13+1,1))-AVERAGE(OFFSET($H$3,0,0,'Données projet'!$E$13+1,1))</f>
        <v>190.06335940156185</v>
      </c>
      <c r="CZ80" s="59">
        <f t="shared" si="96"/>
        <v>166.43663896839928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0</v>
      </c>
      <c r="DG80" s="21">
        <f>EXP(-LN(2)/25)*DG79+(1-EXP(-LN(2)/25))/(LN(2)/25)*Calculateur!DB80*Calculateur!DD80*VLOOKUP('Données projet'!$B$13,Paramètres!$A$1:$I$89,3,0)*0.475*44/12</f>
        <v>1.213459086378079</v>
      </c>
      <c r="DH80" s="21">
        <f>EXP(-LN(2)/2)*DH79+(1-EXP(-LN(2)/2))/(LN(2)/2)*DB80*DE80*VLOOKUP('Données projet'!$B$13,Paramètres!$A$1:$I$89,3,0)*0.475*44/12</f>
        <v>4.4898185104248625E-7</v>
      </c>
      <c r="DI80" s="22">
        <f t="shared" si="69"/>
        <v>1.21345953535993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6.1</v>
      </c>
      <c r="DO80" s="12">
        <f>IF('Données projet'!$A$166&gt;35,DO79+DN80-DW79,IF(A80&lt;'Données projet'!$A$166,$DL$205^A80,IF(A80='Données projet'!$A$166,'Données projet'!$B$166,DO79+DN80-DW79)))</f>
        <v>263.70000000000022</v>
      </c>
      <c r="DP80" s="17">
        <f>DO80*VLOOKUP('Données projet'!$B$14,Paramètres!$A$1:$I$89,3,0)*VLOOKUP('Données projet'!$B$14,Paramètres!$A$1:$I$89,5,0)</f>
        <v>255.05064000000024</v>
      </c>
      <c r="DQ80" s="13">
        <f t="shared" si="97"/>
        <v>61.666197214635986</v>
      </c>
      <c r="DR80" s="20">
        <f t="shared" si="70"/>
        <v>551.61515814882478</v>
      </c>
      <c r="DS80" s="59">
        <f t="shared" si="71"/>
        <v>844.94849148215803</v>
      </c>
      <c r="DT80" s="59">
        <f ca="1">AVERAGE(OFFSET($DS$3,0,0,'Données projet'!$E$14+1,1))-AVERAGE(OFFSET($H$3,0,0,'Données projet'!$E$14+1,1))</f>
        <v>261.22357949323879</v>
      </c>
      <c r="DU80" s="59">
        <f t="shared" si="98"/>
        <v>163.41029152029387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0</v>
      </c>
      <c r="EB80" s="21">
        <f>EXP(-LN(2)/25)*EB79+(1-EXP(-LN(2)/25))/(LN(2)/25)*Calculateur!DW80*Calculateur!DY80*VLOOKUP('Données projet'!$B$14,Paramètres!$A$1:$I$89,3,0)*0.475*44/12</f>
        <v>0.90202819034269877</v>
      </c>
      <c r="EC80" s="21">
        <f>EXP(-LN(2)/2)*EC79+(1-EXP(-LN(2)/2))/(LN(2)/2)*DW80*DZ80*VLOOKUP('Données projet'!$B$14,Paramètres!$A$1:$I$89,3,0)*0.475*44/12</f>
        <v>5.577039102383778E-7</v>
      </c>
      <c r="ED80" s="22">
        <f t="shared" si="72"/>
        <v>0.90202874804660904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7.7</v>
      </c>
      <c r="EJ80" s="12">
        <f>IF('Données projet'!$A$192&gt;35,EJ79+EI80-ER79,IF(A80&lt;'Données projet'!$A$192,$EG$205^A80,IF(A80='Données projet'!$A$192,'Données projet'!$B$192,EJ79+EI80-ER79)))</f>
        <v>311.39999999999986</v>
      </c>
      <c r="EK80" s="17">
        <f>EJ80*VLOOKUP('Données projet'!$B$15,Paramètres!$A$1:$I$89,3,0)*VLOOKUP('Données projet'!$B$15,Paramètres!$A$1:$I$89,5,0)</f>
        <v>145.73519999999994</v>
      </c>
      <c r="EL80" s="13">
        <f t="shared" si="99"/>
        <v>37.607773527116223</v>
      </c>
      <c r="EM80" s="20">
        <f t="shared" si="73"/>
        <v>319.3223455597273</v>
      </c>
      <c r="EN80" s="59">
        <f t="shared" si="74"/>
        <v>612.65567889306067</v>
      </c>
      <c r="EO80" s="59">
        <f ca="1">AVERAGE(OFFSET($EN$3,0,0,'Données projet'!$E$15+1,1))-AVERAGE(OFFSET($H$3,0,0,'Données projet'!$E$15+1,1))</f>
        <v>123.60520571614535</v>
      </c>
      <c r="EP80" s="59">
        <f t="shared" si="100"/>
        <v>119.00926870519527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0.34192459070929393</v>
      </c>
      <c r="EW80" s="21">
        <f>EXP(-LN(2)/25)*EW79+(1-EXP(-LN(2)/25))/(LN(2)/25)*Calculateur!ER80*Calculateur!ET80*VLOOKUP('Données projet'!$B$15,Paramètres!$A$1:$I$89,3,0)*0.475*44/12</f>
        <v>1.2977674173288747</v>
      </c>
      <c r="EX80" s="21">
        <f>EXP(-LN(2)/2)*EX79+(1-EXP(-LN(2)/2))/(LN(2)/2)*ER80*EU80*VLOOKUP('Données projet'!$B$15,Paramètres!$A$1:$I$89,3,0)*0.475*44/12</f>
        <v>5.153472598142392E-7</v>
      </c>
      <c r="EY80" s="22">
        <f t="shared" si="75"/>
        <v>1.6396925233854283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2.5</v>
      </c>
      <c r="FE80" s="12">
        <f>IF('Données projet'!$A$218&gt;35,FE79+FD80-FM79,IF(A80&lt;'Données projet'!$A$218,$FB$205^A80,IF(A80='Données projet'!$A$218,'Données projet'!$B$218,FE79+FD80-FM79)))</f>
        <v>218.49999999999991</v>
      </c>
      <c r="FF80" s="17">
        <f>FE80*VLOOKUP('Données projet'!$B$16,Paramètres!$A$1:$I$89,3,0)*VLOOKUP('Données projet'!$B$16,Paramètres!$A$1:$I$89,5,0)</f>
        <v>160.20419999999993</v>
      </c>
      <c r="FG80" s="13">
        <f t="shared" si="101"/>
        <v>40.888569867234096</v>
      </c>
      <c r="FH80" s="20">
        <f t="shared" si="76"/>
        <v>350.23657418543257</v>
      </c>
      <c r="FI80" s="59">
        <f t="shared" si="77"/>
        <v>643.56990751876583</v>
      </c>
      <c r="FJ80" s="59">
        <f ca="1">AVERAGE(OFFSET($FI$3,0,0,'Données projet'!$E$16+1,1))-AVERAGE(OFFSET($H$3,0,0,'Données projet'!$E$16+1,1))</f>
        <v>124.15919323713428</v>
      </c>
      <c r="FK80" s="59">
        <f t="shared" si="102"/>
        <v>157.85954678210715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0</v>
      </c>
      <c r="FR80" s="21">
        <f>EXP(-LN(2)/25)*FR79+(1-EXP(-LN(2)/25))/(LN(2)/25)*Calculateur!FM80*Calculateur!FO80*VLOOKUP('Données projet'!$B$16,Paramètres!$A$1:$I$89,3,0)*0.475*44/12</f>
        <v>1.3655874635996925</v>
      </c>
      <c r="FS80" s="21">
        <f>EXP(-LN(2)/2)*FS79+(1-EXP(-LN(2)/2))/(LN(2)/2)*FM80*FP80*VLOOKUP('Données projet'!$B$16,Paramètres!$A$1:$I$89,3,0)*0.475*44/12</f>
        <v>6.2186273570187591E-7</v>
      </c>
      <c r="FT80" s="22">
        <f t="shared" si="78"/>
        <v>1.3655880854624283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6.1</v>
      </c>
      <c r="N81" s="13">
        <f>IF('Données projet'!$A$36&gt;35,N80+M81-V80,IF(A81&lt;'Données projet'!$A$36,$K$205^A81,IF(A81='Données projet'!$A$36,'Données projet'!$B$36,N80+M81-V80)))</f>
        <v>269.80000000000024</v>
      </c>
      <c r="O81" s="13">
        <f>N81*VLOOKUP('Données projet'!$B$9,Paramètres!$A$1:$I$89,3,0)*VLOOKUP('Données projet'!$B$9,Paramètres!$A$1:$I$89,5,0)</f>
        <v>244.11504000000019</v>
      </c>
      <c r="P81" s="13">
        <f t="shared" si="87"/>
        <v>59.324023461759062</v>
      </c>
      <c r="Q81" s="20">
        <f t="shared" si="54"/>
        <v>528.48970219589739</v>
      </c>
      <c r="R81" s="59">
        <f t="shared" si="55"/>
        <v>821.82303552923076</v>
      </c>
      <c r="S81" s="59">
        <f ca="1">AVERAGE(OFFSET($R$3,0,0,'Données projet'!$E$9+1,1))-AVERAGE(OFFSET($H$3,0,0,'Données projet'!$E$9+1,1))</f>
        <v>237.22177246688199</v>
      </c>
      <c r="T81" s="59">
        <f t="shared" si="88"/>
        <v>149.27472147904302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0</v>
      </c>
      <c r="AA81" s="21">
        <f>EXP(-LN(2)/25)*AA80+(1-EXP(-LN(2)/25))/(LN(2)/25)*Calculateur!V81*Calculateur!X81*VLOOKUP('Données projet'!$B$9,Paramètres!$A$1:$I$89,3,0)*0.475*44/12</f>
        <v>0.82075817029752018</v>
      </c>
      <c r="AB81" s="21">
        <f>EXP(-LN(2)/2)*AB80+(1-EXP(-LN(2)/2))/(LN(2)/2)*V81*Y81*VLOOKUP('Données projet'!$B$9,Paramètres!$A$1:$I$89,3,0)*0.475*44/12</f>
        <v>3.6891388025453253E-7</v>
      </c>
      <c r="AC81" s="22">
        <f t="shared" si="57"/>
        <v>0.82075853921140041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3.3</v>
      </c>
      <c r="AI81" s="13">
        <f>IF('Données projet'!$A$62&gt;35,AI80+AH81-AQ80,IF(A81&lt;'Données projet'!$A$62,$AF$205^A81,IF(A81='Données projet'!$A$62,'Données projet'!$B$62,AI80+AH81-AQ80)))</f>
        <v>217.39999999999989</v>
      </c>
      <c r="AJ81" s="13">
        <f>AI81*VLOOKUP('Données projet'!$B$10,Paramètres!$A$1:$I$89,3,0)*VLOOKUP('Données projet'!$B$10,Paramètres!$A$1:$I$89,5,0)</f>
        <v>189.92063999999993</v>
      </c>
      <c r="AK81" s="13">
        <f t="shared" si="89"/>
        <v>47.522407055417723</v>
      </c>
      <c r="AL81" s="20">
        <f t="shared" si="58"/>
        <v>413.54664028818576</v>
      </c>
      <c r="AM81" s="59">
        <f t="shared" si="59"/>
        <v>706.87997362151907</v>
      </c>
      <c r="AN81" s="59">
        <f ca="1">AVERAGE(OFFSET($AM$3,0,0,'Données projet'!$E$10+1,1))-AVERAGE(OFFSET($H$3,0,0,'Données projet'!$E$10+1,1))</f>
        <v>191.94797389630673</v>
      </c>
      <c r="AO81" s="59">
        <f t="shared" si="90"/>
        <v>273.52540822767878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0.99512753651822206</v>
      </c>
      <c r="AV81" s="21">
        <f>EXP(-LN(2)/25)*AV80+(1-EXP(-LN(2)/25))/(LN(2)/25)*Calculateur!AQ81*Calculateur!AS81*VLOOKUP('Données projet'!$B$10,Paramètres!$A$1:$I$89,3,0)*0.475*44/12</f>
        <v>3.7122872736652472</v>
      </c>
      <c r="AW81" s="21">
        <f>EXP(-LN(2)/2)*AW80+(1-EXP(-LN(2)/2))/(LN(2)/2)*AQ81*AT81*VLOOKUP('Données projet'!$B$10,Paramètres!$A$1:$I$89,3,0)*0.475*44/12</f>
        <v>1.3830103230279311E-6</v>
      </c>
      <c r="AX81" s="21">
        <f t="shared" si="60"/>
        <v>4.7074161931937928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>
        <f>BD81*VLOOKUP('Données projet'!$B$11,Paramètres!$A$1:$I$89,3,0)*VLOOKUP('Données projet'!$B$11,Paramètres!$A$1:$I$89,5,0)</f>
        <v>0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72.647148358003676</v>
      </c>
      <c r="BJ81" s="59">
        <f t="shared" si="92"/>
        <v>87.231299224620898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0.49182440722222465</v>
      </c>
      <c r="BQ81" s="21">
        <f>EXP(-LN(2)/25)*BQ80+(1-EXP(-LN(2)/25))/(LN(2)/25)*Calculateur!BL81*Calculateur!BN81*VLOOKUP('Données projet'!$B$11,Paramètres!$A$1:$I$89,3,0)*0.475*44/12</f>
        <v>1.1973709962616599</v>
      </c>
      <c r="BR81" s="21">
        <f>EXP(-LN(2)/2)*BR80+(1-EXP(-LN(2)/2))/(LN(2)/2)*BL81*BO81*VLOOKUP('Données projet'!$B$11,Paramètres!$A$1:$I$89,3,0)*0.475*44/12</f>
        <v>1.3595200277988823E-7</v>
      </c>
      <c r="BS81" s="22">
        <f t="shared" si="63"/>
        <v>1.6891955394358873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6</v>
      </c>
      <c r="BY81" s="12">
        <f>IF('Données projet'!$A$114&gt;35,BY80+BX81-CG80,IF(A81&lt;'Données projet'!$A$114,$BV$205^A81,IF(A81='Données projet'!$A$114,'Données projet'!$B$114,BY80+BX81-CG80)))</f>
        <v>365.00000000000006</v>
      </c>
      <c r="BZ81" s="13">
        <f>BY81*VLOOKUP('Données projet'!$B$12,Paramètres!$A$1:$I$89,3,0)*VLOOKUP('Données projet'!$B$12,Paramètres!$A$1:$I$89,5,0)</f>
        <v>218.27000000000004</v>
      </c>
      <c r="CA81" s="13">
        <f t="shared" si="93"/>
        <v>53.738706177800289</v>
      </c>
      <c r="CB81" s="20">
        <f t="shared" si="64"/>
        <v>473.74849659300213</v>
      </c>
      <c r="CC81" s="59">
        <f t="shared" si="65"/>
        <v>767.08182992633544</v>
      </c>
      <c r="CD81" s="59">
        <f ca="1">AVERAGE(OFFSET($CC$3,0,0,'Données projet'!$E$12+1,1))-AVERAGE(OFFSET($H$3,0,0,'Données projet'!$E$12+1,1))</f>
        <v>165.39579887388538</v>
      </c>
      <c r="CE81" s="59">
        <f t="shared" si="94"/>
        <v>155.89639262545802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</v>
      </c>
      <c r="CL81" s="21">
        <f>EXP(-LN(2)/25)*CL80+(1-EXP(-LN(2)/25))/(LN(2)/25)*Calculateur!CG81*Calculateur!CI81*VLOOKUP('Données projet'!$B$12,Paramètres!$A$1:$I$89,3,0)*0.475*44/12</f>
        <v>1.9262159088889321</v>
      </c>
      <c r="CM81" s="21">
        <f>EXP(-LN(2)/2)*CM80+(1-EXP(-LN(2)/2))/(LN(2)/2)*CG81*CJ81*VLOOKUP('Données projet'!$B$12,Paramètres!$A$1:$I$89,3,0)*0.475*44/12</f>
        <v>8.2731459947687099E-7</v>
      </c>
      <c r="CN81" s="22">
        <f t="shared" si="66"/>
        <v>1.9262167362035316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3.4106051316484809E-13</v>
      </c>
      <c r="CU81" s="17">
        <f>CT81*VLOOKUP('Données projet'!$B$13,Paramètres!$A$1:$I$89,3,0)*VLOOKUP('Données projet'!$B$13,Paramètres!$A$1:$I$89,5,0)</f>
        <v>2.6602720026858149E-13</v>
      </c>
      <c r="CV81" s="13">
        <f t="shared" si="95"/>
        <v>3.5662905043956649E-12</v>
      </c>
      <c r="CW81" s="20">
        <f t="shared" si="67"/>
        <v>6.6746200022902298E-12</v>
      </c>
      <c r="CX81" s="59">
        <f t="shared" si="68"/>
        <v>293.33333333333997</v>
      </c>
      <c r="CY81" s="59">
        <f ca="1">AVERAGE(OFFSET($CX$3,0,0,'Données projet'!$E$13+1,1))-AVERAGE(OFFSET($H$3,0,0,'Données projet'!$E$13+1,1))</f>
        <v>190.06335940156185</v>
      </c>
      <c r="CZ81" s="59">
        <f t="shared" si="96"/>
        <v>166.43663896839928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0</v>
      </c>
      <c r="DG81" s="21">
        <f>EXP(-LN(2)/25)*DG80+(1-EXP(-LN(2)/25))/(LN(2)/25)*Calculateur!DB81*Calculateur!DD81*VLOOKUP('Données projet'!$B$13,Paramètres!$A$1:$I$89,3,0)*0.475*44/12</f>
        <v>1.1802769838480305</v>
      </c>
      <c r="DH81" s="21">
        <f>EXP(-LN(2)/2)*DH80+(1-EXP(-LN(2)/2))/(LN(2)/2)*DB81*DE81*VLOOKUP('Données projet'!$B$13,Paramètres!$A$1:$I$89,3,0)*0.475*44/12</f>
        <v>3.1747811150183042E-7</v>
      </c>
      <c r="DI81" s="22">
        <f t="shared" si="69"/>
        <v>1.1802773013261421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6.1</v>
      </c>
      <c r="DO81" s="12">
        <f>IF('Données projet'!$A$166&gt;35,DO80+DN81-DW80,IF(A81&lt;'Données projet'!$A$166,$DL$205^A81,IF(A81='Données projet'!$A$166,'Données projet'!$B$166,DO80+DN81-DW80)))</f>
        <v>269.80000000000024</v>
      </c>
      <c r="DP81" s="17">
        <f>DO81*VLOOKUP('Données projet'!$B$14,Paramètres!$A$1:$I$89,3,0)*VLOOKUP('Données projet'!$B$14,Paramètres!$A$1:$I$89,5,0)</f>
        <v>260.95056000000022</v>
      </c>
      <c r="DQ81" s="13">
        <f t="shared" si="97"/>
        <v>62.924955880176995</v>
      </c>
      <c r="DR81" s="20">
        <f t="shared" si="70"/>
        <v>564.0831901579752</v>
      </c>
      <c r="DS81" s="59">
        <f t="shared" si="71"/>
        <v>857.41652349130845</v>
      </c>
      <c r="DT81" s="59">
        <f ca="1">AVERAGE(OFFSET($DS$3,0,0,'Données projet'!$E$14+1,1))-AVERAGE(OFFSET($H$3,0,0,'Données projet'!$E$14+1,1))</f>
        <v>261.22357949323879</v>
      </c>
      <c r="DU81" s="59">
        <f t="shared" si="98"/>
        <v>163.41029152029387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0</v>
      </c>
      <c r="EB81" s="21">
        <f>EXP(-LN(2)/25)*EB80+(1-EXP(-LN(2)/25))/(LN(2)/25)*Calculateur!DW81*Calculateur!DY81*VLOOKUP('Données projet'!$B$14,Paramètres!$A$1:$I$89,3,0)*0.475*44/12</f>
        <v>0.87736218204217675</v>
      </c>
      <c r="EC81" s="21">
        <f>EXP(-LN(2)/2)*EC80+(1-EXP(-LN(2)/2))/(LN(2)/2)*DW81*DZ81*VLOOKUP('Données projet'!$B$14,Paramètres!$A$1:$I$89,3,0)*0.475*44/12</f>
        <v>3.9435621682381056E-7</v>
      </c>
      <c r="ED81" s="22">
        <f t="shared" si="72"/>
        <v>0.87736257639839355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7.7</v>
      </c>
      <c r="EJ81" s="12">
        <f>IF('Données projet'!$A$192&gt;35,EJ80+EI81-ER80,IF(A81&lt;'Données projet'!$A$192,$EG$205^A81,IF(A81='Données projet'!$A$192,'Données projet'!$B$192,EJ80+EI81-ER80)))</f>
        <v>319.09999999999985</v>
      </c>
      <c r="EK81" s="17">
        <f>EJ81*VLOOKUP('Données projet'!$B$15,Paramètres!$A$1:$I$89,3,0)*VLOOKUP('Données projet'!$B$15,Paramètres!$A$1:$I$89,5,0)</f>
        <v>149.33879999999994</v>
      </c>
      <c r="EL81" s="13">
        <f t="shared" si="99"/>
        <v>38.428286936285446</v>
      </c>
      <c r="EM81" s="20">
        <f t="shared" si="73"/>
        <v>327.02767641403034</v>
      </c>
      <c r="EN81" s="59">
        <f t="shared" si="74"/>
        <v>620.3610097473636</v>
      </c>
      <c r="EO81" s="59">
        <f ca="1">AVERAGE(OFFSET($EN$3,0,0,'Données projet'!$E$15+1,1))-AVERAGE(OFFSET($H$3,0,0,'Données projet'!$E$15+1,1))</f>
        <v>123.60520571614535</v>
      </c>
      <c r="EP81" s="59">
        <f t="shared" si="100"/>
        <v>119.00926870519527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0.33521965803889209</v>
      </c>
      <c r="EW81" s="21">
        <f>EXP(-LN(2)/25)*EW80+(1-EXP(-LN(2)/25))/(LN(2)/25)*Calculateur!ER81*Calculateur!ET81*VLOOKUP('Données projet'!$B$15,Paramètres!$A$1:$I$89,3,0)*0.475*44/12</f>
        <v>1.2622798990553943</v>
      </c>
      <c r="EX81" s="21">
        <f>EXP(-LN(2)/2)*EX80+(1-EXP(-LN(2)/2))/(LN(2)/2)*ER81*EU81*VLOOKUP('Données projet'!$B$15,Paramètres!$A$1:$I$89,3,0)*0.475*44/12</f>
        <v>3.644055420805541E-7</v>
      </c>
      <c r="EY81" s="22">
        <f t="shared" si="75"/>
        <v>1.5974999214998284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2.5</v>
      </c>
      <c r="FE81" s="12">
        <f>IF('Données projet'!$A$218&gt;35,FE80+FD81-FM80,IF(A81&lt;'Données projet'!$A$218,$FB$205^A81,IF(A81='Données projet'!$A$218,'Données projet'!$B$218,FE80+FD81-FM80)))</f>
        <v>220.99999999999991</v>
      </c>
      <c r="FF81" s="17">
        <f>FE81*VLOOKUP('Données projet'!$B$16,Paramètres!$A$1:$I$89,3,0)*VLOOKUP('Données projet'!$B$16,Paramètres!$A$1:$I$89,5,0)</f>
        <v>162.03719999999993</v>
      </c>
      <c r="FG81" s="13">
        <f t="shared" si="101"/>
        <v>41.301672654656564</v>
      </c>
      <c r="FH81" s="20">
        <f t="shared" si="76"/>
        <v>354.14853654019339</v>
      </c>
      <c r="FI81" s="59">
        <f t="shared" si="77"/>
        <v>647.48186987352665</v>
      </c>
      <c r="FJ81" s="59">
        <f ca="1">AVERAGE(OFFSET($FI$3,0,0,'Données projet'!$E$16+1,1))-AVERAGE(OFFSET($H$3,0,0,'Données projet'!$E$16+1,1))</f>
        <v>124.15919323713428</v>
      </c>
      <c r="FK81" s="59">
        <f t="shared" si="102"/>
        <v>157.85954678210715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0</v>
      </c>
      <c r="FR81" s="21">
        <f>EXP(-LN(2)/25)*FR80+(1-EXP(-LN(2)/25))/(LN(2)/25)*Calculateur!FM81*Calculateur!FO81*VLOOKUP('Données projet'!$B$16,Paramètres!$A$1:$I$89,3,0)*0.475*44/12</f>
        <v>1.3282454025944352</v>
      </c>
      <c r="FS81" s="21">
        <f>EXP(-LN(2)/2)*FS80+(1-EXP(-LN(2)/2))/(LN(2)/2)*FM81*FP81*VLOOKUP('Données projet'!$B$16,Paramètres!$A$1:$I$89,3,0)*0.475*44/12</f>
        <v>4.3972335738201421E-7</v>
      </c>
      <c r="FT81" s="22">
        <f t="shared" si="78"/>
        <v>1.3282458423177925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6.1</v>
      </c>
      <c r="N82" s="13">
        <f>IF('Données projet'!$A$36&gt;35,N81+M82-V81,IF(A82&lt;'Données projet'!$A$36,$K$205^A82,IF(A82='Données projet'!$A$36,'Données projet'!$B$36,N81+M82-V81)))</f>
        <v>275.90000000000026</v>
      </c>
      <c r="O82" s="13">
        <f>N82*VLOOKUP('Données projet'!$B$9,Paramètres!$A$1:$I$89,3,0)*VLOOKUP('Données projet'!$B$9,Paramètres!$A$1:$I$89,5,0)</f>
        <v>249.63432000000023</v>
      </c>
      <c r="P82" s="13">
        <f t="shared" si="87"/>
        <v>60.507629314318471</v>
      </c>
      <c r="Q82" s="20">
        <f t="shared" si="54"/>
        <v>540.16389505577172</v>
      </c>
      <c r="R82" s="59">
        <f t="shared" si="55"/>
        <v>833.49722838910498</v>
      </c>
      <c r="S82" s="59">
        <f ca="1">AVERAGE(OFFSET($R$3,0,0,'Données projet'!$E$9+1,1))-AVERAGE(OFFSET($H$3,0,0,'Données projet'!$E$9+1,1))</f>
        <v>237.22177246688199</v>
      </c>
      <c r="T82" s="59">
        <f t="shared" si="88"/>
        <v>149.27472147904302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0</v>
      </c>
      <c r="AA82" s="21">
        <f>EXP(-LN(2)/25)*AA81+(1-EXP(-LN(2)/25))/(LN(2)/25)*Calculateur!V82*Calculateur!X82*VLOOKUP('Données projet'!$B$9,Paramètres!$A$1:$I$89,3,0)*0.475*44/12</f>
        <v>0.79831449496893814</v>
      </c>
      <c r="AB82" s="21">
        <f>EXP(-LN(2)/2)*AB81+(1-EXP(-LN(2)/2))/(LN(2)/2)*V82*Y82*VLOOKUP('Données projet'!$B$9,Paramètres!$A$1:$I$89,3,0)*0.475*44/12</f>
        <v>2.6086150640182193E-7</v>
      </c>
      <c r="AC82" s="22">
        <f t="shared" si="57"/>
        <v>0.79831475583044453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3.3</v>
      </c>
      <c r="AI82" s="13">
        <f>IF('Données projet'!$A$62&gt;35,AI81+AH82-AQ81,IF(A82&lt;'Données projet'!$A$62,$AF$205^A82,IF(A82='Données projet'!$A$62,'Données projet'!$B$62,AI81+AH82-AQ81)))</f>
        <v>220.6999999999999</v>
      </c>
      <c r="AJ82" s="13">
        <f>AI82*VLOOKUP('Données projet'!$B$10,Paramètres!$A$1:$I$89,3,0)*VLOOKUP('Données projet'!$B$10,Paramètres!$A$1:$I$89,5,0)</f>
        <v>192.80351999999993</v>
      </c>
      <c r="AK82" s="13">
        <f t="shared" si="89"/>
        <v>48.159241941533828</v>
      </c>
      <c r="AL82" s="20">
        <f t="shared" si="58"/>
        <v>419.67681038150459</v>
      </c>
      <c r="AM82" s="59">
        <f t="shared" si="59"/>
        <v>713.01014371483791</v>
      </c>
      <c r="AN82" s="59">
        <f ca="1">AVERAGE(OFFSET($AM$3,0,0,'Données projet'!$E$10+1,1))-AVERAGE(OFFSET($H$3,0,0,'Données projet'!$E$10+1,1))</f>
        <v>191.94797389630673</v>
      </c>
      <c r="AO82" s="59">
        <f t="shared" si="90"/>
        <v>273.52540822767878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0.97561369249496388</v>
      </c>
      <c r="AV82" s="21">
        <f>EXP(-LN(2)/25)*AV81+(1-EXP(-LN(2)/25))/(LN(2)/25)*Calculateur!AQ82*Calculateur!AS82*VLOOKUP('Données projet'!$B$10,Paramètres!$A$1:$I$89,3,0)*0.475*44/12</f>
        <v>3.6107745829461679</v>
      </c>
      <c r="AW82" s="21">
        <f>EXP(-LN(2)/2)*AW81+(1-EXP(-LN(2)/2))/(LN(2)/2)*AQ82*AT82*VLOOKUP('Données projet'!$B$10,Paramètres!$A$1:$I$89,3,0)*0.475*44/12</f>
        <v>9.7793597786404767E-7</v>
      </c>
      <c r="AX82" s="21">
        <f t="shared" si="60"/>
        <v>4.5863892533771091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>
        <f>BD82*VLOOKUP('Données projet'!$B$11,Paramètres!$A$1:$I$89,3,0)*VLOOKUP('Données projet'!$B$11,Paramètres!$A$1:$I$89,5,0)</f>
        <v>0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72.647148358003676</v>
      </c>
      <c r="BJ82" s="59">
        <f t="shared" si="92"/>
        <v>87.231299224620898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0.48218003057986436</v>
      </c>
      <c r="BQ82" s="21">
        <f>EXP(-LN(2)/25)*BQ81+(1-EXP(-LN(2)/25))/(LN(2)/25)*Calculateur!BL82*Calculateur!BN82*VLOOKUP('Données projet'!$B$11,Paramètres!$A$1:$I$89,3,0)*0.475*44/12</f>
        <v>1.1646288234018807</v>
      </c>
      <c r="BR82" s="21">
        <f>EXP(-LN(2)/2)*BR81+(1-EXP(-LN(2)/2))/(LN(2)/2)*BL82*BO82*VLOOKUP('Données projet'!$B$11,Paramètres!$A$1:$I$89,3,0)*0.475*44/12</f>
        <v>9.6132583081551327E-8</v>
      </c>
      <c r="BS82" s="22">
        <f t="shared" si="63"/>
        <v>1.6468089501143279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6</v>
      </c>
      <c r="BY82" s="12">
        <f>IF('Données projet'!$A$114&gt;35,BY81+BX82-CG81,IF(A82&lt;'Données projet'!$A$114,$BV$205^A82,IF(A82='Données projet'!$A$114,'Données projet'!$B$114,BY81+BX82-CG81)))</f>
        <v>371.00000000000006</v>
      </c>
      <c r="BZ82" s="13">
        <f>BY82*VLOOKUP('Données projet'!$B$12,Paramètres!$A$1:$I$89,3,0)*VLOOKUP('Données projet'!$B$12,Paramètres!$A$1:$I$89,5,0)</f>
        <v>221.85800000000003</v>
      </c>
      <c r="CA82" s="13">
        <f t="shared" si="93"/>
        <v>54.518514970322535</v>
      </c>
      <c r="CB82" s="20">
        <f t="shared" si="64"/>
        <v>481.35576357331178</v>
      </c>
      <c r="CC82" s="59">
        <f t="shared" si="65"/>
        <v>774.68909690664509</v>
      </c>
      <c r="CD82" s="59">
        <f ca="1">AVERAGE(OFFSET($CC$3,0,0,'Données projet'!$E$12+1,1))-AVERAGE(OFFSET($H$3,0,0,'Données projet'!$E$12+1,1))</f>
        <v>165.39579887388538</v>
      </c>
      <c r="CE82" s="59">
        <f t="shared" si="94"/>
        <v>155.89639262545802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</v>
      </c>
      <c r="CL82" s="21">
        <f>EXP(-LN(2)/25)*CL81+(1-EXP(-LN(2)/25))/(LN(2)/25)*Calculateur!CG82*Calculateur!CI82*VLOOKUP('Données projet'!$B$12,Paramètres!$A$1:$I$89,3,0)*0.475*44/12</f>
        <v>1.873543433565072</v>
      </c>
      <c r="CM82" s="21">
        <f>EXP(-LN(2)/2)*CM81+(1-EXP(-LN(2)/2))/(LN(2)/2)*CG82*CJ82*VLOOKUP('Données projet'!$B$12,Paramètres!$A$1:$I$89,3,0)*0.475*44/12</f>
        <v>5.8499976346472801E-7</v>
      </c>
      <c r="CN82" s="22">
        <f t="shared" si="66"/>
        <v>1.8735440185648355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3.4106051316484809E-13</v>
      </c>
      <c r="CU82" s="17">
        <f>CT82*VLOOKUP('Données projet'!$B$13,Paramètres!$A$1:$I$89,3,0)*VLOOKUP('Données projet'!$B$13,Paramètres!$A$1:$I$89,5,0)</f>
        <v>2.6602720026858149E-13</v>
      </c>
      <c r="CV82" s="13">
        <f t="shared" si="95"/>
        <v>3.5662905043956649E-12</v>
      </c>
      <c r="CW82" s="20">
        <f t="shared" si="67"/>
        <v>6.6746200022902298E-12</v>
      </c>
      <c r="CX82" s="59">
        <f t="shared" si="68"/>
        <v>293.33333333333997</v>
      </c>
      <c r="CY82" s="59">
        <f ca="1">AVERAGE(OFFSET($CX$3,0,0,'Données projet'!$E$13+1,1))-AVERAGE(OFFSET($H$3,0,0,'Données projet'!$E$13+1,1))</f>
        <v>190.06335940156185</v>
      </c>
      <c r="CZ82" s="59">
        <f t="shared" si="96"/>
        <v>166.43663896839928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0</v>
      </c>
      <c r="DG82" s="21">
        <f>EXP(-LN(2)/25)*DG81+(1-EXP(-LN(2)/25))/(LN(2)/25)*Calculateur!DB82*Calculateur!DD82*VLOOKUP('Données projet'!$B$13,Paramètres!$A$1:$I$89,3,0)*0.475*44/12</f>
        <v>1.1480022476566372</v>
      </c>
      <c r="DH82" s="21">
        <f>EXP(-LN(2)/2)*DH81+(1-EXP(-LN(2)/2))/(LN(2)/2)*DB82*DE82*VLOOKUP('Données projet'!$B$13,Paramètres!$A$1:$I$89,3,0)*0.475*44/12</f>
        <v>2.2449092552124315E-7</v>
      </c>
      <c r="DI82" s="22">
        <f t="shared" si="69"/>
        <v>1.1480024721475628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6.1</v>
      </c>
      <c r="DO82" s="12">
        <f>IF('Données projet'!$A$166&gt;35,DO81+DN82-DW81,IF(A82&lt;'Données projet'!$A$166,$DL$205^A82,IF(A82='Données projet'!$A$166,'Données projet'!$B$166,DO81+DN82-DW81)))</f>
        <v>275.90000000000026</v>
      </c>
      <c r="DP82" s="17">
        <f>DO82*VLOOKUP('Données projet'!$B$14,Paramètres!$A$1:$I$89,3,0)*VLOOKUP('Données projet'!$B$14,Paramètres!$A$1:$I$89,5,0)</f>
        <v>266.85048000000029</v>
      </c>
      <c r="DQ82" s="13">
        <f t="shared" si="97"/>
        <v>64.180405893607485</v>
      </c>
      <c r="DR82" s="20">
        <f t="shared" si="70"/>
        <v>576.54545959803352</v>
      </c>
      <c r="DS82" s="59">
        <f t="shared" si="71"/>
        <v>869.87879293136689</v>
      </c>
      <c r="DT82" s="59">
        <f ca="1">AVERAGE(OFFSET($DS$3,0,0,'Données projet'!$E$14+1,1))-AVERAGE(OFFSET($H$3,0,0,'Données projet'!$E$14+1,1))</f>
        <v>261.22357949323879</v>
      </c>
      <c r="DU82" s="59">
        <f t="shared" si="98"/>
        <v>163.41029152029387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0</v>
      </c>
      <c r="EB82" s="21">
        <f>EXP(-LN(2)/25)*EB81+(1-EXP(-LN(2)/25))/(LN(2)/25)*Calculateur!DW82*Calculateur!DY82*VLOOKUP('Données projet'!$B$14,Paramètres!$A$1:$I$89,3,0)*0.475*44/12</f>
        <v>0.85337066703576148</v>
      </c>
      <c r="EC82" s="21">
        <f>EXP(-LN(2)/2)*EC81+(1-EXP(-LN(2)/2))/(LN(2)/2)*DW82*DZ82*VLOOKUP('Données projet'!$B$14,Paramètres!$A$1:$I$89,3,0)*0.475*44/12</f>
        <v>2.788519551191889E-7</v>
      </c>
      <c r="ED82" s="22">
        <f t="shared" si="72"/>
        <v>0.85337094588771656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7.7</v>
      </c>
      <c r="EJ82" s="12">
        <f>IF('Données projet'!$A$192&gt;35,EJ81+EI82-ER81,IF(A82&lt;'Données projet'!$A$192,$EG$205^A82,IF(A82='Données projet'!$A$192,'Données projet'!$B$192,EJ81+EI82-ER81)))</f>
        <v>326.79999999999984</v>
      </c>
      <c r="EK82" s="17">
        <f>EJ82*VLOOKUP('Données projet'!$B$15,Paramètres!$A$1:$I$89,3,0)*VLOOKUP('Données projet'!$B$15,Paramètres!$A$1:$I$89,5,0)</f>
        <v>152.94239999999994</v>
      </c>
      <c r="EL82" s="13">
        <f t="shared" si="99"/>
        <v>39.246498705676878</v>
      </c>
      <c r="EM82" s="20">
        <f t="shared" si="73"/>
        <v>334.72899857905378</v>
      </c>
      <c r="EN82" s="59">
        <f t="shared" si="74"/>
        <v>628.06233191238709</v>
      </c>
      <c r="EO82" s="59">
        <f ca="1">AVERAGE(OFFSET($EN$3,0,0,'Données projet'!$E$15+1,1))-AVERAGE(OFFSET($H$3,0,0,'Données projet'!$E$15+1,1))</f>
        <v>123.60520571614535</v>
      </c>
      <c r="EP82" s="59">
        <f t="shared" si="100"/>
        <v>119.00926870519527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0.32864620500855168</v>
      </c>
      <c r="EW82" s="21">
        <f>EXP(-LN(2)/25)*EW81+(1-EXP(-LN(2)/25))/(LN(2)/25)*Calculateur!ER82*Calculateur!ET82*VLOOKUP('Données projet'!$B$15,Paramètres!$A$1:$I$89,3,0)*0.475*44/12</f>
        <v>1.2277627888353095</v>
      </c>
      <c r="EX82" s="21">
        <f>EXP(-LN(2)/2)*EX81+(1-EXP(-LN(2)/2))/(LN(2)/2)*ER82*EU82*VLOOKUP('Données projet'!$B$15,Paramètres!$A$1:$I$89,3,0)*0.475*44/12</f>
        <v>2.576736299071196E-7</v>
      </c>
      <c r="EY82" s="22">
        <f t="shared" si="75"/>
        <v>1.5564092515174912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2.5</v>
      </c>
      <c r="FE82" s="12">
        <f>IF('Données projet'!$A$218&gt;35,FE81+FD82-FM81,IF(A82&lt;'Données projet'!$A$218,$FB$205^A82,IF(A82='Données projet'!$A$218,'Données projet'!$B$218,FE81+FD82-FM81)))</f>
        <v>223.49999999999991</v>
      </c>
      <c r="FF82" s="17">
        <f>FE82*VLOOKUP('Données projet'!$B$16,Paramètres!$A$1:$I$89,3,0)*VLOOKUP('Données projet'!$B$16,Paramètres!$A$1:$I$89,5,0)</f>
        <v>163.87019999999995</v>
      </c>
      <c r="FG82" s="13">
        <f t="shared" si="101"/>
        <v>41.714231837957641</v>
      </c>
      <c r="FH82" s="20">
        <f t="shared" si="76"/>
        <v>358.05955211777615</v>
      </c>
      <c r="FI82" s="59">
        <f t="shared" si="77"/>
        <v>651.39288545110946</v>
      </c>
      <c r="FJ82" s="59">
        <f ca="1">AVERAGE(OFFSET($FI$3,0,0,'Données projet'!$E$16+1,1))-AVERAGE(OFFSET($H$3,0,0,'Données projet'!$E$16+1,1))</f>
        <v>124.15919323713428</v>
      </c>
      <c r="FK82" s="59">
        <f t="shared" si="102"/>
        <v>157.85954678210715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0</v>
      </c>
      <c r="FR82" s="21">
        <f>EXP(-LN(2)/25)*FR81+(1-EXP(-LN(2)/25))/(LN(2)/25)*Calculateur!FM82*Calculateur!FO82*VLOOKUP('Données projet'!$B$16,Paramètres!$A$1:$I$89,3,0)*0.475*44/12</f>
        <v>1.2919244622111004</v>
      </c>
      <c r="FS82" s="21">
        <f>EXP(-LN(2)/2)*FS81+(1-EXP(-LN(2)/2))/(LN(2)/2)*FM82*FP82*VLOOKUP('Données projet'!$B$16,Paramètres!$A$1:$I$89,3,0)*0.475*44/12</f>
        <v>3.1093136785093796E-7</v>
      </c>
      <c r="FT82" s="22">
        <f t="shared" si="78"/>
        <v>1.2919247731424681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282</v>
      </c>
      <c r="L83" s="12">
        <f>VLOOKUP(A83,'Données projet'!$A$35:$I$55,9,0)</f>
        <v>6.1</v>
      </c>
      <c r="M83" s="12">
        <f t="array" ref="M83">INDEX(L:L,MIN(IF(ISNUMBER(L83:L279),ROW(L83:L279),"")))</f>
        <v>6.1</v>
      </c>
      <c r="N83" s="13">
        <f>IF('Données projet'!$A$36&gt;35,N82+M83-V82,IF(A83&lt;'Données projet'!$A$36,$K$205^A83,IF(A83='Données projet'!$A$36,'Données projet'!$B$36,N82+M83-V82)))</f>
        <v>282.00000000000028</v>
      </c>
      <c r="O83" s="13">
        <f>N83*VLOOKUP('Données projet'!$B$9,Paramètres!$A$1:$I$89,3,0)*VLOOKUP('Données projet'!$B$9,Paramètres!$A$1:$I$89,5,0)</f>
        <v>255.15360000000024</v>
      </c>
      <c r="P83" s="13">
        <f t="shared" si="87"/>
        <v>61.688192762754483</v>
      </c>
      <c r="Q83" s="20">
        <f t="shared" si="54"/>
        <v>551.83278906179783</v>
      </c>
      <c r="R83" s="59">
        <f t="shared" si="55"/>
        <v>845.1661223951312</v>
      </c>
      <c r="S83" s="59">
        <f ca="1">AVERAGE(OFFSET($R$3,0,0,'Données projet'!$E$9+1,1))-AVERAGE(OFFSET($H$3,0,0,'Données projet'!$E$9+1,1))</f>
        <v>237.22177246688199</v>
      </c>
      <c r="T83" s="59">
        <f t="shared" si="88"/>
        <v>149.27472147904302</v>
      </c>
      <c r="U83" s="15">
        <f>IF(ISNA(VLOOKUP(A83,'Données projet'!$A$35:$I$55,3,0)),0,VLOOKUP(A83,'Données projet'!$A$35:$I$55,3,0))</f>
        <v>6</v>
      </c>
      <c r="V83" s="15">
        <f>IF(ISNA(VLOOKUP(A83,'Données projet'!$A$35:$I$55,4,0)),0,VLOOKUP(A83,'Données projet'!$A$35:$I$55,4,0))</f>
        <v>42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0</v>
      </c>
      <c r="AA83" s="21">
        <f>EXP(-LN(2)/25)*AA82+(1-EXP(-LN(2)/25))/(LN(2)/25)*Calculateur!V83*Calculateur!X83*VLOOKUP('Données projet'!$B$9,Paramètres!$A$1:$I$89,3,0)*0.475*44/12</f>
        <v>0.77648454312247783</v>
      </c>
      <c r="AB83" s="21">
        <f>EXP(-LN(2)/2)*AB82+(1-EXP(-LN(2)/2))/(LN(2)/2)*V83*Y83*VLOOKUP('Données projet'!$B$9,Paramètres!$A$1:$I$89,3,0)*0.475*44/12</f>
        <v>1.8445694012726627E-7</v>
      </c>
      <c r="AC83" s="22">
        <f t="shared" si="57"/>
        <v>0.776484727579418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224</v>
      </c>
      <c r="AG83" s="12">
        <f>VLOOKUP(A83,'Données projet'!$A$61:$I$81,9,0)</f>
        <v>3.3</v>
      </c>
      <c r="AH83" s="12">
        <f t="array" ref="AH83">INDEX(AG:AG,MIN(IF(ISNUMBER(AG83:AG279),ROW(AG83:AG279),"")))</f>
        <v>3.3</v>
      </c>
      <c r="AI83" s="13">
        <f>IF('Données projet'!$A$62&gt;35,AI82+AH83-AQ82,IF(A83&lt;'Données projet'!$A$62,$AF$205^A83,IF(A83='Données projet'!$A$62,'Données projet'!$B$62,AI82+AH83-AQ82)))</f>
        <v>223.99999999999991</v>
      </c>
      <c r="AJ83" s="13">
        <f>AI83*VLOOKUP('Données projet'!$B$10,Paramètres!$A$1:$I$89,3,0)*VLOOKUP('Données projet'!$B$10,Paramètres!$A$1:$I$89,5,0)</f>
        <v>195.68639999999996</v>
      </c>
      <c r="AK83" s="13">
        <f t="shared" si="89"/>
        <v>48.794969360985156</v>
      </c>
      <c r="AL83" s="20">
        <f t="shared" si="58"/>
        <v>425.80505163704908</v>
      </c>
      <c r="AM83" s="59">
        <f t="shared" si="59"/>
        <v>719.13838497038239</v>
      </c>
      <c r="AN83" s="59">
        <f ca="1">AVERAGE(OFFSET($AM$3,0,0,'Données projet'!$E$10+1,1))-AVERAGE(OFFSET($H$3,0,0,'Données projet'!$E$10+1,1))</f>
        <v>191.94797389630673</v>
      </c>
      <c r="AO83" s="59">
        <f t="shared" si="90"/>
        <v>273.52540822767878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24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0.95648250305073224</v>
      </c>
      <c r="AV83" s="21">
        <f>EXP(-LN(2)/25)*AV82+(1-EXP(-LN(2)/25))/(LN(2)/25)*Calculateur!AQ83*Calculateur!AS83*VLOOKUP('Données projet'!$B$10,Paramètres!$A$1:$I$89,3,0)*0.475*44/12</f>
        <v>3.5120377620931222</v>
      </c>
      <c r="AW83" s="21">
        <f>EXP(-LN(2)/2)*AW82+(1-EXP(-LN(2)/2))/(LN(2)/2)*AQ83*AT83*VLOOKUP('Données projet'!$B$10,Paramètres!$A$1:$I$89,3,0)*0.475*44/12</f>
        <v>6.9150516151396556E-7</v>
      </c>
      <c r="AX83" s="21">
        <f t="shared" si="60"/>
        <v>4.4685209566490158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>
        <f>BD83*VLOOKUP('Données projet'!$B$11,Paramètres!$A$1:$I$89,3,0)*VLOOKUP('Données projet'!$B$11,Paramètres!$A$1:$I$89,5,0)</f>
        <v>0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72.647148358003676</v>
      </c>
      <c r="BJ83" s="59">
        <f t="shared" si="92"/>
        <v>87.231299224620898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0.47272477428097182</v>
      </c>
      <c r="BQ83" s="21">
        <f>EXP(-LN(2)/25)*BQ82+(1-EXP(-LN(2)/25))/(LN(2)/25)*Calculateur!BL83*Calculateur!BN83*VLOOKUP('Données projet'!$B$11,Paramètres!$A$1:$I$89,3,0)*0.475*44/12</f>
        <v>1.1327819869807882</v>
      </c>
      <c r="BR83" s="21">
        <f>EXP(-LN(2)/2)*BR82+(1-EXP(-LN(2)/2))/(LN(2)/2)*BL83*BO83*VLOOKUP('Données projet'!$B$11,Paramètres!$A$1:$I$89,3,0)*0.475*44/12</f>
        <v>6.7976001389944114E-8</v>
      </c>
      <c r="BS83" s="22">
        <f t="shared" si="63"/>
        <v>1.6055068292377614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377</v>
      </c>
      <c r="BW83" s="12">
        <f>VLOOKUP(A83,'Données projet'!$A$113:$I$133,9,0)</f>
        <v>6</v>
      </c>
      <c r="BX83" s="12">
        <f t="array" ref="BX83">INDEX(BW:BW,MIN(IF(ISNUMBER(BW83:BW279),ROW(BW83:BW279),"")))</f>
        <v>6</v>
      </c>
      <c r="BY83" s="12">
        <f>IF('Données projet'!$A$114&gt;35,BY82+BX83-CG82,IF(A83&lt;'Données projet'!$A$114,$BV$205^A83,IF(A83='Données projet'!$A$114,'Données projet'!$B$114,BY82+BX83-CG82)))</f>
        <v>377.00000000000006</v>
      </c>
      <c r="BZ83" s="13">
        <f>BY83*VLOOKUP('Données projet'!$B$12,Paramètres!$A$1:$I$89,3,0)*VLOOKUP('Données projet'!$B$12,Paramètres!$A$1:$I$89,5,0)</f>
        <v>225.44600000000005</v>
      </c>
      <c r="CA83" s="13">
        <f t="shared" si="93"/>
        <v>55.296857101810794</v>
      </c>
      <c r="CB83" s="20">
        <f t="shared" si="64"/>
        <v>488.96047611898717</v>
      </c>
      <c r="CC83" s="59">
        <f t="shared" si="65"/>
        <v>782.29380945232049</v>
      </c>
      <c r="CD83" s="59">
        <f ca="1">AVERAGE(OFFSET($CC$3,0,0,'Données projet'!$E$12+1,1))-AVERAGE(OFFSET($H$3,0,0,'Données projet'!$E$12+1,1))</f>
        <v>165.39579887388538</v>
      </c>
      <c r="CE83" s="59">
        <f t="shared" si="94"/>
        <v>155.89639262545802</v>
      </c>
      <c r="CF83" s="15">
        <f>IF(ISNA(VLOOKUP(A83,'Données projet'!$A$113:$I$133,3,0)),0,VLOOKUP(A83,'Données projet'!$A$113:$I$133,3,0))</f>
        <v>6</v>
      </c>
      <c r="CG83" s="15">
        <f>IF(ISNA(VLOOKUP(A83,'Données projet'!$A$113:$I$133,4,0)),0,VLOOKUP(A83,'Données projet'!$A$113:$I$133,4,0))</f>
        <v>377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</v>
      </c>
      <c r="CL83" s="21">
        <f>EXP(-LN(2)/25)*CL82+(1-EXP(-LN(2)/25))/(LN(2)/25)*Calculateur!CG83*Calculateur!CI83*VLOOKUP('Données projet'!$B$12,Paramètres!$A$1:$I$89,3,0)*0.475*44/12</f>
        <v>1.822311289848868</v>
      </c>
      <c r="CM83" s="21">
        <f>EXP(-LN(2)/2)*CM82+(1-EXP(-LN(2)/2))/(LN(2)/2)*CG83*CJ83*VLOOKUP('Données projet'!$B$12,Paramètres!$A$1:$I$89,3,0)*0.475*44/12</f>
        <v>4.136572997384355E-7</v>
      </c>
      <c r="CN83" s="22">
        <f t="shared" si="66"/>
        <v>1.8223117035061678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3.4106051316484809E-13</v>
      </c>
      <c r="CU83" s="17">
        <f>CT83*VLOOKUP('Données projet'!$B$13,Paramètres!$A$1:$I$89,3,0)*VLOOKUP('Données projet'!$B$13,Paramètres!$A$1:$I$89,5,0)</f>
        <v>2.6602720026858149E-13</v>
      </c>
      <c r="CV83" s="13">
        <f t="shared" si="95"/>
        <v>3.5662905043956649E-12</v>
      </c>
      <c r="CW83" s="20">
        <f t="shared" si="67"/>
        <v>6.6746200022902298E-12</v>
      </c>
      <c r="CX83" s="59">
        <f t="shared" si="68"/>
        <v>293.33333333333997</v>
      </c>
      <c r="CY83" s="59">
        <f ca="1">AVERAGE(OFFSET($CX$3,0,0,'Données projet'!$E$13+1,1))-AVERAGE(OFFSET($H$3,0,0,'Données projet'!$E$13+1,1))</f>
        <v>190.06335940156185</v>
      </c>
      <c r="CZ83" s="59">
        <f t="shared" si="96"/>
        <v>166.43663896839928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0</v>
      </c>
      <c r="DG83" s="21">
        <f>EXP(-LN(2)/25)*DG82+(1-EXP(-LN(2)/25))/(LN(2)/25)*Calculateur!DB83*Calculateur!DD83*VLOOKUP('Données projet'!$B$13,Paramètres!$A$1:$I$89,3,0)*0.475*44/12</f>
        <v>1.116610065823652</v>
      </c>
      <c r="DH83" s="21">
        <f>EXP(-LN(2)/2)*DH82+(1-EXP(-LN(2)/2))/(LN(2)/2)*DB83*DE83*VLOOKUP('Données projet'!$B$13,Paramètres!$A$1:$I$89,3,0)*0.475*44/12</f>
        <v>1.5873905575091524E-7</v>
      </c>
      <c r="DI83" s="22">
        <f t="shared" si="69"/>
        <v>1.1166102245627076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282</v>
      </c>
      <c r="DM83" s="12">
        <f>VLOOKUP(A83,'Données projet'!$A$165:$I$185,9,0)</f>
        <v>6.1</v>
      </c>
      <c r="DN83" s="12">
        <f t="array" ref="DN83">INDEX(DM:DM,MIN(IF(ISNUMBER(DM83:DM279),ROW(DM83:DM279),"")))</f>
        <v>6.1</v>
      </c>
      <c r="DO83" s="12">
        <f>IF('Données projet'!$A$166&gt;35,DO82+DN83-DW82,IF(A83&lt;'Données projet'!$A$166,$DL$205^A83,IF(A83='Données projet'!$A$166,'Données projet'!$B$166,DO82+DN83-DW82)))</f>
        <v>282.00000000000028</v>
      </c>
      <c r="DP83" s="17">
        <f>DO83*VLOOKUP('Données projet'!$B$14,Paramètres!$A$1:$I$89,3,0)*VLOOKUP('Données projet'!$B$14,Paramètres!$A$1:$I$89,5,0)</f>
        <v>272.7504000000003</v>
      </c>
      <c r="DQ83" s="13">
        <f t="shared" si="97"/>
        <v>65.432628830820761</v>
      </c>
      <c r="DR83" s="20">
        <f t="shared" si="70"/>
        <v>589.00210854701334</v>
      </c>
      <c r="DS83" s="59">
        <f t="shared" si="71"/>
        <v>882.33544188034671</v>
      </c>
      <c r="DT83" s="59">
        <f ca="1">AVERAGE(OFFSET($DS$3,0,0,'Données projet'!$E$14+1,1))-AVERAGE(OFFSET($H$3,0,0,'Données projet'!$E$14+1,1))</f>
        <v>261.22357949323879</v>
      </c>
      <c r="DU83" s="59">
        <f t="shared" si="98"/>
        <v>163.41029152029387</v>
      </c>
      <c r="DV83" s="15">
        <f>IF(ISNA(VLOOKUP(A83,'Données projet'!$A$165:$I$185,3,0)),0,VLOOKUP(A83,'Données projet'!$A$165:$I$185,3,0))</f>
        <v>6</v>
      </c>
      <c r="DW83" s="15">
        <f>IF(ISNA(VLOOKUP(A83,'Données projet'!$A$165:$I$185,4,0)),0,VLOOKUP(A83,'Données projet'!$A$165:$I$185,4,0))</f>
        <v>42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0</v>
      </c>
      <c r="EB83" s="21">
        <f>EXP(-LN(2)/25)*EB82+(1-EXP(-LN(2)/25))/(LN(2)/25)*Calculateur!DW83*Calculateur!DY83*VLOOKUP('Données projet'!$B$14,Paramètres!$A$1:$I$89,3,0)*0.475*44/12</f>
        <v>0.83003520126885555</v>
      </c>
      <c r="EC83" s="21">
        <f>EXP(-LN(2)/2)*EC82+(1-EXP(-LN(2)/2))/(LN(2)/2)*DW83*DZ83*VLOOKUP('Données projet'!$B$14,Paramètres!$A$1:$I$89,3,0)*0.475*44/12</f>
        <v>1.9717810841190528E-7</v>
      </c>
      <c r="ED83" s="22">
        <f t="shared" si="72"/>
        <v>0.83003539844696395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334.5</v>
      </c>
      <c r="EH83" s="12">
        <f>VLOOKUP(A83,'Données projet'!$A$191:$I$211,9,0)</f>
        <v>7.7</v>
      </c>
      <c r="EI83" s="12">
        <f t="array" ref="EI83">INDEX(EH:EH,MIN(IF(ISNUMBER(EH83:EH279),ROW(EH83:EH279),"")))</f>
        <v>7.7</v>
      </c>
      <c r="EJ83" s="12">
        <f>IF('Données projet'!$A$192&gt;35,EJ82+EI83-ER82,IF(A83&lt;'Données projet'!$A$192,$EG$205^A83,IF(A83='Données projet'!$A$192,'Données projet'!$B$192,EJ82+EI83-ER82)))</f>
        <v>334.49999999999983</v>
      </c>
      <c r="EK83" s="17">
        <f>EJ83*VLOOKUP('Données projet'!$B$15,Paramètres!$A$1:$I$89,3,0)*VLOOKUP('Données projet'!$B$15,Paramètres!$A$1:$I$89,5,0)</f>
        <v>156.54599999999991</v>
      </c>
      <c r="EL83" s="13">
        <f t="shared" si="99"/>
        <v>40.062469306923084</v>
      </c>
      <c r="EM83" s="20">
        <f t="shared" si="73"/>
        <v>342.42641737622415</v>
      </c>
      <c r="EN83" s="59">
        <f t="shared" si="74"/>
        <v>635.75975070955747</v>
      </c>
      <c r="EO83" s="59">
        <f ca="1">AVERAGE(OFFSET($EN$3,0,0,'Données projet'!$E$15+1,1))-AVERAGE(OFFSET($H$3,0,0,'Données projet'!$E$15+1,1))</f>
        <v>123.60520571614535</v>
      </c>
      <c r="EP83" s="59">
        <f t="shared" si="100"/>
        <v>119.00926870519527</v>
      </c>
      <c r="EQ83" s="15">
        <f>IF(ISNA(VLOOKUP(A83,'Données projet'!$A$191:$I$211,3,0)),0,VLOOKUP(A83,'Données projet'!$A$191:$I$211,3,0))</f>
        <v>7</v>
      </c>
      <c r="ER83" s="15">
        <f>IF(ISNA(VLOOKUP(A83,'Données projet'!$A$191:$I$211,4,0)),0,VLOOKUP(A83,'Données projet'!$A$191:$I$211,4,0))</f>
        <v>46.3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0.32220165338272583</v>
      </c>
      <c r="EW83" s="21">
        <f>EXP(-LN(2)/25)*EW82+(1-EXP(-LN(2)/25))/(LN(2)/25)*Calculateur!ER83*Calculateur!ET83*VLOOKUP('Données projet'!$B$15,Paramètres!$A$1:$I$89,3,0)*0.475*44/12</f>
        <v>1.1941895508093689</v>
      </c>
      <c r="EX83" s="21">
        <f>EXP(-LN(2)/2)*EX82+(1-EXP(-LN(2)/2))/(LN(2)/2)*ER83*EU83*VLOOKUP('Données projet'!$B$15,Paramètres!$A$1:$I$89,3,0)*0.475*44/12</f>
        <v>1.8220277104027705E-7</v>
      </c>
      <c r="EY83" s="22">
        <f t="shared" si="75"/>
        <v>1.5163913863948659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projet'!$A$217:$I$237,2,0)</f>
        <v>226</v>
      </c>
      <c r="FC83" s="12">
        <f>VLOOKUP(A83,'Données projet'!$A$217:$I$237,9,0)</f>
        <v>2.5</v>
      </c>
      <c r="FD83" s="12">
        <f t="array" ref="FD83">INDEX(FC:FC,MIN(IF(ISNUMBER(FC83:FC279),ROW(FC83:FC279),"")))</f>
        <v>2.5</v>
      </c>
      <c r="FE83" s="12">
        <f>IF('Données projet'!$A$218&gt;35,FE82+FD83-FM82,IF(A83&lt;'Données projet'!$A$218,$FB$205^A83,IF(A83='Données projet'!$A$218,'Données projet'!$B$218,FE82+FD83-FM82)))</f>
        <v>225.99999999999991</v>
      </c>
      <c r="FF83" s="17">
        <f>FE83*VLOOKUP('Données projet'!$B$16,Paramètres!$A$1:$I$89,3,0)*VLOOKUP('Données projet'!$B$16,Paramètres!$A$1:$I$89,5,0)</f>
        <v>165.70319999999992</v>
      </c>
      <c r="FG83" s="13">
        <f t="shared" si="101"/>
        <v>42.126254201367267</v>
      </c>
      <c r="FH83" s="20">
        <f t="shared" si="76"/>
        <v>361.96963273404782</v>
      </c>
      <c r="FI83" s="59">
        <f t="shared" si="77"/>
        <v>655.30296606738113</v>
      </c>
      <c r="FJ83" s="59">
        <f ca="1">AVERAGE(OFFSET($FI$3,0,0,'Données projet'!$E$16+1,1))-AVERAGE(OFFSET($H$3,0,0,'Données projet'!$E$16+1,1))</f>
        <v>124.15919323713428</v>
      </c>
      <c r="FK83" s="59">
        <f t="shared" si="102"/>
        <v>157.85954678210715</v>
      </c>
      <c r="FL83" s="15">
        <f>IF(ISNA(VLOOKUP(A83,'Données projet'!$A$217:$I$237,3,0)),0,VLOOKUP(A83,'Données projet'!$A$217:$I$237,3,0))</f>
        <v>7</v>
      </c>
      <c r="FM83" s="15">
        <f>IF(ISNA(VLOOKUP(A83,'Données projet'!$A$217:$I$237,4,0)),0,VLOOKUP(A83,'Données projet'!$A$217:$I$237,4,0))</f>
        <v>226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0</v>
      </c>
      <c r="FR83" s="21">
        <f>EXP(-LN(2)/25)*FR82+(1-EXP(-LN(2)/25))/(LN(2)/25)*Calculateur!FM83*Calculateur!FO83*VLOOKUP('Données projet'!$B$16,Paramètres!$A$1:$I$89,3,0)*0.475*44/12</f>
        <v>1.2565967198525831</v>
      </c>
      <c r="FS83" s="21">
        <f>EXP(-LN(2)/2)*FS82+(1-EXP(-LN(2)/2))/(LN(2)/2)*FM83*FP83*VLOOKUP('Données projet'!$B$16,Paramètres!$A$1:$I$89,3,0)*0.475*44/12</f>
        <v>2.1986167869100711E-7</v>
      </c>
      <c r="FT83" s="22">
        <f t="shared" si="78"/>
        <v>1.2565969397142618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5.6</v>
      </c>
      <c r="N84" s="13">
        <f>IF('Données projet'!$A$36&gt;35,N83+M84-V83,IF(A84&lt;'Données projet'!$A$36,$K$205^A84,IF(A84='Données projet'!$A$36,'Données projet'!$B$36,N83+M84-V83)))</f>
        <v>245.60000000000031</v>
      </c>
      <c r="O84" s="13">
        <f>N84*VLOOKUP('Données projet'!$B$9,Paramètres!$A$1:$I$89,3,0)*VLOOKUP('Données projet'!$B$9,Paramètres!$A$1:$I$89,5,0)</f>
        <v>222.2188800000003</v>
      </c>
      <c r="P84" s="13">
        <f t="shared" si="87"/>
        <v>54.596866296848951</v>
      </c>
      <c r="Q84" s="20">
        <f t="shared" si="54"/>
        <v>482.12075813367898</v>
      </c>
      <c r="R84" s="59">
        <f t="shared" si="55"/>
        <v>775.45409146701229</v>
      </c>
      <c r="S84" s="59">
        <f ca="1">AVERAGE(OFFSET($R$3,0,0,'Données projet'!$E$9+1,1))-AVERAGE(OFFSET($H$3,0,0,'Données projet'!$E$9+1,1))</f>
        <v>237.22177246688199</v>
      </c>
      <c r="T84" s="59">
        <f t="shared" si="88"/>
        <v>149.27472147904302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0</v>
      </c>
      <c r="AA84" s="21">
        <f>EXP(-LN(2)/25)*AA83+(1-EXP(-LN(2)/25))/(LN(2)/25)*Calculateur!V84*Calculateur!X84*VLOOKUP('Données projet'!$B$9,Paramètres!$A$1:$I$89,3,0)*0.475*44/12</f>
        <v>0.75525153245724619</v>
      </c>
      <c r="AB84" s="21">
        <f>EXP(-LN(2)/2)*AB83+(1-EXP(-LN(2)/2))/(LN(2)/2)*V84*Y84*VLOOKUP('Données projet'!$B$9,Paramètres!$A$1:$I$89,3,0)*0.475*44/12</f>
        <v>1.3043075320091096E-7</v>
      </c>
      <c r="AC84" s="22">
        <f t="shared" si="57"/>
        <v>0.75525166288799939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2.5</v>
      </c>
      <c r="AI84" s="13">
        <f>IF('Données projet'!$A$62&gt;35,AI83+AH84-AQ83,IF(A84&lt;'Données projet'!$A$62,$AF$205^A84,IF(A84='Données projet'!$A$62,'Données projet'!$B$62,AI83+AH84-AQ83)))</f>
        <v>202.49999999999991</v>
      </c>
      <c r="AJ84" s="13">
        <f>AI84*VLOOKUP('Données projet'!$B$10,Paramètres!$A$1:$I$89,3,0)*VLOOKUP('Données projet'!$B$10,Paramètres!$A$1:$I$89,5,0)</f>
        <v>176.90399999999994</v>
      </c>
      <c r="AK84" s="13">
        <f t="shared" si="89"/>
        <v>44.632689233663157</v>
      </c>
      <c r="AL84" s="20">
        <f t="shared" si="58"/>
        <v>385.84306708196317</v>
      </c>
      <c r="AM84" s="59">
        <f t="shared" si="59"/>
        <v>679.17640041529648</v>
      </c>
      <c r="AN84" s="59">
        <f ca="1">AVERAGE(OFFSET($AM$3,0,0,'Données projet'!$E$10+1,1))-AVERAGE(OFFSET($H$3,0,0,'Données projet'!$E$10+1,1))</f>
        <v>191.94797389630673</v>
      </c>
      <c r="AO84" s="59">
        <f t="shared" si="90"/>
        <v>273.52540822767878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0.93772646456262865</v>
      </c>
      <c r="AV84" s="21">
        <f>EXP(-LN(2)/25)*AV83+(1-EXP(-LN(2)/25))/(LN(2)/25)*Calculateur!AQ84*Calculateur!AS84*VLOOKUP('Données projet'!$B$10,Paramètres!$A$1:$I$89,3,0)*0.475*44/12</f>
        <v>3.4160009047986466</v>
      </c>
      <c r="AW84" s="21">
        <f>EXP(-LN(2)/2)*AW83+(1-EXP(-LN(2)/2))/(LN(2)/2)*AQ84*AT84*VLOOKUP('Données projet'!$B$10,Paramètres!$A$1:$I$89,3,0)*0.475*44/12</f>
        <v>4.8896798893202383E-7</v>
      </c>
      <c r="AX84" s="21">
        <f t="shared" si="60"/>
        <v>4.3537278583292638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>
        <f>BD84*VLOOKUP('Données projet'!$B$11,Paramètres!$A$1:$I$89,3,0)*VLOOKUP('Données projet'!$B$11,Paramètres!$A$1:$I$89,5,0)</f>
        <v>0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72.647148358003676</v>
      </c>
      <c r="BJ84" s="59">
        <f t="shared" si="92"/>
        <v>87.231299224620898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0.4634549297909637</v>
      </c>
      <c r="BQ84" s="21">
        <f>EXP(-LN(2)/25)*BQ83+(1-EXP(-LN(2)/25))/(LN(2)/25)*Calculateur!BL84*Calculateur!BN84*VLOOKUP('Données projet'!$B$11,Paramètres!$A$1:$I$89,3,0)*0.475*44/12</f>
        <v>1.1018060039763828</v>
      </c>
      <c r="BR84" s="21">
        <f>EXP(-LN(2)/2)*BR83+(1-EXP(-LN(2)/2))/(LN(2)/2)*BL84*BO84*VLOOKUP('Données projet'!$B$11,Paramètres!$A$1:$I$89,3,0)*0.475*44/12</f>
        <v>4.8066291540775664E-8</v>
      </c>
      <c r="BS84" s="22">
        <f t="shared" si="63"/>
        <v>1.565260981833638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5.6843418860808015E-14</v>
      </c>
      <c r="BZ84" s="13">
        <f>BY84*VLOOKUP('Données projet'!$B$12,Paramètres!$A$1:$I$89,3,0)*VLOOKUP('Données projet'!$B$12,Paramètres!$A$1:$I$89,5,0)</f>
        <v>3.3992364478763198E-14</v>
      </c>
      <c r="CA84" s="13">
        <f t="shared" si="93"/>
        <v>5.790027782444094E-13</v>
      </c>
      <c r="CB84" s="20">
        <f t="shared" si="64"/>
        <v>1.0676332069095257E-12</v>
      </c>
      <c r="CC84" s="59">
        <f t="shared" si="65"/>
        <v>293.33333333333439</v>
      </c>
      <c r="CD84" s="59">
        <f ca="1">AVERAGE(OFFSET($CC$3,0,0,'Données projet'!$E$12+1,1))-AVERAGE(OFFSET($H$3,0,0,'Données projet'!$E$12+1,1))</f>
        <v>165.39579887388538</v>
      </c>
      <c r="CE84" s="59">
        <f t="shared" si="94"/>
        <v>155.89639262545802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</v>
      </c>
      <c r="CL84" s="21">
        <f>EXP(-LN(2)/25)*CL83+(1-EXP(-LN(2)/25))/(LN(2)/25)*Calculateur!CG84*Calculateur!CI84*VLOOKUP('Données projet'!$B$12,Paramètres!$A$1:$I$89,3,0)*0.475*44/12</f>
        <v>1.7724800917967649</v>
      </c>
      <c r="CM84" s="21">
        <f>EXP(-LN(2)/2)*CM83+(1-EXP(-LN(2)/2))/(LN(2)/2)*CG84*CJ84*VLOOKUP('Données projet'!$B$12,Paramètres!$A$1:$I$89,3,0)*0.475*44/12</f>
        <v>2.9249988173236401E-7</v>
      </c>
      <c r="CN84" s="22">
        <f t="shared" si="66"/>
        <v>1.7724803842966466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3.4106051316484809E-13</v>
      </c>
      <c r="CU84" s="17">
        <f>CT84*VLOOKUP('Données projet'!$B$13,Paramètres!$A$1:$I$89,3,0)*VLOOKUP('Données projet'!$B$13,Paramètres!$A$1:$I$89,5,0)</f>
        <v>2.6602720026858149E-13</v>
      </c>
      <c r="CV84" s="13">
        <f t="shared" si="95"/>
        <v>3.5662905043956649E-12</v>
      </c>
      <c r="CW84" s="20">
        <f t="shared" si="67"/>
        <v>6.6746200022902298E-12</v>
      </c>
      <c r="CX84" s="59">
        <f t="shared" si="68"/>
        <v>293.33333333333997</v>
      </c>
      <c r="CY84" s="59">
        <f ca="1">AVERAGE(OFFSET($CX$3,0,0,'Données projet'!$E$13+1,1))-AVERAGE(OFFSET($H$3,0,0,'Données projet'!$E$13+1,1))</f>
        <v>190.06335940156185</v>
      </c>
      <c r="CZ84" s="59">
        <f t="shared" si="96"/>
        <v>166.43663896839928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0</v>
      </c>
      <c r="DG84" s="21">
        <f>EXP(-LN(2)/25)*DG83+(1-EXP(-LN(2)/25))/(LN(2)/25)*Calculateur!DB84*Calculateur!DD84*VLOOKUP('Données projet'!$B$13,Paramètres!$A$1:$I$89,3,0)*0.475*44/12</f>
        <v>1.086076304853733</v>
      </c>
      <c r="DH84" s="21">
        <f>EXP(-LN(2)/2)*DH83+(1-EXP(-LN(2)/2))/(LN(2)/2)*DB84*DE84*VLOOKUP('Données projet'!$B$13,Paramètres!$A$1:$I$89,3,0)*0.475*44/12</f>
        <v>1.122454627606216E-7</v>
      </c>
      <c r="DI84" s="22">
        <f t="shared" si="69"/>
        <v>1.0860764170991957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5.6</v>
      </c>
      <c r="DO84" s="12">
        <f>IF('Données projet'!$A$166&gt;35,DO83+DN84-DW83,IF(A84&lt;'Données projet'!$A$166,$DL$205^A84,IF(A84='Données projet'!$A$166,'Données projet'!$B$166,DO83+DN84-DW83)))</f>
        <v>245.60000000000031</v>
      </c>
      <c r="DP84" s="17">
        <f>DO84*VLOOKUP('Données projet'!$B$14,Paramètres!$A$1:$I$89,3,0)*VLOOKUP('Données projet'!$B$14,Paramètres!$A$1:$I$89,5,0)</f>
        <v>237.54432000000031</v>
      </c>
      <c r="DQ84" s="13">
        <f t="shared" si="97"/>
        <v>57.910863128488039</v>
      </c>
      <c r="DR84" s="20">
        <f t="shared" si="70"/>
        <v>514.58444394878381</v>
      </c>
      <c r="DS84" s="59">
        <f t="shared" si="71"/>
        <v>807.91777728211719</v>
      </c>
      <c r="DT84" s="59">
        <f ca="1">AVERAGE(OFFSET($DS$3,0,0,'Données projet'!$E$14+1,1))-AVERAGE(OFFSET($H$3,0,0,'Données projet'!$E$14+1,1))</f>
        <v>261.22357949323879</v>
      </c>
      <c r="DU84" s="59">
        <f t="shared" si="98"/>
        <v>163.41029152029387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0</v>
      </c>
      <c r="EB84" s="21">
        <f>EXP(-LN(2)/25)*EB83+(1-EXP(-LN(2)/25))/(LN(2)/25)*Calculateur!DW84*Calculateur!DY84*VLOOKUP('Données projet'!$B$14,Paramètres!$A$1:$I$89,3,0)*0.475*44/12</f>
        <v>0.80733784504050454</v>
      </c>
      <c r="EC84" s="21">
        <f>EXP(-LN(2)/2)*EC83+(1-EXP(-LN(2)/2))/(LN(2)/2)*DW84*DZ84*VLOOKUP('Données projet'!$B$14,Paramètres!$A$1:$I$89,3,0)*0.475*44/12</f>
        <v>1.3942597755959445E-7</v>
      </c>
      <c r="ED84" s="22">
        <f t="shared" si="72"/>
        <v>0.80733798446648208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8.3000000000000007</v>
      </c>
      <c r="EJ84" s="12">
        <f>IF('Données projet'!$A$192&gt;35,EJ83+EI84-ER83,IF(A84&lt;'Données projet'!$A$192,$EG$205^A84,IF(A84='Données projet'!$A$192,'Données projet'!$B$192,EJ83+EI84-ER83)))</f>
        <v>296.49999999999983</v>
      </c>
      <c r="EK84" s="17">
        <f>EJ84*VLOOKUP('Données projet'!$B$15,Paramètres!$A$1:$I$89,3,0)*VLOOKUP('Données projet'!$B$15,Paramètres!$A$1:$I$89,5,0)</f>
        <v>138.76199999999992</v>
      </c>
      <c r="EL84" s="13">
        <f t="shared" si="99"/>
        <v>36.01325063671441</v>
      </c>
      <c r="EM84" s="20">
        <f t="shared" si="73"/>
        <v>304.40022819227744</v>
      </c>
      <c r="EN84" s="59">
        <f t="shared" si="74"/>
        <v>597.73356152561075</v>
      </c>
      <c r="EO84" s="59">
        <f ca="1">AVERAGE(OFFSET($EN$3,0,0,'Données projet'!$E$15+1,1))-AVERAGE(OFFSET($H$3,0,0,'Données projet'!$E$15+1,1))</f>
        <v>123.60520571614535</v>
      </c>
      <c r="EP84" s="59">
        <f t="shared" si="100"/>
        <v>119.00926870519527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0.31588347548349405</v>
      </c>
      <c r="EW84" s="21">
        <f>EXP(-LN(2)/25)*EW83+(1-EXP(-LN(2)/25))/(LN(2)/25)*Calculateur!ER84*Calculateur!ET84*VLOOKUP('Données projet'!$B$15,Paramètres!$A$1:$I$89,3,0)*0.475*44/12</f>
        <v>1.1615343747427875</v>
      </c>
      <c r="EX84" s="21">
        <f>EXP(-LN(2)/2)*EX83+(1-EXP(-LN(2)/2))/(LN(2)/2)*ER84*EU84*VLOOKUP('Données projet'!$B$15,Paramètres!$A$1:$I$89,3,0)*0.475*44/12</f>
        <v>1.288368149535598E-7</v>
      </c>
      <c r="EY84" s="22">
        <f t="shared" si="75"/>
        <v>1.4774179790630966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-8.5265128291212022E-14</v>
      </c>
      <c r="FF84" s="17">
        <f>FE84*VLOOKUP('Données projet'!$B$16,Paramètres!$A$1:$I$89,3,0)*VLOOKUP('Données projet'!$B$16,Paramètres!$A$1:$I$89,5,0)</f>
        <v>-6.2516392063116648E-14</v>
      </c>
      <c r="FG84" s="13" t="e">
        <f t="shared" si="101"/>
        <v>#NUM!</v>
      </c>
      <c r="FH84" s="20" t="e">
        <f t="shared" si="76"/>
        <v>#NUM!</v>
      </c>
      <c r="FI84" s="59" t="e">
        <f t="shared" si="77"/>
        <v>#NUM!</v>
      </c>
      <c r="FJ84" s="59">
        <f ca="1">AVERAGE(OFFSET($FI$3,0,0,'Données projet'!$E$16+1,1))-AVERAGE(OFFSET($H$3,0,0,'Données projet'!$E$16+1,1))</f>
        <v>124.15919323713428</v>
      </c>
      <c r="FK84" s="59">
        <f t="shared" si="102"/>
        <v>157.85954678210715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0</v>
      </c>
      <c r="FR84" s="21">
        <f>EXP(-LN(2)/25)*FR83+(1-EXP(-LN(2)/25))/(LN(2)/25)*Calculateur!FM84*Calculateur!FO84*VLOOKUP('Données projet'!$B$16,Paramètres!$A$1:$I$89,3,0)*0.475*44/12</f>
        <v>1.2222350164666647</v>
      </c>
      <c r="FS84" s="21">
        <f>EXP(-LN(2)/2)*FS83+(1-EXP(-LN(2)/2))/(LN(2)/2)*FM84*FP84*VLOOKUP('Données projet'!$B$16,Paramètres!$A$1:$I$89,3,0)*0.475*44/12</f>
        <v>1.5546568392546898E-7</v>
      </c>
      <c r="FT84" s="22">
        <f t="shared" si="78"/>
        <v>1.2222351719323485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5.6</v>
      </c>
      <c r="N85" s="13">
        <f>IF('Données projet'!$A$36&gt;35,N84+M85-V84,IF(A85&lt;'Données projet'!$A$36,$K$205^A85,IF(A85='Données projet'!$A$36,'Données projet'!$B$36,N84+M85-V84)))</f>
        <v>251.2000000000003</v>
      </c>
      <c r="O85" s="13">
        <f>N85*VLOOKUP('Données projet'!$B$9,Paramètres!$A$1:$I$89,3,0)*VLOOKUP('Données projet'!$B$9,Paramètres!$A$1:$I$89,5,0)</f>
        <v>227.28576000000027</v>
      </c>
      <c r="P85" s="13">
        <f t="shared" si="87"/>
        <v>55.695394520076427</v>
      </c>
      <c r="Q85" s="20">
        <f t="shared" si="54"/>
        <v>492.85884412246696</v>
      </c>
      <c r="R85" s="59">
        <f t="shared" si="55"/>
        <v>786.19217745580022</v>
      </c>
      <c r="S85" s="59">
        <f ca="1">AVERAGE(OFFSET($R$3,0,0,'Données projet'!$E$9+1,1))-AVERAGE(OFFSET($H$3,0,0,'Données projet'!$E$9+1,1))</f>
        <v>237.22177246688199</v>
      </c>
      <c r="T85" s="59">
        <f t="shared" si="88"/>
        <v>149.27472147904302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0</v>
      </c>
      <c r="AA85" s="21">
        <f>EXP(-LN(2)/25)*AA84+(1-EXP(-LN(2)/25))/(LN(2)/25)*Calculateur!V85*Calculateur!X85*VLOOKUP('Données projet'!$B$9,Paramètres!$A$1:$I$89,3,0)*0.475*44/12</f>
        <v>0.7345991395852508</v>
      </c>
      <c r="AB85" s="21">
        <f>EXP(-LN(2)/2)*AB84+(1-EXP(-LN(2)/2))/(LN(2)/2)*V85*Y85*VLOOKUP('Données projet'!$B$9,Paramètres!$A$1:$I$89,3,0)*0.475*44/12</f>
        <v>9.2228470063633133E-8</v>
      </c>
      <c r="AC85" s="22">
        <f t="shared" si="57"/>
        <v>0.73459923181372089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2.5</v>
      </c>
      <c r="AI85" s="13">
        <f>IF('Données projet'!$A$62&gt;35,AI84+AH85-AQ84,IF(A85&lt;'Données projet'!$A$62,$AF$205^A85,IF(A85='Données projet'!$A$62,'Données projet'!$B$62,AI84+AH85-AQ84)))</f>
        <v>204.99999999999991</v>
      </c>
      <c r="AJ85" s="13">
        <f>AI85*VLOOKUP('Données projet'!$B$10,Paramètres!$A$1:$I$89,3,0)*VLOOKUP('Données projet'!$B$10,Paramètres!$A$1:$I$89,5,0)</f>
        <v>179.08799999999997</v>
      </c>
      <c r="AK85" s="13">
        <f t="shared" si="89"/>
        <v>45.119223023956835</v>
      </c>
      <c r="AL85" s="20">
        <f t="shared" si="58"/>
        <v>390.49424676672476</v>
      </c>
      <c r="AM85" s="59">
        <f t="shared" si="59"/>
        <v>683.82758010005807</v>
      </c>
      <c r="AN85" s="59">
        <f ca="1">AVERAGE(OFFSET($AM$3,0,0,'Données projet'!$E$10+1,1))-AVERAGE(OFFSET($H$3,0,0,'Données projet'!$E$10+1,1))</f>
        <v>191.94797389630673</v>
      </c>
      <c r="AO85" s="59">
        <f t="shared" si="90"/>
        <v>273.52540822767878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0.91933822054922287</v>
      </c>
      <c r="AV85" s="21">
        <f>EXP(-LN(2)/25)*AV84+(1-EXP(-LN(2)/25))/(LN(2)/25)*Calculateur!AQ85*Calculateur!AS85*VLOOKUP('Données projet'!$B$10,Paramètres!$A$1:$I$89,3,0)*0.475*44/12</f>
        <v>3.3225901804172473</v>
      </c>
      <c r="AW85" s="21">
        <f>EXP(-LN(2)/2)*AW84+(1-EXP(-LN(2)/2))/(LN(2)/2)*AQ85*AT85*VLOOKUP('Données projet'!$B$10,Paramètres!$A$1:$I$89,3,0)*0.475*44/12</f>
        <v>3.4575258075698278E-7</v>
      </c>
      <c r="AX85" s="21">
        <f t="shared" si="60"/>
        <v>4.2419287467190507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>
        <f>BD85*VLOOKUP('Données projet'!$B$11,Paramètres!$A$1:$I$89,3,0)*VLOOKUP('Données projet'!$B$11,Paramètres!$A$1:$I$89,5,0)</f>
        <v>0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72.647148358003676</v>
      </c>
      <c r="BJ85" s="59">
        <f t="shared" si="92"/>
        <v>87.231299224620898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0.45436686129735776</v>
      </c>
      <c r="BQ85" s="21">
        <f>EXP(-LN(2)/25)*BQ84+(1-EXP(-LN(2)/25))/(LN(2)/25)*Calculateur!BL85*Calculateur!BN85*VLOOKUP('Données projet'!$B$11,Paramètres!$A$1:$I$89,3,0)*0.475*44/12</f>
        <v>1.0716770608561892</v>
      </c>
      <c r="BR85" s="21">
        <f>EXP(-LN(2)/2)*BR84+(1-EXP(-LN(2)/2))/(LN(2)/2)*BL85*BO85*VLOOKUP('Données projet'!$B$11,Paramètres!$A$1:$I$89,3,0)*0.475*44/12</f>
        <v>3.3988000694972057E-8</v>
      </c>
      <c r="BS85" s="22">
        <f t="shared" si="63"/>
        <v>1.5260439561415475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5.6843418860808015E-14</v>
      </c>
      <c r="BZ85" s="13">
        <f>BY85*VLOOKUP('Données projet'!$B$12,Paramètres!$A$1:$I$89,3,0)*VLOOKUP('Données projet'!$B$12,Paramètres!$A$1:$I$89,5,0)</f>
        <v>3.3992364478763198E-14</v>
      </c>
      <c r="CA85" s="13">
        <f t="shared" si="93"/>
        <v>5.790027782444094E-13</v>
      </c>
      <c r="CB85" s="20">
        <f t="shared" si="64"/>
        <v>1.0676332069095257E-12</v>
      </c>
      <c r="CC85" s="59">
        <f t="shared" si="65"/>
        <v>293.33333333333439</v>
      </c>
      <c r="CD85" s="59">
        <f ca="1">AVERAGE(OFFSET($CC$3,0,0,'Données projet'!$E$12+1,1))-AVERAGE(OFFSET($H$3,0,0,'Données projet'!$E$12+1,1))</f>
        <v>165.39579887388538</v>
      </c>
      <c r="CE85" s="59">
        <f t="shared" si="94"/>
        <v>155.89639262545802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</v>
      </c>
      <c r="CL85" s="21">
        <f>EXP(-LN(2)/25)*CL84+(1-EXP(-LN(2)/25))/(LN(2)/25)*Calculateur!CG85*Calculateur!CI85*VLOOKUP('Données projet'!$B$12,Paramètres!$A$1:$I$89,3,0)*0.475*44/12</f>
        <v>1.7240115304759054</v>
      </c>
      <c r="CM85" s="21">
        <f>EXP(-LN(2)/2)*CM84+(1-EXP(-LN(2)/2))/(LN(2)/2)*CG85*CJ85*VLOOKUP('Données projet'!$B$12,Paramètres!$A$1:$I$89,3,0)*0.475*44/12</f>
        <v>2.0682864986921775E-7</v>
      </c>
      <c r="CN85" s="22">
        <f t="shared" si="66"/>
        <v>1.7240117373045551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3.4106051316484809E-13</v>
      </c>
      <c r="CU85" s="17">
        <f>CT85*VLOOKUP('Données projet'!$B$13,Paramètres!$A$1:$I$89,3,0)*VLOOKUP('Données projet'!$B$13,Paramètres!$A$1:$I$89,5,0)</f>
        <v>2.6602720026858149E-13</v>
      </c>
      <c r="CV85" s="13">
        <f t="shared" si="95"/>
        <v>3.5662905043956649E-12</v>
      </c>
      <c r="CW85" s="20">
        <f t="shared" si="67"/>
        <v>6.6746200022902298E-12</v>
      </c>
      <c r="CX85" s="59">
        <f t="shared" si="68"/>
        <v>293.33333333333997</v>
      </c>
      <c r="CY85" s="59">
        <f ca="1">AVERAGE(OFFSET($CX$3,0,0,'Données projet'!$E$13+1,1))-AVERAGE(OFFSET($H$3,0,0,'Données projet'!$E$13+1,1))</f>
        <v>190.06335940156185</v>
      </c>
      <c r="CZ85" s="59">
        <f t="shared" si="96"/>
        <v>166.43663896839928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0</v>
      </c>
      <c r="DG85" s="21">
        <f>EXP(-LN(2)/25)*DG84+(1-EXP(-LN(2)/25))/(LN(2)/25)*Calculateur!DB85*Calculateur!DD85*VLOOKUP('Données projet'!$B$13,Paramètres!$A$1:$I$89,3,0)*0.475*44/12</f>
        <v>1.0563774911832371</v>
      </c>
      <c r="DH85" s="21">
        <f>EXP(-LN(2)/2)*DH84+(1-EXP(-LN(2)/2))/(LN(2)/2)*DB85*DE85*VLOOKUP('Données projet'!$B$13,Paramètres!$A$1:$I$89,3,0)*0.475*44/12</f>
        <v>7.9369527875457633E-8</v>
      </c>
      <c r="DI85" s="22">
        <f t="shared" si="69"/>
        <v>1.0563775705527649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5.6</v>
      </c>
      <c r="DO85" s="12">
        <f>IF('Données projet'!$A$166&gt;35,DO84+DN85-DW84,IF(A85&lt;'Données projet'!$A$166,$DL$205^A85,IF(A85='Données projet'!$A$166,'Données projet'!$B$166,DO84+DN85-DW84)))</f>
        <v>251.2000000000003</v>
      </c>
      <c r="DP85" s="17">
        <f>DO85*VLOOKUP('Données projet'!$B$14,Paramètres!$A$1:$I$89,3,0)*VLOOKUP('Données projet'!$B$14,Paramètres!$A$1:$I$89,5,0)</f>
        <v>242.96064000000032</v>
      </c>
      <c r="DQ85" s="13">
        <f t="shared" si="97"/>
        <v>59.076071351835822</v>
      </c>
      <c r="DR85" s="20">
        <f t="shared" si="70"/>
        <v>526.04727227111459</v>
      </c>
      <c r="DS85" s="59">
        <f t="shared" si="71"/>
        <v>819.38060560444796</v>
      </c>
      <c r="DT85" s="59">
        <f ca="1">AVERAGE(OFFSET($DS$3,0,0,'Données projet'!$E$14+1,1))-AVERAGE(OFFSET($H$3,0,0,'Données projet'!$E$14+1,1))</f>
        <v>261.22357949323879</v>
      </c>
      <c r="DU85" s="59">
        <f t="shared" si="98"/>
        <v>163.41029152029387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0</v>
      </c>
      <c r="EB85" s="21">
        <f>EXP(-LN(2)/25)*EB84+(1-EXP(-LN(2)/25))/(LN(2)/25)*Calculateur!DW85*Calculateur!DY85*VLOOKUP('Données projet'!$B$14,Paramètres!$A$1:$I$89,3,0)*0.475*44/12</f>
        <v>0.78526114921181989</v>
      </c>
      <c r="EC85" s="21">
        <f>EXP(-LN(2)/2)*EC84+(1-EXP(-LN(2)/2))/(LN(2)/2)*DW85*DZ85*VLOOKUP('Données projet'!$B$14,Paramètres!$A$1:$I$89,3,0)*0.475*44/12</f>
        <v>9.8589054205952641E-8</v>
      </c>
      <c r="ED85" s="22">
        <f t="shared" si="72"/>
        <v>0.78526124780087414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8.3000000000000007</v>
      </c>
      <c r="EJ85" s="12">
        <f>IF('Données projet'!$A$192&gt;35,EJ84+EI85-ER84,IF(A85&lt;'Données projet'!$A$192,$EG$205^A85,IF(A85='Données projet'!$A$192,'Données projet'!$B$192,EJ84+EI85-ER84)))</f>
        <v>304.79999999999984</v>
      </c>
      <c r="EK85" s="17">
        <f>EJ85*VLOOKUP('Données projet'!$B$15,Paramètres!$A$1:$I$89,3,0)*VLOOKUP('Données projet'!$B$15,Paramètres!$A$1:$I$89,5,0)</f>
        <v>142.64639999999991</v>
      </c>
      <c r="EL85" s="13">
        <f t="shared" si="99"/>
        <v>36.902596251289559</v>
      </c>
      <c r="EM85" s="20">
        <f t="shared" si="73"/>
        <v>312.71450180432913</v>
      </c>
      <c r="EN85" s="59">
        <f t="shared" si="74"/>
        <v>606.04783513766245</v>
      </c>
      <c r="EO85" s="59">
        <f ca="1">AVERAGE(OFFSET($EN$3,0,0,'Données projet'!$E$15+1,1))-AVERAGE(OFFSET($H$3,0,0,'Données projet'!$E$15+1,1))</f>
        <v>123.60520571614535</v>
      </c>
      <c r="EP85" s="59">
        <f t="shared" si="100"/>
        <v>119.00926870519527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0.30968919319915822</v>
      </c>
      <c r="EW85" s="21">
        <f>EXP(-LN(2)/25)*EW84+(1-EXP(-LN(2)/25))/(LN(2)/25)*Calculateur!ER85*Calculateur!ET85*VLOOKUP('Données projet'!$B$15,Paramètres!$A$1:$I$89,3,0)*0.475*44/12</f>
        <v>1.1297721561830079</v>
      </c>
      <c r="EX85" s="21">
        <f>EXP(-LN(2)/2)*EX84+(1-EXP(-LN(2)/2))/(LN(2)/2)*ER85*EU85*VLOOKUP('Données projet'!$B$15,Paramètres!$A$1:$I$89,3,0)*0.475*44/12</f>
        <v>9.1101385520138524E-8</v>
      </c>
      <c r="EY85" s="22">
        <f t="shared" si="75"/>
        <v>1.4394614404835515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-8.5265128291212022E-14</v>
      </c>
      <c r="FF85" s="17">
        <f>FE85*VLOOKUP('Données projet'!$B$16,Paramètres!$A$1:$I$89,3,0)*VLOOKUP('Données projet'!$B$16,Paramètres!$A$1:$I$89,5,0)</f>
        <v>-6.2516392063116648E-14</v>
      </c>
      <c r="FG85" s="13" t="e">
        <f t="shared" si="101"/>
        <v>#NUM!</v>
      </c>
      <c r="FH85" s="20" t="e">
        <f t="shared" si="76"/>
        <v>#NUM!</v>
      </c>
      <c r="FI85" s="59" t="e">
        <f t="shared" si="77"/>
        <v>#NUM!</v>
      </c>
      <c r="FJ85" s="59">
        <f ca="1">AVERAGE(OFFSET($FI$3,0,0,'Données projet'!$E$16+1,1))-AVERAGE(OFFSET($H$3,0,0,'Données projet'!$E$16+1,1))</f>
        <v>124.15919323713428</v>
      </c>
      <c r="FK85" s="59">
        <f t="shared" si="102"/>
        <v>157.85954678210715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0</v>
      </c>
      <c r="FR85" s="21">
        <f>EXP(-LN(2)/25)*FR84+(1-EXP(-LN(2)/25))/(LN(2)/25)*Calculateur!FM85*Calculateur!FO85*VLOOKUP('Données projet'!$B$16,Paramètres!$A$1:$I$89,3,0)*0.475*44/12</f>
        <v>1.1888129356668375</v>
      </c>
      <c r="FS85" s="21">
        <f>EXP(-LN(2)/2)*FS84+(1-EXP(-LN(2)/2))/(LN(2)/2)*FM85*FP85*VLOOKUP('Données projet'!$B$16,Paramètres!$A$1:$I$89,3,0)*0.475*44/12</f>
        <v>1.0993083934550355E-7</v>
      </c>
      <c r="FT85" s="22">
        <f t="shared" si="78"/>
        <v>1.1888130455976769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5.6</v>
      </c>
      <c r="N86" s="13">
        <f>IF('Données projet'!$A$36&gt;35,N85+M86-V85,IF(A86&lt;'Données projet'!$A$36,$K$205^A86,IF(A86='Données projet'!$A$36,'Données projet'!$B$36,N85+M86-V85)))</f>
        <v>256.8000000000003</v>
      </c>
      <c r="O86" s="13">
        <f>N86*VLOOKUP('Données projet'!$B$9,Paramètres!$A$1:$I$89,3,0)*VLOOKUP('Données projet'!$B$9,Paramètres!$A$1:$I$89,5,0)</f>
        <v>232.35264000000026</v>
      </c>
      <c r="P86" s="13">
        <f t="shared" si="87"/>
        <v>56.791075613550355</v>
      </c>
      <c r="Q86" s="20">
        <f t="shared" si="54"/>
        <v>503.59197136026728</v>
      </c>
      <c r="R86" s="59">
        <f t="shared" si="55"/>
        <v>796.92530469360054</v>
      </c>
      <c r="S86" s="59">
        <f ca="1">AVERAGE(OFFSET($R$3,0,0,'Données projet'!$E$9+1,1))-AVERAGE(OFFSET($H$3,0,0,'Données projet'!$E$9+1,1))</f>
        <v>237.22177246688199</v>
      </c>
      <c r="T86" s="59">
        <f t="shared" si="88"/>
        <v>149.27472147904302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0</v>
      </c>
      <c r="AA86" s="21">
        <f>EXP(-LN(2)/25)*AA85+(1-EXP(-LN(2)/25))/(LN(2)/25)*Calculateur!V86*Calculateur!X86*VLOOKUP('Données projet'!$B$9,Paramètres!$A$1:$I$89,3,0)*0.475*44/12</f>
        <v>0.71451148748240234</v>
      </c>
      <c r="AB86" s="21">
        <f>EXP(-LN(2)/2)*AB85+(1-EXP(-LN(2)/2))/(LN(2)/2)*V86*Y86*VLOOKUP('Données projet'!$B$9,Paramètres!$A$1:$I$89,3,0)*0.475*44/12</f>
        <v>6.5215376600455482E-8</v>
      </c>
      <c r="AC86" s="22">
        <f t="shared" si="57"/>
        <v>0.714511552697779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2.5</v>
      </c>
      <c r="AI86" s="13">
        <f>IF('Données projet'!$A$62&gt;35,AI85+AH86-AQ85,IF(A86&lt;'Données projet'!$A$62,$AF$205^A86,IF(A86='Données projet'!$A$62,'Données projet'!$B$62,AI85+AH86-AQ85)))</f>
        <v>207.49999999999991</v>
      </c>
      <c r="AJ86" s="13">
        <f>AI86*VLOOKUP('Données projet'!$B$10,Paramètres!$A$1:$I$89,3,0)*VLOOKUP('Données projet'!$B$10,Paramètres!$A$1:$I$89,5,0)</f>
        <v>181.27199999999993</v>
      </c>
      <c r="AK86" s="13">
        <f t="shared" si="89"/>
        <v>45.605066645465861</v>
      </c>
      <c r="AL86" s="20">
        <f t="shared" si="58"/>
        <v>395.14422440751952</v>
      </c>
      <c r="AM86" s="59">
        <f t="shared" si="59"/>
        <v>688.47755774085283</v>
      </c>
      <c r="AN86" s="59">
        <f ca="1">AVERAGE(OFFSET($AM$3,0,0,'Données projet'!$E$10+1,1))-AVERAGE(OFFSET($H$3,0,0,'Données projet'!$E$10+1,1))</f>
        <v>191.94797389630673</v>
      </c>
      <c r="AO86" s="59">
        <f t="shared" si="90"/>
        <v>273.52540822767878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0.90131055878519861</v>
      </c>
      <c r="AV86" s="21">
        <f>EXP(-LN(2)/25)*AV85+(1-EXP(-LN(2)/25))/(LN(2)/25)*Calculateur!AQ86*Calculateur!AS86*VLOOKUP('Données projet'!$B$10,Paramètres!$A$1:$I$89,3,0)*0.475*44/12</f>
        <v>3.2317337772063142</v>
      </c>
      <c r="AW86" s="21">
        <f>EXP(-LN(2)/2)*AW85+(1-EXP(-LN(2)/2))/(LN(2)/2)*AQ86*AT86*VLOOKUP('Données projet'!$B$10,Paramètres!$A$1:$I$89,3,0)*0.475*44/12</f>
        <v>2.4448399446601192E-7</v>
      </c>
      <c r="AX86" s="21">
        <f t="shared" si="60"/>
        <v>4.1330445804755076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>
        <f>BD86*VLOOKUP('Données projet'!$B$11,Paramètres!$A$1:$I$89,3,0)*VLOOKUP('Données projet'!$B$11,Paramètres!$A$1:$I$89,5,0)</f>
        <v>0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72.647148358003676</v>
      </c>
      <c r="BJ86" s="59">
        <f t="shared" si="92"/>
        <v>87.231299224620898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0.44545700428373702</v>
      </c>
      <c r="BQ86" s="21">
        <f>EXP(-LN(2)/25)*BQ85+(1-EXP(-LN(2)/25))/(LN(2)/25)*Calculateur!BL86*Calculateur!BN86*VLOOKUP('Données projet'!$B$11,Paramètres!$A$1:$I$89,3,0)*0.475*44/12</f>
        <v>1.0423719952700294</v>
      </c>
      <c r="BR86" s="21">
        <f>EXP(-LN(2)/2)*BR85+(1-EXP(-LN(2)/2))/(LN(2)/2)*BL86*BO86*VLOOKUP('Données projet'!$B$11,Paramètres!$A$1:$I$89,3,0)*0.475*44/12</f>
        <v>2.4033145770387832E-8</v>
      </c>
      <c r="BS86" s="22">
        <f t="shared" si="63"/>
        <v>1.487829023586912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5.6843418860808015E-14</v>
      </c>
      <c r="BZ86" s="13">
        <f>BY86*VLOOKUP('Données projet'!$B$12,Paramètres!$A$1:$I$89,3,0)*VLOOKUP('Données projet'!$B$12,Paramètres!$A$1:$I$89,5,0)</f>
        <v>3.3992364478763198E-14</v>
      </c>
      <c r="CA86" s="13">
        <f t="shared" si="93"/>
        <v>5.790027782444094E-13</v>
      </c>
      <c r="CB86" s="20">
        <f t="shared" si="64"/>
        <v>1.0676332069095257E-12</v>
      </c>
      <c r="CC86" s="59">
        <f t="shared" si="65"/>
        <v>293.33333333333439</v>
      </c>
      <c r="CD86" s="59">
        <f ca="1">AVERAGE(OFFSET($CC$3,0,0,'Données projet'!$E$12+1,1))-AVERAGE(OFFSET($H$3,0,0,'Données projet'!$E$12+1,1))</f>
        <v>165.39579887388538</v>
      </c>
      <c r="CE86" s="59">
        <f t="shared" si="94"/>
        <v>155.89639262545802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</v>
      </c>
      <c r="CL86" s="21">
        <f>EXP(-LN(2)/25)*CL85+(1-EXP(-LN(2)/25))/(LN(2)/25)*Calculateur!CG86*Calculateur!CI86*VLOOKUP('Données projet'!$B$12,Paramètres!$A$1:$I$89,3,0)*0.475*44/12</f>
        <v>1.6768683445132155</v>
      </c>
      <c r="CM86" s="21">
        <f>EXP(-LN(2)/2)*CM85+(1-EXP(-LN(2)/2))/(LN(2)/2)*CG86*CJ86*VLOOKUP('Données projet'!$B$12,Paramètres!$A$1:$I$89,3,0)*0.475*44/12</f>
        <v>1.46249940866182E-7</v>
      </c>
      <c r="CN86" s="22">
        <f t="shared" si="66"/>
        <v>1.6768684907631564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3.4106051316484809E-13</v>
      </c>
      <c r="CU86" s="17">
        <f>CT86*VLOOKUP('Données projet'!$B$13,Paramètres!$A$1:$I$89,3,0)*VLOOKUP('Données projet'!$B$13,Paramètres!$A$1:$I$89,5,0)</f>
        <v>2.6602720026858149E-13</v>
      </c>
      <c r="CV86" s="13">
        <f t="shared" si="95"/>
        <v>3.5662905043956649E-12</v>
      </c>
      <c r="CW86" s="20">
        <f t="shared" si="67"/>
        <v>6.6746200022902298E-12</v>
      </c>
      <c r="CX86" s="59">
        <f t="shared" si="68"/>
        <v>293.33333333333997</v>
      </c>
      <c r="CY86" s="59">
        <f ca="1">AVERAGE(OFFSET($CX$3,0,0,'Données projet'!$E$13+1,1))-AVERAGE(OFFSET($H$3,0,0,'Données projet'!$E$13+1,1))</f>
        <v>190.06335940156185</v>
      </c>
      <c r="CZ86" s="59">
        <f t="shared" si="96"/>
        <v>166.43663896839928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0</v>
      </c>
      <c r="DG86" s="21">
        <f>EXP(-LN(2)/25)*DG85+(1-EXP(-LN(2)/25))/(LN(2)/25)*Calculateur!DB86*Calculateur!DD86*VLOOKUP('Données projet'!$B$13,Paramètres!$A$1:$I$89,3,0)*0.475*44/12</f>
        <v>1.0274907931343535</v>
      </c>
      <c r="DH86" s="21">
        <f>EXP(-LN(2)/2)*DH85+(1-EXP(-LN(2)/2))/(LN(2)/2)*DB86*DE86*VLOOKUP('Données projet'!$B$13,Paramètres!$A$1:$I$89,3,0)*0.475*44/12</f>
        <v>5.6122731380310808E-8</v>
      </c>
      <c r="DI86" s="22">
        <f t="shared" si="69"/>
        <v>1.0274908492570849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5.6</v>
      </c>
      <c r="DO86" s="12">
        <f>IF('Données projet'!$A$166&gt;35,DO85+DN86-DW85,IF(A86&lt;'Données projet'!$A$166,$DL$205^A86,IF(A86='Données projet'!$A$166,'Données projet'!$B$166,DO85+DN86-DW85)))</f>
        <v>256.8000000000003</v>
      </c>
      <c r="DP86" s="17">
        <f>DO86*VLOOKUP('Données projet'!$B$14,Paramètres!$A$1:$I$89,3,0)*VLOOKUP('Données projet'!$B$14,Paramètres!$A$1:$I$89,5,0)</f>
        <v>248.37696000000028</v>
      </c>
      <c r="DQ86" s="13">
        <f t="shared" si="97"/>
        <v>60.238259626372425</v>
      </c>
      <c r="DR86" s="20">
        <f t="shared" si="70"/>
        <v>537.50484084926575</v>
      </c>
      <c r="DS86" s="59">
        <f t="shared" si="71"/>
        <v>830.838174182599</v>
      </c>
      <c r="DT86" s="59">
        <f ca="1">AVERAGE(OFFSET($DS$3,0,0,'Données projet'!$E$14+1,1))-AVERAGE(OFFSET($H$3,0,0,'Données projet'!$E$14+1,1))</f>
        <v>261.22357949323879</v>
      </c>
      <c r="DU86" s="59">
        <f t="shared" si="98"/>
        <v>163.41029152029387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0</v>
      </c>
      <c r="EB86" s="21">
        <f>EXP(-LN(2)/25)*EB85+(1-EXP(-LN(2)/25))/(LN(2)/25)*Calculateur!DW86*Calculateur!DY86*VLOOKUP('Données projet'!$B$14,Paramètres!$A$1:$I$89,3,0)*0.475*44/12</f>
        <v>0.76378814179153354</v>
      </c>
      <c r="EC86" s="21">
        <f>EXP(-LN(2)/2)*EC85+(1-EXP(-LN(2)/2))/(LN(2)/2)*DW86*DZ86*VLOOKUP('Données projet'!$B$14,Paramètres!$A$1:$I$89,3,0)*0.475*44/12</f>
        <v>6.9712988779797225E-8</v>
      </c>
      <c r="ED86" s="22">
        <f t="shared" si="72"/>
        <v>0.76378821150452236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8.3000000000000007</v>
      </c>
      <c r="EJ86" s="12">
        <f>IF('Données projet'!$A$192&gt;35,EJ85+EI86-ER85,IF(A86&lt;'Données projet'!$A$192,$EG$205^A86,IF(A86='Données projet'!$A$192,'Données projet'!$B$192,EJ85+EI86-ER85)))</f>
        <v>313.09999999999985</v>
      </c>
      <c r="EK86" s="17">
        <f>EJ86*VLOOKUP('Données projet'!$B$15,Paramètres!$A$1:$I$89,3,0)*VLOOKUP('Données projet'!$B$15,Paramètres!$A$1:$I$89,5,0)</f>
        <v>146.53079999999991</v>
      </c>
      <c r="EL86" s="13">
        <f t="shared" si="99"/>
        <v>37.789127015633198</v>
      </c>
      <c r="EM86" s="20">
        <f t="shared" si="73"/>
        <v>321.02387288556099</v>
      </c>
      <c r="EN86" s="59">
        <f t="shared" si="74"/>
        <v>614.35720621889436</v>
      </c>
      <c r="EO86" s="59">
        <f ca="1">AVERAGE(OFFSET($EN$3,0,0,'Données projet'!$E$15+1,1))-AVERAGE(OFFSET($H$3,0,0,'Données projet'!$E$15+1,1))</f>
        <v>123.60520571614535</v>
      </c>
      <c r="EP86" s="59">
        <f t="shared" si="100"/>
        <v>119.00926870519527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0.30361637701227906</v>
      </c>
      <c r="EW86" s="21">
        <f>EXP(-LN(2)/25)*EW85+(1-EXP(-LN(2)/25))/(LN(2)/25)*Calculateur!ER86*Calculateur!ET86*VLOOKUP('Données projet'!$B$15,Paramètres!$A$1:$I$89,3,0)*0.475*44/12</f>
        <v>1.0988784771600479</v>
      </c>
      <c r="EX86" s="21">
        <f>EXP(-LN(2)/2)*EX85+(1-EXP(-LN(2)/2))/(LN(2)/2)*ER86*EU86*VLOOKUP('Données projet'!$B$15,Paramètres!$A$1:$I$89,3,0)*0.475*44/12</f>
        <v>6.4418407476779899E-8</v>
      </c>
      <c r="EY86" s="22">
        <f t="shared" si="75"/>
        <v>1.4024949185907345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-8.5265128291212022E-14</v>
      </c>
      <c r="FF86" s="17">
        <f>FE86*VLOOKUP('Données projet'!$B$16,Paramètres!$A$1:$I$89,3,0)*VLOOKUP('Données projet'!$B$16,Paramètres!$A$1:$I$89,5,0)</f>
        <v>-6.2516392063116648E-14</v>
      </c>
      <c r="FG86" s="13" t="e">
        <f t="shared" si="101"/>
        <v>#NUM!</v>
      </c>
      <c r="FH86" s="20" t="e">
        <f t="shared" si="76"/>
        <v>#NUM!</v>
      </c>
      <c r="FI86" s="59" t="e">
        <f t="shared" si="77"/>
        <v>#NUM!</v>
      </c>
      <c r="FJ86" s="59">
        <f ca="1">AVERAGE(OFFSET($FI$3,0,0,'Données projet'!$E$16+1,1))-AVERAGE(OFFSET($H$3,0,0,'Données projet'!$E$16+1,1))</f>
        <v>124.15919323713428</v>
      </c>
      <c r="FK86" s="59">
        <f t="shared" si="102"/>
        <v>157.85954678210715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0</v>
      </c>
      <c r="FR86" s="21">
        <f>EXP(-LN(2)/25)*FR85+(1-EXP(-LN(2)/25))/(LN(2)/25)*Calculateur!FM86*Calculateur!FO86*VLOOKUP('Données projet'!$B$16,Paramètres!$A$1:$I$89,3,0)*0.475*44/12</f>
        <v>1.1563047834240727</v>
      </c>
      <c r="FS86" s="21">
        <f>EXP(-LN(2)/2)*FS85+(1-EXP(-LN(2)/2))/(LN(2)/2)*FM86*FP86*VLOOKUP('Données projet'!$B$16,Paramètres!$A$1:$I$89,3,0)*0.475*44/12</f>
        <v>7.7732841962734489E-8</v>
      </c>
      <c r="FT86" s="22">
        <f t="shared" si="78"/>
        <v>1.1563048611569147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5.6</v>
      </c>
      <c r="N87" s="13">
        <f>IF('Données projet'!$A$36&gt;35,N86+M87-V86,IF(A87&lt;'Données projet'!$A$36,$K$205^A87,IF(A87='Données projet'!$A$36,'Données projet'!$B$36,N86+M87-V86)))</f>
        <v>262.40000000000032</v>
      </c>
      <c r="O87" s="13">
        <f>N87*VLOOKUP('Données projet'!$B$9,Paramètres!$A$1:$I$89,3,0)*VLOOKUP('Données projet'!$B$9,Paramètres!$A$1:$I$89,5,0)</f>
        <v>237.41952000000029</v>
      </c>
      <c r="P87" s="13">
        <f t="shared" si="87"/>
        <v>57.883978814320969</v>
      </c>
      <c r="Q87" s="20">
        <f t="shared" si="54"/>
        <v>514.32026043494284</v>
      </c>
      <c r="R87" s="59">
        <f t="shared" si="55"/>
        <v>807.6535937682761</v>
      </c>
      <c r="S87" s="59">
        <f ca="1">AVERAGE(OFFSET($R$3,0,0,'Données projet'!$E$9+1,1))-AVERAGE(OFFSET($H$3,0,0,'Données projet'!$E$9+1,1))</f>
        <v>237.22177246688199</v>
      </c>
      <c r="T87" s="59">
        <f t="shared" si="88"/>
        <v>149.27472147904302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0</v>
      </c>
      <c r="AA87" s="21">
        <f>EXP(-LN(2)/25)*AA86+(1-EXP(-LN(2)/25))/(LN(2)/25)*Calculateur!V87*Calculateur!X87*VLOOKUP('Données projet'!$B$9,Paramètres!$A$1:$I$89,3,0)*0.475*44/12</f>
        <v>0.69497313328266996</v>
      </c>
      <c r="AB87" s="21">
        <f>EXP(-LN(2)/2)*AB86+(1-EXP(-LN(2)/2))/(LN(2)/2)*V87*Y87*VLOOKUP('Données projet'!$B$9,Paramètres!$A$1:$I$89,3,0)*0.475*44/12</f>
        <v>4.6114235031816567E-8</v>
      </c>
      <c r="AC87" s="22">
        <f t="shared" si="57"/>
        <v>0.69497317939690495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2.5</v>
      </c>
      <c r="AI87" s="13">
        <f>IF('Données projet'!$A$62&gt;35,AI86+AH87-AQ86,IF(A87&lt;'Données projet'!$A$62,$AF$205^A87,IF(A87='Données projet'!$A$62,'Données projet'!$B$62,AI86+AH87-AQ86)))</f>
        <v>209.99999999999991</v>
      </c>
      <c r="AJ87" s="13">
        <f>AI87*VLOOKUP('Données projet'!$B$10,Paramètres!$A$1:$I$89,3,0)*VLOOKUP('Données projet'!$B$10,Paramètres!$A$1:$I$89,5,0)</f>
        <v>183.45599999999996</v>
      </c>
      <c r="AK87" s="13">
        <f t="shared" si="89"/>
        <v>46.090229375321108</v>
      </c>
      <c r="AL87" s="20">
        <f t="shared" si="58"/>
        <v>399.79301616201752</v>
      </c>
      <c r="AM87" s="59">
        <f t="shared" si="59"/>
        <v>693.12634949535084</v>
      </c>
      <c r="AN87" s="59">
        <f ca="1">AVERAGE(OFFSET($AM$3,0,0,'Données projet'!$E$10+1,1))-AVERAGE(OFFSET($H$3,0,0,'Données projet'!$E$10+1,1))</f>
        <v>191.94797389630673</v>
      </c>
      <c r="AO87" s="59">
        <f t="shared" si="90"/>
        <v>273.52540822767878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0.88363640847257885</v>
      </c>
      <c r="AV87" s="21">
        <f>EXP(-LN(2)/25)*AV86+(1-EXP(-LN(2)/25))/(LN(2)/25)*Calculateur!AQ87*Calculateur!AS87*VLOOKUP('Données projet'!$B$10,Paramètres!$A$1:$I$89,3,0)*0.475*44/12</f>
        <v>3.1433618471191145</v>
      </c>
      <c r="AW87" s="21">
        <f>EXP(-LN(2)/2)*AW86+(1-EXP(-LN(2)/2))/(LN(2)/2)*AQ87*AT87*VLOOKUP('Données projet'!$B$10,Paramètres!$A$1:$I$89,3,0)*0.475*44/12</f>
        <v>1.7287629037849139E-7</v>
      </c>
      <c r="AX87" s="21">
        <f t="shared" si="60"/>
        <v>4.0269984284679836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>
        <f>BD87*VLOOKUP('Données projet'!$B$11,Paramètres!$A$1:$I$89,3,0)*VLOOKUP('Données projet'!$B$11,Paramètres!$A$1:$I$89,5,0)</f>
        <v>0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72.647148358003676</v>
      </c>
      <c r="BJ87" s="59">
        <f t="shared" si="92"/>
        <v>87.231299224620898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0.43672186413167724</v>
      </c>
      <c r="BQ87" s="21">
        <f>EXP(-LN(2)/25)*BQ86+(1-EXP(-LN(2)/25))/(LN(2)/25)*Calculateur!BL87*Calculateur!BN87*VLOOKUP('Données projet'!$B$11,Paramètres!$A$1:$I$89,3,0)*0.475*44/12</f>
        <v>1.0138682782434096</v>
      </c>
      <c r="BR87" s="21">
        <f>EXP(-LN(2)/2)*BR86+(1-EXP(-LN(2)/2))/(LN(2)/2)*BL87*BO87*VLOOKUP('Données projet'!$B$11,Paramètres!$A$1:$I$89,3,0)*0.475*44/12</f>
        <v>1.6994000347486028E-8</v>
      </c>
      <c r="BS87" s="22">
        <f t="shared" si="63"/>
        <v>1.4505901593690873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5.6843418860808015E-14</v>
      </c>
      <c r="BZ87" s="13">
        <f>BY87*VLOOKUP('Données projet'!$B$12,Paramètres!$A$1:$I$89,3,0)*VLOOKUP('Données projet'!$B$12,Paramètres!$A$1:$I$89,5,0)</f>
        <v>3.3992364478763198E-14</v>
      </c>
      <c r="CA87" s="13">
        <f t="shared" si="93"/>
        <v>5.790027782444094E-13</v>
      </c>
      <c r="CB87" s="20">
        <f t="shared" si="64"/>
        <v>1.0676332069095257E-12</v>
      </c>
      <c r="CC87" s="59">
        <f t="shared" si="65"/>
        <v>293.33333333333439</v>
      </c>
      <c r="CD87" s="59">
        <f ca="1">AVERAGE(OFFSET($CC$3,0,0,'Données projet'!$E$12+1,1))-AVERAGE(OFFSET($H$3,0,0,'Données projet'!$E$12+1,1))</f>
        <v>165.39579887388538</v>
      </c>
      <c r="CE87" s="59">
        <f t="shared" si="94"/>
        <v>155.89639262545802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</v>
      </c>
      <c r="CL87" s="21">
        <f>EXP(-LN(2)/25)*CL86+(1-EXP(-LN(2)/25))/(LN(2)/25)*Calculateur!CG87*Calculateur!CI87*VLOOKUP('Données projet'!$B$12,Paramètres!$A$1:$I$89,3,0)*0.475*44/12</f>
        <v>1.631014291449828</v>
      </c>
      <c r="CM87" s="21">
        <f>EXP(-LN(2)/2)*CM86+(1-EXP(-LN(2)/2))/(LN(2)/2)*CG87*CJ87*VLOOKUP('Données projet'!$B$12,Paramètres!$A$1:$I$89,3,0)*0.475*44/12</f>
        <v>1.0341432493460887E-7</v>
      </c>
      <c r="CN87" s="22">
        <f t="shared" si="66"/>
        <v>1.6310143948641529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3.4106051316484809E-13</v>
      </c>
      <c r="CU87" s="17">
        <f>CT87*VLOOKUP('Données projet'!$B$13,Paramètres!$A$1:$I$89,3,0)*VLOOKUP('Données projet'!$B$13,Paramètres!$A$1:$I$89,5,0)</f>
        <v>2.6602720026858149E-13</v>
      </c>
      <c r="CV87" s="13">
        <f t="shared" si="95"/>
        <v>3.5662905043956649E-12</v>
      </c>
      <c r="CW87" s="20">
        <f t="shared" si="67"/>
        <v>6.6746200022902298E-12</v>
      </c>
      <c r="CX87" s="59">
        <f t="shared" si="68"/>
        <v>293.33333333333997</v>
      </c>
      <c r="CY87" s="59">
        <f ca="1">AVERAGE(OFFSET($CX$3,0,0,'Données projet'!$E$13+1,1))-AVERAGE(OFFSET($H$3,0,0,'Données projet'!$E$13+1,1))</f>
        <v>190.06335940156185</v>
      </c>
      <c r="CZ87" s="59">
        <f t="shared" si="96"/>
        <v>166.43663896839928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0</v>
      </c>
      <c r="DG87" s="21">
        <f>EXP(-LN(2)/25)*DG86+(1-EXP(-LN(2)/25))/(LN(2)/25)*Calculateur!DB87*Calculateur!DD87*VLOOKUP('Données projet'!$B$13,Paramètres!$A$1:$I$89,3,0)*0.475*44/12</f>
        <v>0.99939400336270223</v>
      </c>
      <c r="DH87" s="21">
        <f>EXP(-LN(2)/2)*DH86+(1-EXP(-LN(2)/2))/(LN(2)/2)*DB87*DE87*VLOOKUP('Données projet'!$B$13,Paramètres!$A$1:$I$89,3,0)*0.475*44/12</f>
        <v>3.9684763937728823E-8</v>
      </c>
      <c r="DI87" s="22">
        <f t="shared" si="69"/>
        <v>0.99939404304746615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5.6</v>
      </c>
      <c r="DO87" s="12">
        <f>IF('Données projet'!$A$166&gt;35,DO86+DN87-DW86,IF(A87&lt;'Données projet'!$A$166,$DL$205^A87,IF(A87='Données projet'!$A$166,'Données projet'!$B$166,DO86+DN87-DW86)))</f>
        <v>262.40000000000032</v>
      </c>
      <c r="DP87" s="17">
        <f>DO87*VLOOKUP('Données projet'!$B$14,Paramètres!$A$1:$I$89,3,0)*VLOOKUP('Données projet'!$B$14,Paramètres!$A$1:$I$89,5,0)</f>
        <v>253.79328000000029</v>
      </c>
      <c r="DQ87" s="13">
        <f t="shared" si="97"/>
        <v>61.397501391795316</v>
      </c>
      <c r="DR87" s="20">
        <f t="shared" si="70"/>
        <v>548.95727759071076</v>
      </c>
      <c r="DS87" s="59">
        <f t="shared" si="71"/>
        <v>842.29061092404413</v>
      </c>
      <c r="DT87" s="59">
        <f ca="1">AVERAGE(OFFSET($DS$3,0,0,'Données projet'!$E$14+1,1))-AVERAGE(OFFSET($H$3,0,0,'Données projet'!$E$14+1,1))</f>
        <v>261.22357949323879</v>
      </c>
      <c r="DU87" s="59">
        <f t="shared" si="98"/>
        <v>163.41029152029387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0</v>
      </c>
      <c r="EB87" s="21">
        <f>EXP(-LN(2)/25)*EB86+(1-EXP(-LN(2)/25))/(LN(2)/25)*Calculateur!DW87*Calculateur!DY87*VLOOKUP('Données projet'!$B$14,Paramètres!$A$1:$I$89,3,0)*0.475*44/12</f>
        <v>0.74290231488837133</v>
      </c>
      <c r="EC87" s="21">
        <f>EXP(-LN(2)/2)*EC86+(1-EXP(-LN(2)/2))/(LN(2)/2)*DW87*DZ87*VLOOKUP('Données projet'!$B$14,Paramètres!$A$1:$I$89,3,0)*0.475*44/12</f>
        <v>4.929452710297632E-8</v>
      </c>
      <c r="ED87" s="22">
        <f t="shared" si="72"/>
        <v>0.74290236418289846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8.3000000000000007</v>
      </c>
      <c r="EJ87" s="12">
        <f>IF('Données projet'!$A$192&gt;35,EJ86+EI87-ER86,IF(A87&lt;'Données projet'!$A$192,$EG$205^A87,IF(A87='Données projet'!$A$192,'Données projet'!$B$192,EJ86+EI87-ER86)))</f>
        <v>321.39999999999986</v>
      </c>
      <c r="EK87" s="17">
        <f>EJ87*VLOOKUP('Données projet'!$B$15,Paramètres!$A$1:$I$89,3,0)*VLOOKUP('Données projet'!$B$15,Paramètres!$A$1:$I$89,5,0)</f>
        <v>150.41519999999994</v>
      </c>
      <c r="EL87" s="13">
        <f t="shared" si="99"/>
        <v>38.672926125901775</v>
      </c>
      <c r="EM87" s="20">
        <f t="shared" si="73"/>
        <v>329.32848633594546</v>
      </c>
      <c r="EN87" s="59">
        <f t="shared" si="74"/>
        <v>622.66181966927877</v>
      </c>
      <c r="EO87" s="59">
        <f ca="1">AVERAGE(OFFSET($EN$3,0,0,'Données projet'!$E$15+1,1))-AVERAGE(OFFSET($H$3,0,0,'Données projet'!$E$15+1,1))</f>
        <v>123.60520571614535</v>
      </c>
      <c r="EP87" s="59">
        <f t="shared" si="100"/>
        <v>119.00926870519527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0.29766264504677248</v>
      </c>
      <c r="EW87" s="21">
        <f>EXP(-LN(2)/25)*EW86+(1-EXP(-LN(2)/25))/(LN(2)/25)*Calculateur!ER87*Calculateur!ET87*VLOOKUP('Données projet'!$B$15,Paramètres!$A$1:$I$89,3,0)*0.475*44/12</f>
        <v>1.0688295874145988</v>
      </c>
      <c r="EX87" s="21">
        <f>EXP(-LN(2)/2)*EX86+(1-EXP(-LN(2)/2))/(LN(2)/2)*ER87*EU87*VLOOKUP('Données projet'!$B$15,Paramètres!$A$1:$I$89,3,0)*0.475*44/12</f>
        <v>4.5550692760069262E-8</v>
      </c>
      <c r="EY87" s="22">
        <f t="shared" si="75"/>
        <v>1.3664922780120641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-8.5265128291212022E-14</v>
      </c>
      <c r="FF87" s="17">
        <f>FE87*VLOOKUP('Données projet'!$B$16,Paramètres!$A$1:$I$89,3,0)*VLOOKUP('Données projet'!$B$16,Paramètres!$A$1:$I$89,5,0)</f>
        <v>-6.2516392063116648E-14</v>
      </c>
      <c r="FG87" s="13" t="e">
        <f t="shared" si="101"/>
        <v>#NUM!</v>
      </c>
      <c r="FH87" s="20" t="e">
        <f t="shared" si="76"/>
        <v>#NUM!</v>
      </c>
      <c r="FI87" s="59" t="e">
        <f t="shared" si="77"/>
        <v>#NUM!</v>
      </c>
      <c r="FJ87" s="59">
        <f ca="1">AVERAGE(OFFSET($FI$3,0,0,'Données projet'!$E$16+1,1))-AVERAGE(OFFSET($H$3,0,0,'Données projet'!$E$16+1,1))</f>
        <v>124.15919323713428</v>
      </c>
      <c r="FK87" s="59">
        <f t="shared" si="102"/>
        <v>157.85954678210715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0</v>
      </c>
      <c r="FR87" s="21">
        <f>EXP(-LN(2)/25)*FR86+(1-EXP(-LN(2)/25))/(LN(2)/25)*Calculateur!FM87*Calculateur!FO87*VLOOKUP('Données projet'!$B$16,Paramètres!$A$1:$I$89,3,0)*0.475*44/12</f>
        <v>1.1246855683139156</v>
      </c>
      <c r="FS87" s="21">
        <f>EXP(-LN(2)/2)*FS86+(1-EXP(-LN(2)/2))/(LN(2)/2)*FM87*FP87*VLOOKUP('Données projet'!$B$16,Paramètres!$A$1:$I$89,3,0)*0.475*44/12</f>
        <v>5.4965419672751777E-8</v>
      </c>
      <c r="FT87" s="22">
        <f t="shared" si="78"/>
        <v>1.1246856232793354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5.6</v>
      </c>
      <c r="N88" s="13">
        <f>IF('Données projet'!$A$36&gt;35,N87+M88-V87,IF(A88&lt;'Données projet'!$A$36,$K$205^A88,IF(A88='Données projet'!$A$36,'Données projet'!$B$36,N87+M88-V87)))</f>
        <v>268.00000000000034</v>
      </c>
      <c r="O88" s="13">
        <f>N88*VLOOKUP('Données projet'!$B$9,Paramètres!$A$1:$I$89,3,0)*VLOOKUP('Données projet'!$B$9,Paramètres!$A$1:$I$89,5,0)</f>
        <v>242.48640000000032</v>
      </c>
      <c r="P88" s="13">
        <f t="shared" si="87"/>
        <v>58.974170235372526</v>
      </c>
      <c r="Q88" s="20">
        <f t="shared" si="54"/>
        <v>525.04382649327442</v>
      </c>
      <c r="R88" s="59">
        <f t="shared" si="55"/>
        <v>818.37715982660779</v>
      </c>
      <c r="S88" s="59">
        <f ca="1">AVERAGE(OFFSET($R$3,0,0,'Données projet'!$E$9+1,1))-AVERAGE(OFFSET($H$3,0,0,'Données projet'!$E$9+1,1))</f>
        <v>237.22177246688199</v>
      </c>
      <c r="T88" s="59">
        <f t="shared" si="88"/>
        <v>149.27472147904302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0</v>
      </c>
      <c r="AA88" s="21">
        <f>EXP(-LN(2)/25)*AA87+(1-EXP(-LN(2)/25))/(LN(2)/25)*Calculateur!V88*Calculateur!X88*VLOOKUP('Données projet'!$B$9,Paramètres!$A$1:$I$89,3,0)*0.475*44/12</f>
        <v>0.67596905640600669</v>
      </c>
      <c r="AB88" s="21">
        <f>EXP(-LN(2)/2)*AB87+(1-EXP(-LN(2)/2))/(LN(2)/2)*V88*Y88*VLOOKUP('Données projet'!$B$9,Paramètres!$A$1:$I$89,3,0)*0.475*44/12</f>
        <v>3.2607688300227741E-8</v>
      </c>
      <c r="AC88" s="22">
        <f t="shared" si="57"/>
        <v>0.67596908901369501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2.5</v>
      </c>
      <c r="AI88" s="13">
        <f>IF('Données projet'!$A$62&gt;35,AI87+AH88-AQ87,IF(A88&lt;'Données projet'!$A$62,$AF$205^A88,IF(A88='Données projet'!$A$62,'Données projet'!$B$62,AI87+AH88-AQ87)))</f>
        <v>212.49999999999991</v>
      </c>
      <c r="AJ88" s="13">
        <f>AI88*VLOOKUP('Données projet'!$B$10,Paramètres!$A$1:$I$89,3,0)*VLOOKUP('Données projet'!$B$10,Paramètres!$A$1:$I$89,5,0)</f>
        <v>185.63999999999993</v>
      </c>
      <c r="AK88" s="13">
        <f t="shared" si="89"/>
        <v>46.57472025705939</v>
      </c>
      <c r="AL88" s="20">
        <f t="shared" si="58"/>
        <v>404.44063778104493</v>
      </c>
      <c r="AM88" s="59">
        <f t="shared" si="59"/>
        <v>697.77397111437824</v>
      </c>
      <c r="AN88" s="59">
        <f ca="1">AVERAGE(OFFSET($AM$3,0,0,'Données projet'!$E$10+1,1))-AVERAGE(OFFSET($H$3,0,0,'Données projet'!$E$10+1,1))</f>
        <v>191.94797389630673</v>
      </c>
      <c r="AO88" s="59">
        <f t="shared" si="90"/>
        <v>273.52540822767878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0.86630883746742238</v>
      </c>
      <c r="AV88" s="21">
        <f>EXP(-LN(2)/25)*AV87+(1-EXP(-LN(2)/25))/(LN(2)/25)*Calculateur!AQ88*Calculateur!AS88*VLOOKUP('Données projet'!$B$10,Paramètres!$A$1:$I$89,3,0)*0.475*44/12</f>
        <v>3.0574064521074269</v>
      </c>
      <c r="AW88" s="21">
        <f>EXP(-LN(2)/2)*AW87+(1-EXP(-LN(2)/2))/(LN(2)/2)*AQ88*AT88*VLOOKUP('Données projet'!$B$10,Paramètres!$A$1:$I$89,3,0)*0.475*44/12</f>
        <v>1.2224199723300596E-7</v>
      </c>
      <c r="AX88" s="21">
        <f t="shared" si="60"/>
        <v>3.9237154118168465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>
        <f>BD88*VLOOKUP('Données projet'!$B$11,Paramètres!$A$1:$I$89,3,0)*VLOOKUP('Données projet'!$B$11,Paramètres!$A$1:$I$89,5,0)</f>
        <v>0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72.647148358003676</v>
      </c>
      <c r="BJ88" s="59">
        <f t="shared" si="92"/>
        <v>87.231299224620898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0.42815801475008991</v>
      </c>
      <c r="BQ88" s="21">
        <f>EXP(-LN(2)/25)*BQ87+(1-EXP(-LN(2)/25))/(LN(2)/25)*Calculateur!BL88*Calculateur!BN88*VLOOKUP('Données projet'!$B$11,Paramètres!$A$1:$I$89,3,0)*0.475*44/12</f>
        <v>0.98614399685782805</v>
      </c>
      <c r="BR88" s="21">
        <f>EXP(-LN(2)/2)*BR87+(1-EXP(-LN(2)/2))/(LN(2)/2)*BL88*BO88*VLOOKUP('Données projet'!$B$11,Paramètres!$A$1:$I$89,3,0)*0.475*44/12</f>
        <v>1.2016572885193916E-8</v>
      </c>
      <c r="BS88" s="22">
        <f t="shared" si="63"/>
        <v>1.4143020236244908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5.6843418860808015E-14</v>
      </c>
      <c r="BZ88" s="13">
        <f>BY88*VLOOKUP('Données projet'!$B$12,Paramètres!$A$1:$I$89,3,0)*VLOOKUP('Données projet'!$B$12,Paramètres!$A$1:$I$89,5,0)</f>
        <v>3.3992364478763198E-14</v>
      </c>
      <c r="CA88" s="13">
        <f t="shared" si="93"/>
        <v>5.790027782444094E-13</v>
      </c>
      <c r="CB88" s="20">
        <f t="shared" si="64"/>
        <v>1.0676332069095257E-12</v>
      </c>
      <c r="CC88" s="59">
        <f t="shared" si="65"/>
        <v>293.33333333333439</v>
      </c>
      <c r="CD88" s="59">
        <f ca="1">AVERAGE(OFFSET($CC$3,0,0,'Données projet'!$E$12+1,1))-AVERAGE(OFFSET($H$3,0,0,'Données projet'!$E$12+1,1))</f>
        <v>165.39579887388538</v>
      </c>
      <c r="CE88" s="59">
        <f t="shared" si="94"/>
        <v>155.89639262545802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</v>
      </c>
      <c r="CL88" s="21">
        <f>EXP(-LN(2)/25)*CL87+(1-EXP(-LN(2)/25))/(LN(2)/25)*Calculateur!CG88*Calculateur!CI88*VLOOKUP('Données projet'!$B$12,Paramètres!$A$1:$I$89,3,0)*0.475*44/12</f>
        <v>1.5864141198788186</v>
      </c>
      <c r="CM88" s="21">
        <f>EXP(-LN(2)/2)*CM87+(1-EXP(-LN(2)/2))/(LN(2)/2)*CG88*CJ88*VLOOKUP('Données projet'!$B$12,Paramètres!$A$1:$I$89,3,0)*0.475*44/12</f>
        <v>7.3124970433091002E-8</v>
      </c>
      <c r="CN88" s="22">
        <f t="shared" si="66"/>
        <v>1.5864141930037892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3.4106051316484809E-13</v>
      </c>
      <c r="CU88" s="17">
        <f>CT88*VLOOKUP('Données projet'!$B$13,Paramètres!$A$1:$I$89,3,0)*VLOOKUP('Données projet'!$B$13,Paramètres!$A$1:$I$89,5,0)</f>
        <v>2.6602720026858149E-13</v>
      </c>
      <c r="CV88" s="13">
        <f t="shared" si="95"/>
        <v>3.5662905043956649E-12</v>
      </c>
      <c r="CW88" s="20">
        <f t="shared" si="67"/>
        <v>6.6746200022902298E-12</v>
      </c>
      <c r="CX88" s="59">
        <f t="shared" si="68"/>
        <v>293.33333333333997</v>
      </c>
      <c r="CY88" s="59">
        <f ca="1">AVERAGE(OFFSET($CX$3,0,0,'Données projet'!$E$13+1,1))-AVERAGE(OFFSET($H$3,0,0,'Données projet'!$E$13+1,1))</f>
        <v>190.06335940156185</v>
      </c>
      <c r="CZ88" s="59">
        <f t="shared" si="96"/>
        <v>166.43663896839928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0</v>
      </c>
      <c r="DG88" s="21">
        <f>EXP(-LN(2)/25)*DG87+(1-EXP(-LN(2)/25))/(LN(2)/25)*Calculateur!DB88*Calculateur!DD88*VLOOKUP('Données projet'!$B$13,Paramètres!$A$1:$I$89,3,0)*0.475*44/12</f>
        <v>0.97206552178490269</v>
      </c>
      <c r="DH88" s="21">
        <f>EXP(-LN(2)/2)*DH87+(1-EXP(-LN(2)/2))/(LN(2)/2)*DB88*DE88*VLOOKUP('Données projet'!$B$13,Paramètres!$A$1:$I$89,3,0)*0.475*44/12</f>
        <v>2.8061365690155407E-8</v>
      </c>
      <c r="DI88" s="22">
        <f t="shared" si="69"/>
        <v>0.97206554984626836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5.6</v>
      </c>
      <c r="DO88" s="12">
        <f>IF('Données projet'!$A$166&gt;35,DO87+DN88-DW87,IF(A88&lt;'Données projet'!$A$166,$DL$205^A88,IF(A88='Données projet'!$A$166,'Données projet'!$B$166,DO87+DN88-DW87)))</f>
        <v>268.00000000000034</v>
      </c>
      <c r="DP88" s="17">
        <f>DO88*VLOOKUP('Données projet'!$B$14,Paramètres!$A$1:$I$89,3,0)*VLOOKUP('Données projet'!$B$14,Paramètres!$A$1:$I$89,5,0)</f>
        <v>259.20960000000036</v>
      </c>
      <c r="DQ88" s="13">
        <f t="shared" si="97"/>
        <v>62.553866774106815</v>
      </c>
      <c r="DR88" s="20">
        <f t="shared" si="70"/>
        <v>560.4047046315701</v>
      </c>
      <c r="DS88" s="59">
        <f t="shared" si="71"/>
        <v>853.73803796490347</v>
      </c>
      <c r="DT88" s="59">
        <f ca="1">AVERAGE(OFFSET($DS$3,0,0,'Données projet'!$E$14+1,1))-AVERAGE(OFFSET($H$3,0,0,'Données projet'!$E$14+1,1))</f>
        <v>261.22357949323879</v>
      </c>
      <c r="DU88" s="59">
        <f t="shared" si="98"/>
        <v>163.41029152029387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0</v>
      </c>
      <c r="EB88" s="21">
        <f>EXP(-LN(2)/25)*EB87+(1-EXP(-LN(2)/25))/(LN(2)/25)*Calculateur!DW88*Calculateur!DY88*VLOOKUP('Données projet'!$B$14,Paramètres!$A$1:$I$89,3,0)*0.475*44/12</f>
        <v>0.72258761202021404</v>
      </c>
      <c r="EC88" s="21">
        <f>EXP(-LN(2)/2)*EC87+(1-EXP(-LN(2)/2))/(LN(2)/2)*DW88*DZ88*VLOOKUP('Données projet'!$B$14,Paramètres!$A$1:$I$89,3,0)*0.475*44/12</f>
        <v>3.4856494389898613E-8</v>
      </c>
      <c r="ED88" s="22">
        <f t="shared" si="72"/>
        <v>0.7225876468767084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8.3000000000000007</v>
      </c>
      <c r="EJ88" s="12">
        <f>IF('Données projet'!$A$192&gt;35,EJ87+EI88-ER87,IF(A88&lt;'Données projet'!$A$192,$EG$205^A88,IF(A88='Données projet'!$A$192,'Données projet'!$B$192,EJ87+EI88-ER87)))</f>
        <v>329.69999999999987</v>
      </c>
      <c r="EK88" s="17">
        <f>EJ88*VLOOKUP('Données projet'!$B$15,Paramètres!$A$1:$I$89,3,0)*VLOOKUP('Données projet'!$B$15,Paramètres!$A$1:$I$89,5,0)</f>
        <v>154.29959999999994</v>
      </c>
      <c r="EL88" s="13">
        <f t="shared" si="99"/>
        <v>39.55407223646921</v>
      </c>
      <c r="EM88" s="20">
        <f t="shared" si="73"/>
        <v>337.62847914518375</v>
      </c>
      <c r="EN88" s="59">
        <f t="shared" si="74"/>
        <v>630.961812478517</v>
      </c>
      <c r="EO88" s="59">
        <f ca="1">AVERAGE(OFFSET($EN$3,0,0,'Données projet'!$E$15+1,1))-AVERAGE(OFFSET($H$3,0,0,'Données projet'!$E$15+1,1))</f>
        <v>123.60520571614535</v>
      </c>
      <c r="EP88" s="59">
        <f t="shared" si="100"/>
        <v>119.00926870519527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0.29182566213369154</v>
      </c>
      <c r="EW88" s="21">
        <f>EXP(-LN(2)/25)*EW87+(1-EXP(-LN(2)/25))/(LN(2)/25)*Calculateur!ER88*Calculateur!ET88*VLOOKUP('Données projet'!$B$15,Paramètres!$A$1:$I$89,3,0)*0.475*44/12</f>
        <v>1.0396023861394414</v>
      </c>
      <c r="EX88" s="21">
        <f>EXP(-LN(2)/2)*EX87+(1-EXP(-LN(2)/2))/(LN(2)/2)*ER88*EU88*VLOOKUP('Données projet'!$B$15,Paramètres!$A$1:$I$89,3,0)*0.475*44/12</f>
        <v>3.220920373838995E-8</v>
      </c>
      <c r="EY88" s="22">
        <f t="shared" si="75"/>
        <v>1.3314280804823366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-8.5265128291212022E-14</v>
      </c>
      <c r="FF88" s="17">
        <f>FE88*VLOOKUP('Données projet'!$B$16,Paramètres!$A$1:$I$89,3,0)*VLOOKUP('Données projet'!$B$16,Paramètres!$A$1:$I$89,5,0)</f>
        <v>-6.2516392063116648E-14</v>
      </c>
      <c r="FG88" s="13" t="e">
        <f t="shared" si="101"/>
        <v>#NUM!</v>
      </c>
      <c r="FH88" s="20" t="e">
        <f t="shared" si="76"/>
        <v>#NUM!</v>
      </c>
      <c r="FI88" s="59" t="e">
        <f t="shared" si="77"/>
        <v>#NUM!</v>
      </c>
      <c r="FJ88" s="59">
        <f ca="1">AVERAGE(OFFSET($FI$3,0,0,'Données projet'!$E$16+1,1))-AVERAGE(OFFSET($H$3,0,0,'Données projet'!$E$16+1,1))</f>
        <v>124.15919323713428</v>
      </c>
      <c r="FK88" s="59">
        <f t="shared" si="102"/>
        <v>157.85954678210715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0</v>
      </c>
      <c r="FR88" s="21">
        <f>EXP(-LN(2)/25)*FR87+(1-EXP(-LN(2)/25))/(LN(2)/25)*Calculateur!FM88*Calculateur!FO88*VLOOKUP('Données projet'!$B$16,Paramètres!$A$1:$I$89,3,0)*0.475*44/12</f>
        <v>1.093930982303728</v>
      </c>
      <c r="FS88" s="21">
        <f>EXP(-LN(2)/2)*FS87+(1-EXP(-LN(2)/2))/(LN(2)/2)*FM88*FP88*VLOOKUP('Données projet'!$B$16,Paramètres!$A$1:$I$89,3,0)*0.475*44/12</f>
        <v>3.8866420981367244E-8</v>
      </c>
      <c r="FT88" s="22">
        <f t="shared" si="78"/>
        <v>1.093931021170149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5.6</v>
      </c>
      <c r="N89" s="13">
        <f>IF('Données projet'!$A$36&gt;35,N88+M89-V88,IF(A89&lt;'Données projet'!$A$36,$K$205^A89,IF(A89='Données projet'!$A$36,'Données projet'!$B$36,N88+M89-V88)))</f>
        <v>273.60000000000036</v>
      </c>
      <c r="O89" s="13">
        <f>N89*VLOOKUP('Données projet'!$B$9,Paramètres!$A$1:$I$89,3,0)*VLOOKUP('Données projet'!$B$9,Paramètres!$A$1:$I$89,5,0)</f>
        <v>247.55328000000031</v>
      </c>
      <c r="P89" s="13">
        <f t="shared" si="87"/>
        <v>60.061713068870304</v>
      </c>
      <c r="Q89" s="20">
        <f t="shared" si="54"/>
        <v>535.76277959494962</v>
      </c>
      <c r="R89" s="59">
        <f t="shared" si="55"/>
        <v>829.09611292828299</v>
      </c>
      <c r="S89" s="59">
        <f ca="1">AVERAGE(OFFSET($R$3,0,0,'Données projet'!$E$9+1,1))-AVERAGE(OFFSET($H$3,0,0,'Données projet'!$E$9+1,1))</f>
        <v>237.22177246688199</v>
      </c>
      <c r="T89" s="59">
        <f t="shared" si="88"/>
        <v>149.27472147904302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0</v>
      </c>
      <c r="AA89" s="21">
        <f>EXP(-LN(2)/25)*AA88+(1-EXP(-LN(2)/25))/(LN(2)/25)*Calculateur!V89*Calculateur!X89*VLOOKUP('Données projet'!$B$9,Paramètres!$A$1:$I$89,3,0)*0.475*44/12</f>
        <v>0.65748464701091669</v>
      </c>
      <c r="AB89" s="21">
        <f>EXP(-LN(2)/2)*AB88+(1-EXP(-LN(2)/2))/(LN(2)/2)*V89*Y89*VLOOKUP('Données projet'!$B$9,Paramètres!$A$1:$I$89,3,0)*0.475*44/12</f>
        <v>2.3057117515908283E-8</v>
      </c>
      <c r="AC89" s="22">
        <f t="shared" si="57"/>
        <v>0.65748467006803424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2.5</v>
      </c>
      <c r="AI89" s="13">
        <f>IF('Données projet'!$A$62&gt;35,AI88+AH89-AQ88,IF(A89&lt;'Données projet'!$A$62,$AF$205^A89,IF(A89='Données projet'!$A$62,'Données projet'!$B$62,AI88+AH89-AQ88)))</f>
        <v>214.99999999999991</v>
      </c>
      <c r="AJ89" s="13">
        <f>AI89*VLOOKUP('Données projet'!$B$10,Paramètres!$A$1:$I$89,3,0)*VLOOKUP('Données projet'!$B$10,Paramètres!$A$1:$I$89,5,0)</f>
        <v>187.82399999999996</v>
      </c>
      <c r="AK89" s="13">
        <f t="shared" si="89"/>
        <v>47.05854810918273</v>
      </c>
      <c r="AL89" s="20">
        <f t="shared" si="58"/>
        <v>409.08710462349313</v>
      </c>
      <c r="AM89" s="59">
        <f t="shared" si="59"/>
        <v>702.42043795682639</v>
      </c>
      <c r="AN89" s="59">
        <f ca="1">AVERAGE(OFFSET($AM$3,0,0,'Données projet'!$E$10+1,1))-AVERAGE(OFFSET($H$3,0,0,'Données projet'!$E$10+1,1))</f>
        <v>191.94797389630673</v>
      </c>
      <c r="AO89" s="59">
        <f t="shared" si="90"/>
        <v>273.52540822767878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0.84932104956090226</v>
      </c>
      <c r="AV89" s="21">
        <f>EXP(-LN(2)/25)*AV88+(1-EXP(-LN(2)/25))/(LN(2)/25)*Calculateur!AQ89*Calculateur!AS89*VLOOKUP('Données projet'!$B$10,Paramètres!$A$1:$I$89,3,0)*0.475*44/12</f>
        <v>2.9738015118925318</v>
      </c>
      <c r="AW89" s="21">
        <f>EXP(-LN(2)/2)*AW88+(1-EXP(-LN(2)/2))/(LN(2)/2)*AQ89*AT89*VLOOKUP('Données projet'!$B$10,Paramètres!$A$1:$I$89,3,0)*0.475*44/12</f>
        <v>8.6438145189245695E-8</v>
      </c>
      <c r="AX89" s="21">
        <f t="shared" si="60"/>
        <v>3.8231226478915792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>
        <f>BD89*VLOOKUP('Données projet'!$B$11,Paramètres!$A$1:$I$89,3,0)*VLOOKUP('Données projet'!$B$11,Paramètres!$A$1:$I$89,5,0)</f>
        <v>0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72.647148358003676</v>
      </c>
      <c r="BJ89" s="59">
        <f t="shared" si="92"/>
        <v>87.231299224620898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0.41976209723144314</v>
      </c>
      <c r="BQ89" s="21">
        <f>EXP(-LN(2)/25)*BQ88+(1-EXP(-LN(2)/25))/(LN(2)/25)*Calculateur!BL89*Calculateur!BN89*VLOOKUP('Données projet'!$B$11,Paramètres!$A$1:$I$89,3,0)*0.475*44/12</f>
        <v>0.95917783740469187</v>
      </c>
      <c r="BR89" s="21">
        <f>EXP(-LN(2)/2)*BR88+(1-EXP(-LN(2)/2))/(LN(2)/2)*BL89*BO89*VLOOKUP('Données projet'!$B$11,Paramètres!$A$1:$I$89,3,0)*0.475*44/12</f>
        <v>8.4970001737430142E-9</v>
      </c>
      <c r="BS89" s="22">
        <f t="shared" si="63"/>
        <v>1.3789399431331353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5.6843418860808015E-14</v>
      </c>
      <c r="BZ89" s="13">
        <f>BY89*VLOOKUP('Données projet'!$B$12,Paramètres!$A$1:$I$89,3,0)*VLOOKUP('Données projet'!$B$12,Paramètres!$A$1:$I$89,5,0)</f>
        <v>3.3992364478763198E-14</v>
      </c>
      <c r="CA89" s="13">
        <f t="shared" si="93"/>
        <v>5.790027782444094E-13</v>
      </c>
      <c r="CB89" s="20">
        <f t="shared" si="64"/>
        <v>1.0676332069095257E-12</v>
      </c>
      <c r="CC89" s="59">
        <f t="shared" si="65"/>
        <v>293.33333333333439</v>
      </c>
      <c r="CD89" s="59">
        <f ca="1">AVERAGE(OFFSET($CC$3,0,0,'Données projet'!$E$12+1,1))-AVERAGE(OFFSET($H$3,0,0,'Données projet'!$E$12+1,1))</f>
        <v>165.39579887388538</v>
      </c>
      <c r="CE89" s="59">
        <f t="shared" si="94"/>
        <v>155.89639262545802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</v>
      </c>
      <c r="CL89" s="21">
        <f>EXP(-LN(2)/25)*CL88+(1-EXP(-LN(2)/25))/(LN(2)/25)*Calculateur!CG89*Calculateur!CI89*VLOOKUP('Données projet'!$B$12,Paramètres!$A$1:$I$89,3,0)*0.475*44/12</f>
        <v>1.5430335423448396</v>
      </c>
      <c r="CM89" s="21">
        <f>EXP(-LN(2)/2)*CM88+(1-EXP(-LN(2)/2))/(LN(2)/2)*CG89*CJ89*VLOOKUP('Données projet'!$B$12,Paramètres!$A$1:$I$89,3,0)*0.475*44/12</f>
        <v>5.1707162467304437E-8</v>
      </c>
      <c r="CN89" s="22">
        <f t="shared" si="66"/>
        <v>1.5430335940520021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3.4106051316484809E-13</v>
      </c>
      <c r="CU89" s="17">
        <f>CT89*VLOOKUP('Données projet'!$B$13,Paramètres!$A$1:$I$89,3,0)*VLOOKUP('Données projet'!$B$13,Paramètres!$A$1:$I$89,5,0)</f>
        <v>2.6602720026858149E-13</v>
      </c>
      <c r="CV89" s="13">
        <f t="shared" si="95"/>
        <v>3.5662905043956649E-12</v>
      </c>
      <c r="CW89" s="20">
        <f t="shared" si="67"/>
        <v>6.6746200022902298E-12</v>
      </c>
      <c r="CX89" s="59">
        <f t="shared" si="68"/>
        <v>293.33333333333997</v>
      </c>
      <c r="CY89" s="59">
        <f ca="1">AVERAGE(OFFSET($CX$3,0,0,'Données projet'!$E$13+1,1))-AVERAGE(OFFSET($H$3,0,0,'Données projet'!$E$13+1,1))</f>
        <v>190.06335940156185</v>
      </c>
      <c r="CZ89" s="59">
        <f t="shared" si="96"/>
        <v>166.43663896839928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0</v>
      </c>
      <c r="DG89" s="21">
        <f>EXP(-LN(2)/25)*DG88+(1-EXP(-LN(2)/25))/(LN(2)/25)*Calculateur!DB89*Calculateur!DD89*VLOOKUP('Données projet'!$B$13,Paramètres!$A$1:$I$89,3,0)*0.475*44/12</f>
        <v>0.94548433897299045</v>
      </c>
      <c r="DH89" s="21">
        <f>EXP(-LN(2)/2)*DH88+(1-EXP(-LN(2)/2))/(LN(2)/2)*DB89*DE89*VLOOKUP('Données projet'!$B$13,Paramètres!$A$1:$I$89,3,0)*0.475*44/12</f>
        <v>1.9842381968864411E-8</v>
      </c>
      <c r="DI89" s="22">
        <f t="shared" si="69"/>
        <v>0.94548435881537241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5.6</v>
      </c>
      <c r="DO89" s="12">
        <f>IF('Données projet'!$A$166&gt;35,DO88+DN89-DW88,IF(A89&lt;'Données projet'!$A$166,$DL$205^A89,IF(A89='Données projet'!$A$166,'Données projet'!$B$166,DO88+DN89-DW88)))</f>
        <v>273.60000000000036</v>
      </c>
      <c r="DP89" s="17">
        <f>DO89*VLOOKUP('Données projet'!$B$14,Paramètres!$A$1:$I$89,3,0)*VLOOKUP('Données projet'!$B$14,Paramètres!$A$1:$I$89,5,0)</f>
        <v>264.62592000000035</v>
      </c>
      <c r="DQ89" s="13">
        <f t="shared" si="97"/>
        <v>63.707422801198717</v>
      </c>
      <c r="DR89" s="20">
        <f t="shared" si="70"/>
        <v>571.84723871208837</v>
      </c>
      <c r="DS89" s="59">
        <f t="shared" si="71"/>
        <v>865.18057204542174</v>
      </c>
      <c r="DT89" s="59">
        <f ca="1">AVERAGE(OFFSET($DS$3,0,0,'Données projet'!$E$14+1,1))-AVERAGE(OFFSET($H$3,0,0,'Données projet'!$E$14+1,1))</f>
        <v>261.22357949323879</v>
      </c>
      <c r="DU89" s="59">
        <f t="shared" si="98"/>
        <v>163.41029152029387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0</v>
      </c>
      <c r="EB89" s="21">
        <f>EXP(-LN(2)/25)*EB88+(1-EXP(-LN(2)/25))/(LN(2)/25)*Calculateur!DW89*Calculateur!DY89*VLOOKUP('Données projet'!$B$14,Paramètres!$A$1:$I$89,3,0)*0.475*44/12</f>
        <v>0.70282841577029032</v>
      </c>
      <c r="EC89" s="21">
        <f>EXP(-LN(2)/2)*EC88+(1-EXP(-LN(2)/2))/(LN(2)/2)*DW89*DZ89*VLOOKUP('Données projet'!$B$14,Paramètres!$A$1:$I$89,3,0)*0.475*44/12</f>
        <v>2.464726355148816E-8</v>
      </c>
      <c r="ED89" s="22">
        <f t="shared" si="72"/>
        <v>0.70282844041755388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8.3000000000000007</v>
      </c>
      <c r="EJ89" s="12">
        <f>IF('Données projet'!$A$192&gt;35,EJ88+EI89-ER88,IF(A89&lt;'Données projet'!$A$192,$EG$205^A89,IF(A89='Données projet'!$A$192,'Données projet'!$B$192,EJ88+EI89-ER88)))</f>
        <v>337.99999999999989</v>
      </c>
      <c r="EK89" s="17">
        <f>EJ89*VLOOKUP('Données projet'!$B$15,Paramètres!$A$1:$I$89,3,0)*VLOOKUP('Données projet'!$B$15,Paramètres!$A$1:$I$89,5,0)</f>
        <v>158.18399999999994</v>
      </c>
      <c r="EL89" s="13">
        <f t="shared" si="99"/>
        <v>40.432639815875881</v>
      </c>
      <c r="EM89" s="20">
        <f t="shared" si="73"/>
        <v>345.92398101265036</v>
      </c>
      <c r="EN89" s="59">
        <f t="shared" si="74"/>
        <v>639.25731434598367</v>
      </c>
      <c r="EO89" s="59">
        <f ca="1">AVERAGE(OFFSET($EN$3,0,0,'Données projet'!$E$15+1,1))-AVERAGE(OFFSET($H$3,0,0,'Données projet'!$E$15+1,1))</f>
        <v>123.60520571614535</v>
      </c>
      <c r="EP89" s="59">
        <f t="shared" si="100"/>
        <v>119.00926870519527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0.28610313889532812</v>
      </c>
      <c r="EW89" s="21">
        <f>EXP(-LN(2)/25)*EW88+(1-EXP(-LN(2)/25))/(LN(2)/25)*Calculateur!ER89*Calculateur!ET89*VLOOKUP('Données projet'!$B$15,Paramètres!$A$1:$I$89,3,0)*0.475*44/12</f>
        <v>1.0111744042201449</v>
      </c>
      <c r="EX89" s="21">
        <f>EXP(-LN(2)/2)*EX88+(1-EXP(-LN(2)/2))/(LN(2)/2)*ER89*EU89*VLOOKUP('Données projet'!$B$15,Paramètres!$A$1:$I$89,3,0)*0.475*44/12</f>
        <v>2.2775346380034631E-8</v>
      </c>
      <c r="EY89" s="22">
        <f t="shared" si="75"/>
        <v>1.2972775658908193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-8.5265128291212022E-14</v>
      </c>
      <c r="FF89" s="17">
        <f>FE89*VLOOKUP('Données projet'!$B$16,Paramètres!$A$1:$I$89,3,0)*VLOOKUP('Données projet'!$B$16,Paramètres!$A$1:$I$89,5,0)</f>
        <v>-6.2516392063116648E-14</v>
      </c>
      <c r="FG89" s="13" t="e">
        <f t="shared" si="101"/>
        <v>#NUM!</v>
      </c>
      <c r="FH89" s="20" t="e">
        <f t="shared" si="76"/>
        <v>#NUM!</v>
      </c>
      <c r="FI89" s="59" t="e">
        <f t="shared" si="77"/>
        <v>#NUM!</v>
      </c>
      <c r="FJ89" s="59">
        <f ca="1">AVERAGE(OFFSET($FI$3,0,0,'Données projet'!$E$16+1,1))-AVERAGE(OFFSET($H$3,0,0,'Données projet'!$E$16+1,1))</f>
        <v>124.15919323713428</v>
      </c>
      <c r="FK89" s="59">
        <f t="shared" si="102"/>
        <v>157.85954678210715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0</v>
      </c>
      <c r="FR89" s="21">
        <f>EXP(-LN(2)/25)*FR88+(1-EXP(-LN(2)/25))/(LN(2)/25)*Calculateur!FM89*Calculateur!FO89*VLOOKUP('Données projet'!$B$16,Paramètres!$A$1:$I$89,3,0)*0.475*44/12</f>
        <v>1.0640173820653025</v>
      </c>
      <c r="FS89" s="21">
        <f>EXP(-LN(2)/2)*FS88+(1-EXP(-LN(2)/2))/(LN(2)/2)*FM89*FP89*VLOOKUP('Données projet'!$B$16,Paramètres!$A$1:$I$89,3,0)*0.475*44/12</f>
        <v>2.7482709836375888E-8</v>
      </c>
      <c r="FT89" s="22">
        <f t="shared" si="78"/>
        <v>1.0640174095480124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5.6</v>
      </c>
      <c r="N90" s="13">
        <f>IF('Données projet'!$A$36&gt;35,N89+M90-V89,IF(A90&lt;'Données projet'!$A$36,$K$205^A90,IF(A90='Données projet'!$A$36,'Données projet'!$B$36,N89+M90-V89)))</f>
        <v>279.20000000000039</v>
      </c>
      <c r="O90" s="13">
        <f>N90*VLOOKUP('Données projet'!$B$9,Paramètres!$A$1:$I$89,3,0)*VLOOKUP('Données projet'!$B$9,Paramètres!$A$1:$I$89,5,0)</f>
        <v>252.62016000000034</v>
      </c>
      <c r="P90" s="13">
        <f t="shared" si="87"/>
        <v>61.146667772298876</v>
      </c>
      <c r="Q90" s="20">
        <f t="shared" si="54"/>
        <v>546.47722503675448</v>
      </c>
      <c r="R90" s="59">
        <f t="shared" si="55"/>
        <v>839.81055837008785</v>
      </c>
      <c r="S90" s="59">
        <f ca="1">AVERAGE(OFFSET($R$3,0,0,'Données projet'!$E$9+1,1))-AVERAGE(OFFSET($H$3,0,0,'Données projet'!$E$9+1,1))</f>
        <v>237.22177246688199</v>
      </c>
      <c r="T90" s="59">
        <f t="shared" si="88"/>
        <v>149.27472147904302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</v>
      </c>
      <c r="AA90" s="21">
        <f>EXP(-LN(2)/25)*AA89+(1-EXP(-LN(2)/25))/(LN(2)/25)*Calculateur!V90*Calculateur!X90*VLOOKUP('Données projet'!$B$9,Paramètres!$A$1:$I$89,3,0)*0.475*44/12</f>
        <v>0.63950569476278829</v>
      </c>
      <c r="AB90" s="21">
        <f>EXP(-LN(2)/2)*AB89+(1-EXP(-LN(2)/2))/(LN(2)/2)*V90*Y90*VLOOKUP('Données projet'!$B$9,Paramètres!$A$1:$I$89,3,0)*0.475*44/12</f>
        <v>1.630384415011387E-8</v>
      </c>
      <c r="AC90" s="22">
        <f t="shared" si="57"/>
        <v>0.63950571106663245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2.5</v>
      </c>
      <c r="AI90" s="13">
        <f>IF('Données projet'!$A$62&gt;35,AI89+AH90-AQ89,IF(A90&lt;'Données projet'!$A$62,$AF$205^A90,IF(A90='Données projet'!$A$62,'Données projet'!$B$62,AI89+AH90-AQ89)))</f>
        <v>217.49999999999991</v>
      </c>
      <c r="AJ90" s="13">
        <f>AI90*VLOOKUP('Données projet'!$B$10,Paramètres!$A$1:$I$89,3,0)*VLOOKUP('Données projet'!$B$10,Paramètres!$A$1:$I$89,5,0)</f>
        <v>190.00799999999995</v>
      </c>
      <c r="AK90" s="13">
        <f t="shared" si="89"/>
        <v>47.541721533308163</v>
      </c>
      <c r="AL90" s="20">
        <f t="shared" si="58"/>
        <v>413.73243167051163</v>
      </c>
      <c r="AM90" s="59">
        <f t="shared" si="59"/>
        <v>707.06576500384494</v>
      </c>
      <c r="AN90" s="59">
        <f ca="1">AVERAGE(OFFSET($AM$3,0,0,'Données projet'!$E$10+1,1))-AVERAGE(OFFSET($H$3,0,0,'Données projet'!$E$10+1,1))</f>
        <v>191.94797389630673</v>
      </c>
      <c r="AO90" s="59">
        <f t="shared" si="90"/>
        <v>273.52540822767878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0.83266638181370156</v>
      </c>
      <c r="AV90" s="21">
        <f>EXP(-LN(2)/25)*AV89+(1-EXP(-LN(2)/25))/(LN(2)/25)*Calculateur!AQ90*Calculateur!AS90*VLOOKUP('Données projet'!$B$10,Paramètres!$A$1:$I$89,3,0)*0.475*44/12</f>
        <v>2.8924827531644057</v>
      </c>
      <c r="AW90" s="21">
        <f>EXP(-LN(2)/2)*AW89+(1-EXP(-LN(2)/2))/(LN(2)/2)*AQ90*AT90*VLOOKUP('Données projet'!$B$10,Paramètres!$A$1:$I$89,3,0)*0.475*44/12</f>
        <v>6.1120998616502979E-8</v>
      </c>
      <c r="AX90" s="21">
        <f t="shared" si="60"/>
        <v>3.7251491960991059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>
        <f>BD90*VLOOKUP('Données projet'!$B$11,Paramètres!$A$1:$I$89,3,0)*VLOOKUP('Données projet'!$B$11,Paramètres!$A$1:$I$89,5,0)</f>
        <v>0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72.647148358003676</v>
      </c>
      <c r="BJ90" s="59">
        <f t="shared" si="92"/>
        <v>87.231299224620898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0.41153081853433304</v>
      </c>
      <c r="BQ90" s="21">
        <f>EXP(-LN(2)/25)*BQ89+(1-EXP(-LN(2)/25))/(LN(2)/25)*Calculateur!BL90*Calculateur!BN90*VLOOKUP('Données projet'!$B$11,Paramètres!$A$1:$I$89,3,0)*0.475*44/12</f>
        <v>0.93294906899989039</v>
      </c>
      <c r="BR90" s="21">
        <f>EXP(-LN(2)/2)*BR89+(1-EXP(-LN(2)/2))/(LN(2)/2)*BL90*BO90*VLOOKUP('Données projet'!$B$11,Paramètres!$A$1:$I$89,3,0)*0.475*44/12</f>
        <v>6.0082864425969579E-9</v>
      </c>
      <c r="BS90" s="22">
        <f t="shared" si="63"/>
        <v>1.34447989354251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5.6843418860808015E-14</v>
      </c>
      <c r="BZ90" s="13">
        <f>BY90*VLOOKUP('Données projet'!$B$12,Paramètres!$A$1:$I$89,3,0)*VLOOKUP('Données projet'!$B$12,Paramètres!$A$1:$I$89,5,0)</f>
        <v>3.3992364478763198E-14</v>
      </c>
      <c r="CA90" s="13">
        <f t="shared" si="93"/>
        <v>5.790027782444094E-13</v>
      </c>
      <c r="CB90" s="20">
        <f t="shared" si="64"/>
        <v>1.0676332069095257E-12</v>
      </c>
      <c r="CC90" s="59">
        <f t="shared" si="65"/>
        <v>293.33333333333439</v>
      </c>
      <c r="CD90" s="59">
        <f ca="1">AVERAGE(OFFSET($CC$3,0,0,'Données projet'!$E$12+1,1))-AVERAGE(OFFSET($H$3,0,0,'Données projet'!$E$12+1,1))</f>
        <v>165.39579887388538</v>
      </c>
      <c r="CE90" s="59">
        <f t="shared" si="94"/>
        <v>155.89639262545802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</v>
      </c>
      <c r="CL90" s="21">
        <f>EXP(-LN(2)/25)*CL89+(1-EXP(-LN(2)/25))/(LN(2)/25)*Calculateur!CG90*Calculateur!CI90*VLOOKUP('Données projet'!$B$12,Paramètres!$A$1:$I$89,3,0)*0.475*44/12</f>
        <v>1.5008392089848126</v>
      </c>
      <c r="CM90" s="21">
        <f>EXP(-LN(2)/2)*CM89+(1-EXP(-LN(2)/2))/(LN(2)/2)*CG90*CJ90*VLOOKUP('Données projet'!$B$12,Paramètres!$A$1:$I$89,3,0)*0.475*44/12</f>
        <v>3.6562485216545501E-8</v>
      </c>
      <c r="CN90" s="22">
        <f t="shared" si="66"/>
        <v>1.5008392455472979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3.4106051316484809E-13</v>
      </c>
      <c r="CU90" s="17">
        <f>CT90*VLOOKUP('Données projet'!$B$13,Paramètres!$A$1:$I$89,3,0)*VLOOKUP('Données projet'!$B$13,Paramètres!$A$1:$I$89,5,0)</f>
        <v>2.6602720026858149E-13</v>
      </c>
      <c r="CV90" s="13">
        <f t="shared" si="95"/>
        <v>3.5662905043956649E-12</v>
      </c>
      <c r="CW90" s="20">
        <f t="shared" si="67"/>
        <v>6.6746200022902298E-12</v>
      </c>
      <c r="CX90" s="59">
        <f t="shared" si="68"/>
        <v>293.33333333333997</v>
      </c>
      <c r="CY90" s="59">
        <f ca="1">AVERAGE(OFFSET($CX$3,0,0,'Données projet'!$E$13+1,1))-AVERAGE(OFFSET($H$3,0,0,'Données projet'!$E$13+1,1))</f>
        <v>190.06335940156185</v>
      </c>
      <c r="CZ90" s="59">
        <f t="shared" si="96"/>
        <v>166.43663896839928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0</v>
      </c>
      <c r="DG90" s="21">
        <f>EXP(-LN(2)/25)*DG89+(1-EXP(-LN(2)/25))/(LN(2)/25)*Calculateur!DB90*Calculateur!DD90*VLOOKUP('Données projet'!$B$13,Paramètres!$A$1:$I$89,3,0)*0.475*44/12</f>
        <v>0.91963002000291361</v>
      </c>
      <c r="DH90" s="21">
        <f>EXP(-LN(2)/2)*DH89+(1-EXP(-LN(2)/2))/(LN(2)/2)*DB90*DE90*VLOOKUP('Données projet'!$B$13,Paramètres!$A$1:$I$89,3,0)*0.475*44/12</f>
        <v>1.4030682845077704E-8</v>
      </c>
      <c r="DI90" s="22">
        <f t="shared" si="69"/>
        <v>0.91963003403359644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5.6</v>
      </c>
      <c r="DO90" s="12">
        <f>IF('Données projet'!$A$166&gt;35,DO89+DN90-DW89,IF(A90&lt;'Données projet'!$A$166,$DL$205^A90,IF(A90='Données projet'!$A$166,'Données projet'!$B$166,DO89+DN90-DW89)))</f>
        <v>279.20000000000039</v>
      </c>
      <c r="DP90" s="17">
        <f>DO90*VLOOKUP('Données projet'!$B$14,Paramètres!$A$1:$I$89,3,0)*VLOOKUP('Données projet'!$B$14,Paramètres!$A$1:$I$89,5,0)</f>
        <v>270.04224000000039</v>
      </c>
      <c r="DQ90" s="13">
        <f t="shared" si="97"/>
        <v>64.858233600288202</v>
      </c>
      <c r="DR90" s="20">
        <f t="shared" si="70"/>
        <v>583.28499152050256</v>
      </c>
      <c r="DS90" s="59">
        <f t="shared" si="71"/>
        <v>876.61832485383593</v>
      </c>
      <c r="DT90" s="59">
        <f ca="1">AVERAGE(OFFSET($DS$3,0,0,'Données projet'!$E$14+1,1))-AVERAGE(OFFSET($H$3,0,0,'Données projet'!$E$14+1,1))</f>
        <v>261.22357949323879</v>
      </c>
      <c r="DU90" s="59">
        <f t="shared" si="98"/>
        <v>163.41029152029387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0</v>
      </c>
      <c r="EB90" s="21">
        <f>EXP(-LN(2)/25)*EB89+(1-EXP(-LN(2)/25))/(LN(2)/25)*Calculateur!DW90*Calculateur!DY90*VLOOKUP('Données projet'!$B$14,Paramètres!$A$1:$I$89,3,0)*0.475*44/12</f>
        <v>0.68360953578091166</v>
      </c>
      <c r="EC90" s="21">
        <f>EXP(-LN(2)/2)*EC89+(1-EXP(-LN(2)/2))/(LN(2)/2)*DW90*DZ90*VLOOKUP('Données projet'!$B$14,Paramètres!$A$1:$I$89,3,0)*0.475*44/12</f>
        <v>1.7428247194949306E-8</v>
      </c>
      <c r="ED90" s="22">
        <f t="shared" si="72"/>
        <v>0.68360955320915884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8.3000000000000007</v>
      </c>
      <c r="EJ90" s="12">
        <f>IF('Données projet'!$A$192&gt;35,EJ89+EI90-ER89,IF(A90&lt;'Données projet'!$A$192,$EG$205^A90,IF(A90='Données projet'!$A$192,'Données projet'!$B$192,EJ89+EI90-ER89)))</f>
        <v>346.2999999999999</v>
      </c>
      <c r="EK90" s="17">
        <f>EJ90*VLOOKUP('Données projet'!$B$15,Paramètres!$A$1:$I$89,3,0)*VLOOKUP('Données projet'!$B$15,Paramètres!$A$1:$I$89,5,0)</f>
        <v>162.06839999999997</v>
      </c>
      <c r="EL90" s="13">
        <f t="shared" si="99"/>
        <v>41.308699466829864</v>
      </c>
      <c r="EM90" s="20">
        <f t="shared" si="73"/>
        <v>354.21511490472858</v>
      </c>
      <c r="EN90" s="59">
        <f t="shared" si="74"/>
        <v>647.54844823806184</v>
      </c>
      <c r="EO90" s="59">
        <f ca="1">AVERAGE(OFFSET($EN$3,0,0,'Données projet'!$E$15+1,1))-AVERAGE(OFFSET($H$3,0,0,'Données projet'!$E$15+1,1))</f>
        <v>123.60520571614535</v>
      </c>
      <c r="EP90" s="59">
        <f t="shared" si="100"/>
        <v>119.00926870519527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0.28049283084727444</v>
      </c>
      <c r="EW90" s="21">
        <f>EXP(-LN(2)/25)*EW89+(1-EXP(-LN(2)/25))/(LN(2)/25)*Calculateur!ER90*Calculateur!ET90*VLOOKUP('Données projet'!$B$15,Paramètres!$A$1:$I$89,3,0)*0.475*44/12</f>
        <v>0.9835237869613942</v>
      </c>
      <c r="EX90" s="21">
        <f>EXP(-LN(2)/2)*EX89+(1-EXP(-LN(2)/2))/(LN(2)/2)*ER90*EU90*VLOOKUP('Données projet'!$B$15,Paramètres!$A$1:$I$89,3,0)*0.475*44/12</f>
        <v>1.6104601869194975E-8</v>
      </c>
      <c r="EY90" s="22">
        <f t="shared" si="75"/>
        <v>1.2640166339132706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-8.5265128291212022E-14</v>
      </c>
      <c r="FF90" s="17">
        <f>FE90*VLOOKUP('Données projet'!$B$16,Paramètres!$A$1:$I$89,3,0)*VLOOKUP('Données projet'!$B$16,Paramètres!$A$1:$I$89,5,0)</f>
        <v>-6.2516392063116648E-14</v>
      </c>
      <c r="FG90" s="13" t="e">
        <f t="shared" si="101"/>
        <v>#NUM!</v>
      </c>
      <c r="FH90" s="20" t="e">
        <f t="shared" si="76"/>
        <v>#NUM!</v>
      </c>
      <c r="FI90" s="59" t="e">
        <f t="shared" si="77"/>
        <v>#NUM!</v>
      </c>
      <c r="FJ90" s="59">
        <f ca="1">AVERAGE(OFFSET($FI$3,0,0,'Données projet'!$E$16+1,1))-AVERAGE(OFFSET($H$3,0,0,'Données projet'!$E$16+1,1))</f>
        <v>124.15919323713428</v>
      </c>
      <c r="FK90" s="59">
        <f t="shared" si="102"/>
        <v>157.85954678210715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0</v>
      </c>
      <c r="FR90" s="21">
        <f>EXP(-LN(2)/25)*FR89+(1-EXP(-LN(2)/25))/(LN(2)/25)*Calculateur!FM90*Calculateur!FO90*VLOOKUP('Données projet'!$B$16,Paramètres!$A$1:$I$89,3,0)*0.475*44/12</f>
        <v>1.0349217707984846</v>
      </c>
      <c r="FS90" s="21">
        <f>EXP(-LN(2)/2)*FS89+(1-EXP(-LN(2)/2))/(LN(2)/2)*FM90*FP90*VLOOKUP('Données projet'!$B$16,Paramètres!$A$1:$I$89,3,0)*0.475*44/12</f>
        <v>1.9433210490683622E-8</v>
      </c>
      <c r="FT90" s="22">
        <f t="shared" si="78"/>
        <v>1.0349217902316952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5.6</v>
      </c>
      <c r="N91" s="13">
        <f>IF('Données projet'!$A$36&gt;35,N90+M91-V90,IF(A91&lt;'Données projet'!$A$36,$K$205^A91,IF(A91='Données projet'!$A$36,'Données projet'!$B$36,N90+M91-V90)))</f>
        <v>284.80000000000041</v>
      </c>
      <c r="O91" s="13">
        <f>N91*VLOOKUP('Données projet'!$B$9,Paramètres!$A$1:$I$89,3,0)*VLOOKUP('Données projet'!$B$9,Paramètres!$A$1:$I$89,5,0)</f>
        <v>257.68704000000037</v>
      </c>
      <c r="P91" s="13">
        <f t="shared" si="87"/>
        <v>62.229092239243457</v>
      </c>
      <c r="Q91" s="20">
        <f t="shared" si="54"/>
        <v>557.18726365001623</v>
      </c>
      <c r="R91" s="59">
        <f t="shared" si="55"/>
        <v>850.52059698334961</v>
      </c>
      <c r="S91" s="59">
        <f ca="1">AVERAGE(OFFSET($R$3,0,0,'Données projet'!$E$9+1,1))-AVERAGE(OFFSET($H$3,0,0,'Données projet'!$E$9+1,1))</f>
        <v>237.22177246688199</v>
      </c>
      <c r="T91" s="59">
        <f t="shared" si="88"/>
        <v>149.27472147904302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</v>
      </c>
      <c r="AA91" s="21">
        <f>EXP(-LN(2)/25)*AA90+(1-EXP(-LN(2)/25))/(LN(2)/25)*Calculateur!V91*Calculateur!X91*VLOOKUP('Données projet'!$B$9,Paramètres!$A$1:$I$89,3,0)*0.475*44/12</f>
        <v>0.62201837790935699</v>
      </c>
      <c r="AB91" s="21">
        <f>EXP(-LN(2)/2)*AB90+(1-EXP(-LN(2)/2))/(LN(2)/2)*V91*Y91*VLOOKUP('Données projet'!$B$9,Paramètres!$A$1:$I$89,3,0)*0.475*44/12</f>
        <v>1.1528558757954142E-8</v>
      </c>
      <c r="AC91" s="22">
        <f t="shared" si="57"/>
        <v>0.62201838943791576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2.5</v>
      </c>
      <c r="AI91" s="13">
        <f>IF('Données projet'!$A$62&gt;35,AI90+AH91-AQ90,IF(A91&lt;'Données projet'!$A$62,$AF$205^A91,IF(A91='Données projet'!$A$62,'Données projet'!$B$62,AI90+AH91-AQ90)))</f>
        <v>219.99999999999991</v>
      </c>
      <c r="AJ91" s="13">
        <f>AI91*VLOOKUP('Données projet'!$B$10,Paramètres!$A$1:$I$89,3,0)*VLOOKUP('Données projet'!$B$10,Paramètres!$A$1:$I$89,5,0)</f>
        <v>192.19199999999995</v>
      </c>
      <c r="AK91" s="13">
        <f t="shared" si="89"/>
        <v>48.02424892193244</v>
      </c>
      <c r="AL91" s="20">
        <f t="shared" si="58"/>
        <v>418.37663353903218</v>
      </c>
      <c r="AM91" s="59">
        <f t="shared" si="59"/>
        <v>711.7099668723655</v>
      </c>
      <c r="AN91" s="59">
        <f ca="1">AVERAGE(OFFSET($AM$3,0,0,'Données projet'!$E$10+1,1))-AVERAGE(OFFSET($H$3,0,0,'Données projet'!$E$10+1,1))</f>
        <v>191.94797389630673</v>
      </c>
      <c r="AO91" s="59">
        <f t="shared" si="90"/>
        <v>273.52540822767878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0.8163383019426792</v>
      </c>
      <c r="AV91" s="21">
        <f>EXP(-LN(2)/25)*AV90+(1-EXP(-LN(2)/25))/(LN(2)/25)*Calculateur!AQ91*Calculateur!AS91*VLOOKUP('Données projet'!$B$10,Paramètres!$A$1:$I$89,3,0)*0.475*44/12</f>
        <v>2.813387660170068</v>
      </c>
      <c r="AW91" s="21">
        <f>EXP(-LN(2)/2)*AW90+(1-EXP(-LN(2)/2))/(LN(2)/2)*AQ91*AT91*VLOOKUP('Données projet'!$B$10,Paramètres!$A$1:$I$89,3,0)*0.475*44/12</f>
        <v>4.3219072594622848E-8</v>
      </c>
      <c r="AX91" s="21">
        <f t="shared" si="60"/>
        <v>3.6297260053318201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>
        <f>BD91*VLOOKUP('Données projet'!$B$11,Paramètres!$A$1:$I$89,3,0)*VLOOKUP('Données projet'!$B$11,Paramètres!$A$1:$I$89,5,0)</f>
        <v>0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72.647148358003676</v>
      </c>
      <c r="BJ91" s="59">
        <f t="shared" si="92"/>
        <v>87.231299224620898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0.40346095019188899</v>
      </c>
      <c r="BQ91" s="21">
        <f>EXP(-LN(2)/25)*BQ90+(1-EXP(-LN(2)/25))/(LN(2)/25)*Calculateur!BL91*Calculateur!BN91*VLOOKUP('Données projet'!$B$11,Paramètres!$A$1:$I$89,3,0)*0.475*44/12</f>
        <v>0.90743752764642915</v>
      </c>
      <c r="BR91" s="21">
        <f>EXP(-LN(2)/2)*BR90+(1-EXP(-LN(2)/2))/(LN(2)/2)*BL91*BO91*VLOOKUP('Données projet'!$B$11,Paramètres!$A$1:$I$89,3,0)*0.475*44/12</f>
        <v>4.2485000868715071E-9</v>
      </c>
      <c r="BS91" s="22">
        <f t="shared" si="63"/>
        <v>1.3108984820868181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5.6843418860808015E-14</v>
      </c>
      <c r="BZ91" s="13">
        <f>BY91*VLOOKUP('Données projet'!$B$12,Paramètres!$A$1:$I$89,3,0)*VLOOKUP('Données projet'!$B$12,Paramètres!$A$1:$I$89,5,0)</f>
        <v>3.3992364478763198E-14</v>
      </c>
      <c r="CA91" s="13">
        <f t="shared" si="93"/>
        <v>5.790027782444094E-13</v>
      </c>
      <c r="CB91" s="20">
        <f t="shared" si="64"/>
        <v>1.0676332069095257E-12</v>
      </c>
      <c r="CC91" s="59">
        <f t="shared" si="65"/>
        <v>293.33333333333439</v>
      </c>
      <c r="CD91" s="59">
        <f ca="1">AVERAGE(OFFSET($CC$3,0,0,'Données projet'!$E$12+1,1))-AVERAGE(OFFSET($H$3,0,0,'Données projet'!$E$12+1,1))</f>
        <v>165.39579887388538</v>
      </c>
      <c r="CE91" s="59">
        <f t="shared" si="94"/>
        <v>155.89639262545802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</v>
      </c>
      <c r="CL91" s="21">
        <f>EXP(-LN(2)/25)*CL90+(1-EXP(-LN(2)/25))/(LN(2)/25)*Calculateur!CG91*Calculateur!CI91*VLOOKUP('Données projet'!$B$12,Paramètres!$A$1:$I$89,3,0)*0.475*44/12</f>
        <v>1.4597986818894191</v>
      </c>
      <c r="CM91" s="21">
        <f>EXP(-LN(2)/2)*CM90+(1-EXP(-LN(2)/2))/(LN(2)/2)*CG91*CJ91*VLOOKUP('Données projet'!$B$12,Paramètres!$A$1:$I$89,3,0)*0.475*44/12</f>
        <v>2.5853581233652219E-8</v>
      </c>
      <c r="CN91" s="22">
        <f t="shared" si="66"/>
        <v>1.4597987077430004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3.4106051316484809E-13</v>
      </c>
      <c r="CU91" s="17">
        <f>CT91*VLOOKUP('Données projet'!$B$13,Paramètres!$A$1:$I$89,3,0)*VLOOKUP('Données projet'!$B$13,Paramètres!$A$1:$I$89,5,0)</f>
        <v>2.6602720026858149E-13</v>
      </c>
      <c r="CV91" s="13">
        <f t="shared" si="95"/>
        <v>3.5662905043956649E-12</v>
      </c>
      <c r="CW91" s="20">
        <f t="shared" si="67"/>
        <v>6.6746200022902298E-12</v>
      </c>
      <c r="CX91" s="59">
        <f t="shared" si="68"/>
        <v>293.33333333333997</v>
      </c>
      <c r="CY91" s="59">
        <f ca="1">AVERAGE(OFFSET($CX$3,0,0,'Données projet'!$E$13+1,1))-AVERAGE(OFFSET($H$3,0,0,'Données projet'!$E$13+1,1))</f>
        <v>190.06335940156185</v>
      </c>
      <c r="CZ91" s="59">
        <f t="shared" si="96"/>
        <v>166.43663896839928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0</v>
      </c>
      <c r="DG91" s="21">
        <f>EXP(-LN(2)/25)*DG90+(1-EXP(-LN(2)/25))/(LN(2)/25)*Calculateur!DB91*Calculateur!DD91*VLOOKUP('Données projet'!$B$13,Paramètres!$A$1:$I$89,3,0)*0.475*44/12</f>
        <v>0.89448268874469306</v>
      </c>
      <c r="DH91" s="21">
        <f>EXP(-LN(2)/2)*DH90+(1-EXP(-LN(2)/2))/(LN(2)/2)*DB91*DE91*VLOOKUP('Données projet'!$B$13,Paramètres!$A$1:$I$89,3,0)*0.475*44/12</f>
        <v>9.9211909844322057E-9</v>
      </c>
      <c r="DI91" s="22">
        <f t="shared" si="69"/>
        <v>0.89448269866588404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5.6</v>
      </c>
      <c r="DO91" s="12">
        <f>IF('Données projet'!$A$166&gt;35,DO90+DN91-DW90,IF(A91&lt;'Données projet'!$A$166,$DL$205^A91,IF(A91='Données projet'!$A$166,'Données projet'!$B$166,DO90+DN91-DW90)))</f>
        <v>284.80000000000041</v>
      </c>
      <c r="DP91" s="17">
        <f>DO91*VLOOKUP('Données projet'!$B$14,Paramètres!$A$1:$I$89,3,0)*VLOOKUP('Données projet'!$B$14,Paramètres!$A$1:$I$89,5,0)</f>
        <v>275.45856000000038</v>
      </c>
      <c r="DQ91" s="13">
        <f t="shared" si="97"/>
        <v>66.006360579066268</v>
      </c>
      <c r="DR91" s="20">
        <f t="shared" si="70"/>
        <v>594.71807000854108</v>
      </c>
      <c r="DS91" s="59">
        <f t="shared" si="71"/>
        <v>888.05140334187445</v>
      </c>
      <c r="DT91" s="59">
        <f ca="1">AVERAGE(OFFSET($DS$3,0,0,'Données projet'!$E$14+1,1))-AVERAGE(OFFSET($H$3,0,0,'Données projet'!$E$14+1,1))</f>
        <v>261.22357949323879</v>
      </c>
      <c r="DU91" s="59">
        <f t="shared" si="98"/>
        <v>163.41029152029387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0</v>
      </c>
      <c r="EB91" s="21">
        <f>EXP(-LN(2)/25)*EB90+(1-EXP(-LN(2)/25))/(LN(2)/25)*Calculateur!DW91*Calculateur!DY91*VLOOKUP('Données projet'!$B$14,Paramètres!$A$1:$I$89,3,0)*0.475*44/12</f>
        <v>0.66491619707551952</v>
      </c>
      <c r="EC91" s="21">
        <f>EXP(-LN(2)/2)*EC90+(1-EXP(-LN(2)/2))/(LN(2)/2)*DW91*DZ91*VLOOKUP('Données projet'!$B$14,Paramètres!$A$1:$I$89,3,0)*0.475*44/12</f>
        <v>1.232363177574408E-8</v>
      </c>
      <c r="ED91" s="22">
        <f t="shared" si="72"/>
        <v>0.6649162093991513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8.3000000000000007</v>
      </c>
      <c r="EJ91" s="12">
        <f>IF('Données projet'!$A$192&gt;35,EJ90+EI91-ER90,IF(A91&lt;'Données projet'!$A$192,$EG$205^A91,IF(A91='Données projet'!$A$192,'Données projet'!$B$192,EJ90+EI91-ER90)))</f>
        <v>354.59999999999991</v>
      </c>
      <c r="EK91" s="17">
        <f>EJ91*VLOOKUP('Données projet'!$B$15,Paramètres!$A$1:$I$89,3,0)*VLOOKUP('Données projet'!$B$15,Paramètres!$A$1:$I$89,5,0)</f>
        <v>165.95279999999997</v>
      </c>
      <c r="EL91" s="13">
        <f t="shared" si="99"/>
        <v>42.182318214665827</v>
      </c>
      <c r="EM91" s="20">
        <f t="shared" si="73"/>
        <v>362.50199755720956</v>
      </c>
      <c r="EN91" s="59">
        <f t="shared" si="74"/>
        <v>655.83533089054288</v>
      </c>
      <c r="EO91" s="59">
        <f ca="1">AVERAGE(OFFSET($EN$3,0,0,'Données projet'!$E$15+1,1))-AVERAGE(OFFSET($H$3,0,0,'Données projet'!$E$15+1,1))</f>
        <v>123.60520571614535</v>
      </c>
      <c r="EP91" s="59">
        <f t="shared" si="100"/>
        <v>119.00926870519527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0.27499253751809311</v>
      </c>
      <c r="EW91" s="21">
        <f>EXP(-LN(2)/25)*EW90+(1-EXP(-LN(2)/25))/(LN(2)/25)*Calculateur!ER91*Calculateur!ET91*VLOOKUP('Données projet'!$B$15,Paramètres!$A$1:$I$89,3,0)*0.475*44/12</f>
        <v>0.95662927728566682</v>
      </c>
      <c r="EX91" s="21">
        <f>EXP(-LN(2)/2)*EX90+(1-EXP(-LN(2)/2))/(LN(2)/2)*ER91*EU91*VLOOKUP('Données projet'!$B$15,Paramètres!$A$1:$I$89,3,0)*0.475*44/12</f>
        <v>1.1387673190017316E-8</v>
      </c>
      <c r="EY91" s="22">
        <f t="shared" si="75"/>
        <v>1.2316218261914331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-8.5265128291212022E-14</v>
      </c>
      <c r="FF91" s="17">
        <f>FE91*VLOOKUP('Données projet'!$B$16,Paramètres!$A$1:$I$89,3,0)*VLOOKUP('Données projet'!$B$16,Paramètres!$A$1:$I$89,5,0)</f>
        <v>-6.2516392063116648E-14</v>
      </c>
      <c r="FG91" s="13" t="e">
        <f t="shared" si="101"/>
        <v>#NUM!</v>
      </c>
      <c r="FH91" s="20" t="e">
        <f t="shared" si="76"/>
        <v>#NUM!</v>
      </c>
      <c r="FI91" s="59" t="e">
        <f t="shared" si="77"/>
        <v>#NUM!</v>
      </c>
      <c r="FJ91" s="59">
        <f ca="1">AVERAGE(OFFSET($FI$3,0,0,'Données projet'!$E$16+1,1))-AVERAGE(OFFSET($H$3,0,0,'Données projet'!$E$16+1,1))</f>
        <v>124.15919323713428</v>
      </c>
      <c r="FK91" s="59">
        <f t="shared" si="102"/>
        <v>157.85954678210715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0</v>
      </c>
      <c r="FR91" s="21">
        <f>EXP(-LN(2)/25)*FR90+(1-EXP(-LN(2)/25))/(LN(2)/25)*Calculateur!FM91*Calculateur!FO91*VLOOKUP('Données projet'!$B$16,Paramètres!$A$1:$I$89,3,0)*0.475*44/12</f>
        <v>1.0066217805518294</v>
      </c>
      <c r="FS91" s="21">
        <f>EXP(-LN(2)/2)*FS90+(1-EXP(-LN(2)/2))/(LN(2)/2)*FM91*FP91*VLOOKUP('Données projet'!$B$16,Paramètres!$A$1:$I$89,3,0)*0.475*44/12</f>
        <v>1.3741354918187944E-8</v>
      </c>
      <c r="FT91" s="22">
        <f t="shared" si="78"/>
        <v>1.0066217942931843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5.6</v>
      </c>
      <c r="N92" s="13">
        <f>IF('Données projet'!$A$36&gt;35,N91+M92-V91,IF(A92&lt;'Données projet'!$A$36,$K$205^A92,IF(A92='Données projet'!$A$36,'Données projet'!$B$36,N91+M92-V91)))</f>
        <v>290.40000000000043</v>
      </c>
      <c r="O92" s="13">
        <f>N92*VLOOKUP('Données projet'!$B$9,Paramètres!$A$1:$I$89,3,0)*VLOOKUP('Données projet'!$B$9,Paramètres!$A$1:$I$89,5,0)</f>
        <v>262.75392000000039</v>
      </c>
      <c r="P92" s="13">
        <f t="shared" si="87"/>
        <v>63.309041956360382</v>
      </c>
      <c r="Q92" s="20">
        <f t="shared" si="54"/>
        <v>567.89299207399495</v>
      </c>
      <c r="R92" s="59">
        <f t="shared" si="55"/>
        <v>861.2263254073282</v>
      </c>
      <c r="S92" s="59">
        <f ca="1">AVERAGE(OFFSET($R$3,0,0,'Données projet'!$E$9+1,1))-AVERAGE(OFFSET($H$3,0,0,'Données projet'!$E$9+1,1))</f>
        <v>237.22177246688199</v>
      </c>
      <c r="T92" s="59">
        <f t="shared" si="88"/>
        <v>149.27472147904302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</v>
      </c>
      <c r="AA92" s="21">
        <f>EXP(-LN(2)/25)*AA91+(1-EXP(-LN(2)/25))/(LN(2)/25)*Calculateur!V92*Calculateur!X92*VLOOKUP('Données projet'!$B$9,Paramètres!$A$1:$I$89,3,0)*0.475*44/12</f>
        <v>0.6050092526549008</v>
      </c>
      <c r="AB92" s="21">
        <f>EXP(-LN(2)/2)*AB91+(1-EXP(-LN(2)/2))/(LN(2)/2)*V92*Y92*VLOOKUP('Données projet'!$B$9,Paramètres!$A$1:$I$89,3,0)*0.475*44/12</f>
        <v>8.1519220750569352E-9</v>
      </c>
      <c r="AC92" s="22">
        <f t="shared" si="57"/>
        <v>0.60500926080682282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2.5</v>
      </c>
      <c r="AI92" s="13">
        <f>IF('Données projet'!$A$62&gt;35,AI91+AH92-AQ91,IF(A92&lt;'Données projet'!$A$62,$AF$205^A92,IF(A92='Données projet'!$A$62,'Données projet'!$B$62,AI91+AH92-AQ91)))</f>
        <v>222.49999999999991</v>
      </c>
      <c r="AJ92" s="13">
        <f>AI92*VLOOKUP('Données projet'!$B$10,Paramètres!$A$1:$I$89,3,0)*VLOOKUP('Données projet'!$B$10,Paramètres!$A$1:$I$89,5,0)</f>
        <v>194.37599999999995</v>
      </c>
      <c r="AK92" s="13">
        <f t="shared" si="89"/>
        <v>48.506138465833089</v>
      </c>
      <c r="AL92" s="20">
        <f t="shared" si="58"/>
        <v>423.01972449465916</v>
      </c>
      <c r="AM92" s="59">
        <f t="shared" si="59"/>
        <v>716.35305782799242</v>
      </c>
      <c r="AN92" s="59">
        <f ca="1">AVERAGE(OFFSET($AM$3,0,0,'Données projet'!$E$10+1,1))-AVERAGE(OFFSET($H$3,0,0,'Données projet'!$E$10+1,1))</f>
        <v>191.94797389630673</v>
      </c>
      <c r="AO92" s="59">
        <f t="shared" si="90"/>
        <v>273.52540822767878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0.80033040575878223</v>
      </c>
      <c r="AV92" s="21">
        <f>EXP(-LN(2)/25)*AV91+(1-EXP(-LN(2)/25))/(LN(2)/25)*Calculateur!AQ92*Calculateur!AS92*VLOOKUP('Données projet'!$B$10,Paramètres!$A$1:$I$89,3,0)*0.475*44/12</f>
        <v>2.7364554266530905</v>
      </c>
      <c r="AW92" s="21">
        <f>EXP(-LN(2)/2)*AW91+(1-EXP(-LN(2)/2))/(LN(2)/2)*AQ92*AT92*VLOOKUP('Données projet'!$B$10,Paramètres!$A$1:$I$89,3,0)*0.475*44/12</f>
        <v>3.056049930825149E-8</v>
      </c>
      <c r="AX92" s="21">
        <f t="shared" si="60"/>
        <v>3.5367858629723723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>
        <f>BD92*VLOOKUP('Données projet'!$B$11,Paramètres!$A$1:$I$89,3,0)*VLOOKUP('Données projet'!$B$11,Paramètres!$A$1:$I$89,5,0)</f>
        <v>0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72.647148358003676</v>
      </c>
      <c r="BJ92" s="59">
        <f t="shared" si="92"/>
        <v>87.231299224620898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0.3955493270455066</v>
      </c>
      <c r="BQ92" s="21">
        <f>EXP(-LN(2)/25)*BQ91+(1-EXP(-LN(2)/25))/(LN(2)/25)*Calculateur!BL92*Calculateur!BN92*VLOOKUP('Données projet'!$B$11,Paramètres!$A$1:$I$89,3,0)*0.475*44/12</f>
        <v>0.88262360073287194</v>
      </c>
      <c r="BR92" s="21">
        <f>EXP(-LN(2)/2)*BR91+(1-EXP(-LN(2)/2))/(LN(2)/2)*BL92*BO92*VLOOKUP('Données projet'!$B$11,Paramètres!$A$1:$I$89,3,0)*0.475*44/12</f>
        <v>3.004143221298479E-9</v>
      </c>
      <c r="BS92" s="22">
        <f t="shared" si="63"/>
        <v>1.2781729307825218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5.6843418860808015E-14</v>
      </c>
      <c r="BZ92" s="13">
        <f>BY92*VLOOKUP('Données projet'!$B$12,Paramètres!$A$1:$I$89,3,0)*VLOOKUP('Données projet'!$B$12,Paramètres!$A$1:$I$89,5,0)</f>
        <v>3.3992364478763198E-14</v>
      </c>
      <c r="CA92" s="13">
        <f t="shared" si="93"/>
        <v>5.790027782444094E-13</v>
      </c>
      <c r="CB92" s="20">
        <f t="shared" si="64"/>
        <v>1.0676332069095257E-12</v>
      </c>
      <c r="CC92" s="59">
        <f t="shared" si="65"/>
        <v>293.33333333333439</v>
      </c>
      <c r="CD92" s="59">
        <f ca="1">AVERAGE(OFFSET($CC$3,0,0,'Données projet'!$E$12+1,1))-AVERAGE(OFFSET($H$3,0,0,'Données projet'!$E$12+1,1))</f>
        <v>165.39579887388538</v>
      </c>
      <c r="CE92" s="59">
        <f t="shared" si="94"/>
        <v>155.89639262545802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</v>
      </c>
      <c r="CL92" s="21">
        <f>EXP(-LN(2)/25)*CL91+(1-EXP(-LN(2)/25))/(LN(2)/25)*Calculateur!CG92*Calculateur!CI92*VLOOKUP('Données projet'!$B$12,Paramètres!$A$1:$I$89,3,0)*0.475*44/12</f>
        <v>1.4198804101656766</v>
      </c>
      <c r="CM92" s="21">
        <f>EXP(-LN(2)/2)*CM91+(1-EXP(-LN(2)/2))/(LN(2)/2)*CG92*CJ92*VLOOKUP('Données projet'!$B$12,Paramètres!$A$1:$I$89,3,0)*0.475*44/12</f>
        <v>1.828124260827275E-8</v>
      </c>
      <c r="CN92" s="22">
        <f t="shared" si="66"/>
        <v>1.4198804284469191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3.4106051316484809E-13</v>
      </c>
      <c r="CU92" s="17">
        <f>CT92*VLOOKUP('Données projet'!$B$13,Paramètres!$A$1:$I$89,3,0)*VLOOKUP('Données projet'!$B$13,Paramètres!$A$1:$I$89,5,0)</f>
        <v>2.6602720026858149E-13</v>
      </c>
      <c r="CV92" s="13">
        <f t="shared" si="95"/>
        <v>3.5662905043956649E-12</v>
      </c>
      <c r="CW92" s="20">
        <f t="shared" si="67"/>
        <v>6.6746200022902298E-12</v>
      </c>
      <c r="CX92" s="59">
        <f t="shared" si="68"/>
        <v>293.33333333333997</v>
      </c>
      <c r="CY92" s="59">
        <f ca="1">AVERAGE(OFFSET($CX$3,0,0,'Données projet'!$E$13+1,1))-AVERAGE(OFFSET($H$3,0,0,'Données projet'!$E$13+1,1))</f>
        <v>190.06335940156185</v>
      </c>
      <c r="CZ92" s="59">
        <f t="shared" si="96"/>
        <v>166.43663896839928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0</v>
      </c>
      <c r="DG92" s="21">
        <f>EXP(-LN(2)/25)*DG91+(1-EXP(-LN(2)/25))/(LN(2)/25)*Calculateur!DB92*Calculateur!DD92*VLOOKUP('Données projet'!$B$13,Paramètres!$A$1:$I$89,3,0)*0.475*44/12</f>
        <v>0.87002301258216919</v>
      </c>
      <c r="DH92" s="21">
        <f>EXP(-LN(2)/2)*DH91+(1-EXP(-LN(2)/2))/(LN(2)/2)*DB92*DE92*VLOOKUP('Données projet'!$B$13,Paramètres!$A$1:$I$89,3,0)*0.475*44/12</f>
        <v>7.0153414225388518E-9</v>
      </c>
      <c r="DI92" s="22">
        <f t="shared" si="69"/>
        <v>0.87002301959751061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5.6</v>
      </c>
      <c r="DO92" s="12">
        <f>IF('Données projet'!$A$166&gt;35,DO91+DN92-DW91,IF(A92&lt;'Données projet'!$A$166,$DL$205^A92,IF(A92='Données projet'!$A$166,'Données projet'!$B$166,DO91+DN92-DW91)))</f>
        <v>290.40000000000043</v>
      </c>
      <c r="DP92" s="17">
        <f>DO92*VLOOKUP('Données projet'!$B$14,Paramètres!$A$1:$I$89,3,0)*VLOOKUP('Données projet'!$B$14,Paramètres!$A$1:$I$89,5,0)</f>
        <v>280.87488000000042</v>
      </c>
      <c r="DQ92" s="13">
        <f t="shared" si="97"/>
        <v>67.151862592195968</v>
      </c>
      <c r="DR92" s="20">
        <f t="shared" si="70"/>
        <v>606.14657668140865</v>
      </c>
      <c r="DS92" s="59">
        <f t="shared" si="71"/>
        <v>899.47991001474202</v>
      </c>
      <c r="DT92" s="59">
        <f ca="1">AVERAGE(OFFSET($DS$3,0,0,'Données projet'!$E$14+1,1))-AVERAGE(OFFSET($H$3,0,0,'Données projet'!$E$14+1,1))</f>
        <v>261.22357949323879</v>
      </c>
      <c r="DU92" s="59">
        <f t="shared" si="98"/>
        <v>163.41029152029387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0</v>
      </c>
      <c r="EB92" s="21">
        <f>EXP(-LN(2)/25)*EB91+(1-EXP(-LN(2)/25))/(LN(2)/25)*Calculateur!DW92*Calculateur!DY92*VLOOKUP('Données projet'!$B$14,Paramètres!$A$1:$I$89,3,0)*0.475*44/12</f>
        <v>0.64673402870006635</v>
      </c>
      <c r="EC92" s="21">
        <f>EXP(-LN(2)/2)*EC91+(1-EXP(-LN(2)/2))/(LN(2)/2)*DW92*DZ92*VLOOKUP('Données projet'!$B$14,Paramètres!$A$1:$I$89,3,0)*0.475*44/12</f>
        <v>8.7141235974746532E-9</v>
      </c>
      <c r="ED92" s="22">
        <f t="shared" si="72"/>
        <v>0.64673403741419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8.3000000000000007</v>
      </c>
      <c r="EJ92" s="12">
        <f>IF('Données projet'!$A$192&gt;35,EJ91+EI92-ER91,IF(A92&lt;'Données projet'!$A$192,$EG$205^A92,IF(A92='Données projet'!$A$192,'Données projet'!$B$192,EJ91+EI92-ER91)))</f>
        <v>362.89999999999992</v>
      </c>
      <c r="EK92" s="17">
        <f>EJ92*VLOOKUP('Données projet'!$B$15,Paramètres!$A$1:$I$89,3,0)*VLOOKUP('Données projet'!$B$15,Paramètres!$A$1:$I$89,5,0)</f>
        <v>169.83719999999997</v>
      </c>
      <c r="EL92" s="13">
        <f t="shared" si="99"/>
        <v>43.053559768035221</v>
      </c>
      <c r="EM92" s="20">
        <f t="shared" si="73"/>
        <v>370.78473992932794</v>
      </c>
      <c r="EN92" s="59">
        <f t="shared" si="74"/>
        <v>664.11807326266126</v>
      </c>
      <c r="EO92" s="59">
        <f ca="1">AVERAGE(OFFSET($EN$3,0,0,'Données projet'!$E$15+1,1))-AVERAGE(OFFSET($H$3,0,0,'Données projet'!$E$15+1,1))</f>
        <v>123.60520571614535</v>
      </c>
      <c r="EP92" s="59">
        <f t="shared" si="100"/>
        <v>119.00926870519527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0.26960010158624931</v>
      </c>
      <c r="EW92" s="21">
        <f>EXP(-LN(2)/25)*EW91+(1-EXP(-LN(2)/25))/(LN(2)/25)*Calculateur!ER92*Calculateur!ET92*VLOOKUP('Données projet'!$B$15,Paramètres!$A$1:$I$89,3,0)*0.475*44/12</f>
        <v>0.93047019939134301</v>
      </c>
      <c r="EX92" s="21">
        <f>EXP(-LN(2)/2)*EX91+(1-EXP(-LN(2)/2))/(LN(2)/2)*ER92*EU92*VLOOKUP('Données projet'!$B$15,Paramètres!$A$1:$I$89,3,0)*0.475*44/12</f>
        <v>8.0523009345974874E-9</v>
      </c>
      <c r="EY92" s="22">
        <f t="shared" si="75"/>
        <v>1.2000703090298932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-8.5265128291212022E-14</v>
      </c>
      <c r="FF92" s="17">
        <f>FE92*VLOOKUP('Données projet'!$B$16,Paramètres!$A$1:$I$89,3,0)*VLOOKUP('Données projet'!$B$16,Paramètres!$A$1:$I$89,5,0)</f>
        <v>-6.2516392063116648E-14</v>
      </c>
      <c r="FG92" s="13" t="e">
        <f t="shared" si="101"/>
        <v>#NUM!</v>
      </c>
      <c r="FH92" s="20" t="e">
        <f t="shared" si="76"/>
        <v>#NUM!</v>
      </c>
      <c r="FI92" s="59" t="e">
        <f t="shared" si="77"/>
        <v>#NUM!</v>
      </c>
      <c r="FJ92" s="59">
        <f ca="1">AVERAGE(OFFSET($FI$3,0,0,'Données projet'!$E$16+1,1))-AVERAGE(OFFSET($H$3,0,0,'Données projet'!$E$16+1,1))</f>
        <v>124.15919323713428</v>
      </c>
      <c r="FK92" s="59">
        <f t="shared" si="102"/>
        <v>157.85954678210715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0</v>
      </c>
      <c r="FR92" s="21">
        <f>EXP(-LN(2)/25)*FR91+(1-EXP(-LN(2)/25))/(LN(2)/25)*Calculateur!FM92*Calculateur!FO92*VLOOKUP('Données projet'!$B$16,Paramètres!$A$1:$I$89,3,0)*0.475*44/12</f>
        <v>0.97909565502670082</v>
      </c>
      <c r="FS92" s="21">
        <f>EXP(-LN(2)/2)*FS91+(1-EXP(-LN(2)/2))/(LN(2)/2)*FM92*FP92*VLOOKUP('Données projet'!$B$16,Paramètres!$A$1:$I$89,3,0)*0.475*44/12</f>
        <v>9.7166052453418111E-9</v>
      </c>
      <c r="FT92" s="22">
        <f t="shared" si="78"/>
        <v>0.97909566474330612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296</v>
      </c>
      <c r="L93" s="12">
        <f>VLOOKUP(A93,'Données projet'!$A$35:$I$55,9,0)</f>
        <v>5.6</v>
      </c>
      <c r="M93" s="12">
        <f t="array" ref="M93">INDEX(L:L,MIN(IF(ISNUMBER(L93:L289),ROW(L93:L289),"")))</f>
        <v>5.6</v>
      </c>
      <c r="N93" s="13">
        <f>IF('Données projet'!$A$36&gt;35,N92+M93-V92,IF(A93&lt;'Données projet'!$A$36,$K$205^A93,IF(A93='Données projet'!$A$36,'Données projet'!$B$36,N92+M93-V92)))</f>
        <v>296.00000000000045</v>
      </c>
      <c r="O93" s="13">
        <f>N93*VLOOKUP('Données projet'!$B$9,Paramètres!$A$1:$I$89,3,0)*VLOOKUP('Données projet'!$B$9,Paramètres!$A$1:$I$89,5,0)</f>
        <v>267.82080000000042</v>
      </c>
      <c r="P93" s="13">
        <f t="shared" si="87"/>
        <v>64.38657014789743</v>
      </c>
      <c r="Q93" s="20">
        <f t="shared" si="54"/>
        <v>578.59450300758874</v>
      </c>
      <c r="R93" s="59">
        <f t="shared" si="55"/>
        <v>871.92783634092211</v>
      </c>
      <c r="S93" s="59">
        <f ca="1">AVERAGE(OFFSET($R$3,0,0,'Données projet'!$E$9+1,1))-AVERAGE(OFFSET($H$3,0,0,'Données projet'!$E$9+1,1))</f>
        <v>237.22177246688199</v>
      </c>
      <c r="T93" s="59">
        <f t="shared" si="88"/>
        <v>149.27472147904302</v>
      </c>
      <c r="U93" s="15">
        <f>IF(ISNA(VLOOKUP(A93,'Données projet'!$A$35:$I$55,3,0)),0,VLOOKUP(A93,'Données projet'!$A$35:$I$55,3,0))</f>
        <v>7</v>
      </c>
      <c r="V93" s="15">
        <f>IF(ISNA(VLOOKUP(A93,'Données projet'!$A$35:$I$55,4,0)),0,VLOOKUP(A93,'Données projet'!$A$35:$I$55,4,0))</f>
        <v>42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</v>
      </c>
      <c r="AA93" s="21">
        <f>EXP(-LN(2)/25)*AA92+(1-EXP(-LN(2)/25))/(LN(2)/25)*Calculateur!V93*Calculateur!X93*VLOOKUP('Données projet'!$B$9,Paramètres!$A$1:$I$89,3,0)*0.475*44/12</f>
        <v>0.58846524282499868</v>
      </c>
      <c r="AB93" s="21">
        <f>EXP(-LN(2)/2)*AB92+(1-EXP(-LN(2)/2))/(LN(2)/2)*V93*Y93*VLOOKUP('Données projet'!$B$9,Paramètres!$A$1:$I$89,3,0)*0.475*44/12</f>
        <v>5.7642793789770708E-9</v>
      </c>
      <c r="AC93" s="22">
        <f t="shared" si="57"/>
        <v>0.58846524858927807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225</v>
      </c>
      <c r="AG93" s="12">
        <f>VLOOKUP(A93,'Données projet'!$A$61:$I$81,9,0)</f>
        <v>2.5</v>
      </c>
      <c r="AH93" s="12">
        <f t="array" ref="AH93">INDEX(AG:AG,MIN(IF(ISNUMBER(AG93:AG289),ROW(AG93:AG289),"")))</f>
        <v>2.5</v>
      </c>
      <c r="AI93" s="13">
        <f>IF('Données projet'!$A$62&gt;35,AI92+AH93-AQ92,IF(A93&lt;'Données projet'!$A$62,$AF$205^A93,IF(A93='Données projet'!$A$62,'Données projet'!$B$62,AI92+AH93-AQ92)))</f>
        <v>224.99999999999991</v>
      </c>
      <c r="AJ93" s="13">
        <f>AI93*VLOOKUP('Données projet'!$B$10,Paramètres!$A$1:$I$89,3,0)*VLOOKUP('Données projet'!$B$10,Paramètres!$A$1:$I$89,5,0)</f>
        <v>196.55999999999995</v>
      </c>
      <c r="AK93" s="13">
        <f t="shared" si="89"/>
        <v>48.987398161128091</v>
      </c>
      <c r="AL93" s="20">
        <f t="shared" si="58"/>
        <v>427.66171846396463</v>
      </c>
      <c r="AM93" s="59">
        <f t="shared" si="59"/>
        <v>720.99505179729795</v>
      </c>
      <c r="AN93" s="59">
        <f ca="1">AVERAGE(OFFSET($AM$3,0,0,'Données projet'!$E$10+1,1))-AVERAGE(OFFSET($H$3,0,0,'Données projet'!$E$10+1,1))</f>
        <v>191.94797389630673</v>
      </c>
      <c r="AO93" s="59">
        <f t="shared" si="90"/>
        <v>273.52540822767878</v>
      </c>
      <c r="AP93" s="15">
        <f>IF(ISNA(VLOOKUP(A93,'Données projet'!$A$61:$I$81,3,0)),0,VLOOKUP(A93,'Données projet'!$A$61:$I$81,3,0))</f>
        <v>8</v>
      </c>
      <c r="AQ93" s="15">
        <f>IF(ISNA(VLOOKUP(A93,'Données projet'!$A$61:$I$81,4,0)),0,VLOOKUP(A93,'Données projet'!$A$61:$I$81,4,0))</f>
        <v>225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0.78463641465519884</v>
      </c>
      <c r="AV93" s="21">
        <f>EXP(-LN(2)/25)*AV92+(1-EXP(-LN(2)/25))/(LN(2)/25)*Calculateur!AQ93*Calculateur!AS93*VLOOKUP('Données projet'!$B$10,Paramètres!$A$1:$I$89,3,0)*0.475*44/12</f>
        <v>2.661626909107325</v>
      </c>
      <c r="AW93" s="21">
        <f>EXP(-LN(2)/2)*AW92+(1-EXP(-LN(2)/2))/(LN(2)/2)*AQ93*AT93*VLOOKUP('Données projet'!$B$10,Paramètres!$A$1:$I$89,3,0)*0.475*44/12</f>
        <v>2.1609536297311424E-8</v>
      </c>
      <c r="AX93" s="21">
        <f t="shared" si="60"/>
        <v>3.4462633453720604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>
        <f>BD93*VLOOKUP('Données projet'!$B$11,Paramètres!$A$1:$I$89,3,0)*VLOOKUP('Données projet'!$B$11,Paramètres!$A$1:$I$89,5,0)</f>
        <v>0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72.647148358003676</v>
      </c>
      <c r="BJ93" s="59">
        <f t="shared" si="92"/>
        <v>87.231299224620898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0.38779284600341113</v>
      </c>
      <c r="BQ93" s="21">
        <f>EXP(-LN(2)/25)*BQ92+(1-EXP(-LN(2)/25))/(LN(2)/25)*Calculateur!BL93*Calculateur!BN93*VLOOKUP('Données projet'!$B$11,Paramètres!$A$1:$I$89,3,0)*0.475*44/12</f>
        <v>0.85848821195567371</v>
      </c>
      <c r="BR93" s="21">
        <f>EXP(-LN(2)/2)*BR92+(1-EXP(-LN(2)/2))/(LN(2)/2)*BL93*BO93*VLOOKUP('Données projet'!$B$11,Paramètres!$A$1:$I$89,3,0)*0.475*44/12</f>
        <v>2.1242500434357536E-9</v>
      </c>
      <c r="BS93" s="22">
        <f t="shared" si="63"/>
        <v>1.2462810600833349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5.6843418860808015E-14</v>
      </c>
      <c r="BZ93" s="13">
        <f>BY93*VLOOKUP('Données projet'!$B$12,Paramètres!$A$1:$I$89,3,0)*VLOOKUP('Données projet'!$B$12,Paramètres!$A$1:$I$89,5,0)</f>
        <v>3.3992364478763198E-14</v>
      </c>
      <c r="CA93" s="13">
        <f t="shared" si="93"/>
        <v>5.790027782444094E-13</v>
      </c>
      <c r="CB93" s="20">
        <f t="shared" si="64"/>
        <v>1.0676332069095257E-12</v>
      </c>
      <c r="CC93" s="59">
        <f t="shared" si="65"/>
        <v>293.33333333333439</v>
      </c>
      <c r="CD93" s="59">
        <f ca="1">AVERAGE(OFFSET($CC$3,0,0,'Données projet'!$E$12+1,1))-AVERAGE(OFFSET($H$3,0,0,'Données projet'!$E$12+1,1))</f>
        <v>165.39579887388538</v>
      </c>
      <c r="CE93" s="59">
        <f t="shared" si="94"/>
        <v>155.89639262545802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</v>
      </c>
      <c r="CL93" s="21">
        <f>EXP(-LN(2)/25)*CL92+(1-EXP(-LN(2)/25))/(LN(2)/25)*Calculateur!CG93*Calculateur!CI93*VLOOKUP('Données projet'!$B$12,Paramètres!$A$1:$I$89,3,0)*0.475*44/12</f>
        <v>1.3810537056814305</v>
      </c>
      <c r="CM93" s="21">
        <f>EXP(-LN(2)/2)*CM92+(1-EXP(-LN(2)/2))/(LN(2)/2)*CG93*CJ93*VLOOKUP('Données projet'!$B$12,Paramètres!$A$1:$I$89,3,0)*0.475*44/12</f>
        <v>1.2926790616826109E-8</v>
      </c>
      <c r="CN93" s="22">
        <f t="shared" si="66"/>
        <v>1.381053718608221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3.4106051316484809E-13</v>
      </c>
      <c r="CU93" s="17">
        <f>CT93*VLOOKUP('Données projet'!$B$13,Paramètres!$A$1:$I$89,3,0)*VLOOKUP('Données projet'!$B$13,Paramètres!$A$1:$I$89,5,0)</f>
        <v>2.6602720026858149E-13</v>
      </c>
      <c r="CV93" s="13">
        <f t="shared" si="95"/>
        <v>3.5662905043956649E-12</v>
      </c>
      <c r="CW93" s="20">
        <f t="shared" si="67"/>
        <v>6.6746200022902298E-12</v>
      </c>
      <c r="CX93" s="59">
        <f t="shared" si="68"/>
        <v>293.33333333333997</v>
      </c>
      <c r="CY93" s="59">
        <f ca="1">AVERAGE(OFFSET($CX$3,0,0,'Données projet'!$E$13+1,1))-AVERAGE(OFFSET($H$3,0,0,'Données projet'!$E$13+1,1))</f>
        <v>190.06335940156185</v>
      </c>
      <c r="CZ93" s="59">
        <f t="shared" si="96"/>
        <v>166.43663896839928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0</v>
      </c>
      <c r="DG93" s="21">
        <f>EXP(-LN(2)/25)*DG92+(1-EXP(-LN(2)/25))/(LN(2)/25)*Calculateur!DB93*Calculateur!DD93*VLOOKUP('Données projet'!$B$13,Paramètres!$A$1:$I$89,3,0)*0.475*44/12</f>
        <v>0.84623218755058804</v>
      </c>
      <c r="DH93" s="21">
        <f>EXP(-LN(2)/2)*DH92+(1-EXP(-LN(2)/2))/(LN(2)/2)*DB93*DE93*VLOOKUP('Données projet'!$B$13,Paramètres!$A$1:$I$89,3,0)*0.475*44/12</f>
        <v>4.9605954922161029E-9</v>
      </c>
      <c r="DI93" s="22">
        <f t="shared" si="69"/>
        <v>0.84623219251118353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>
        <f>VLOOKUP(A93,'Données projet'!$A$165:$I$185,2,0)</f>
        <v>296</v>
      </c>
      <c r="DM93" s="12">
        <f>VLOOKUP(A93,'Données projet'!$A$165:$I$185,9,0)</f>
        <v>5.6</v>
      </c>
      <c r="DN93" s="12">
        <f t="array" ref="DN93">INDEX(DM:DM,MIN(IF(ISNUMBER(DM93:DM289),ROW(DM93:DM289),"")))</f>
        <v>5.6</v>
      </c>
      <c r="DO93" s="12">
        <f>IF('Données projet'!$A$166&gt;35,DO92+DN93-DW92,IF(A93&lt;'Données projet'!$A$166,$DL$205^A93,IF(A93='Données projet'!$A$166,'Données projet'!$B$166,DO92+DN93-DW92)))</f>
        <v>296.00000000000045</v>
      </c>
      <c r="DP93" s="17">
        <f>DO93*VLOOKUP('Données projet'!$B$14,Paramètres!$A$1:$I$89,3,0)*VLOOKUP('Données projet'!$B$14,Paramètres!$A$1:$I$89,5,0)</f>
        <v>286.29120000000046</v>
      </c>
      <c r="DQ93" s="13">
        <f t="shared" si="97"/>
        <v>68.294796094604521</v>
      </c>
      <c r="DR93" s="20">
        <f t="shared" si="70"/>
        <v>617.57060986477029</v>
      </c>
      <c r="DS93" s="59">
        <f t="shared" si="71"/>
        <v>910.90394319810366</v>
      </c>
      <c r="DT93" s="59">
        <f ca="1">AVERAGE(OFFSET($DS$3,0,0,'Données projet'!$E$14+1,1))-AVERAGE(OFFSET($H$3,0,0,'Données projet'!$E$14+1,1))</f>
        <v>261.22357949323879</v>
      </c>
      <c r="DU93" s="59">
        <f t="shared" si="98"/>
        <v>163.41029152029387</v>
      </c>
      <c r="DV93" s="15">
        <f>IF(ISNA(VLOOKUP(A93,'Données projet'!$A$165:$I$185,3,0)),0,VLOOKUP(A93,'Données projet'!$A$165:$I$185,3,0))</f>
        <v>7</v>
      </c>
      <c r="DW93" s="15">
        <f>IF(ISNA(VLOOKUP(A93,'Données projet'!$A$165:$I$185,4,0)),0,VLOOKUP(A93,'Données projet'!$A$165:$I$185,4,0))</f>
        <v>42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0</v>
      </c>
      <c r="EB93" s="21">
        <f>EXP(-LN(2)/25)*EB92+(1-EXP(-LN(2)/25))/(LN(2)/25)*Calculateur!DW93*Calculateur!DY93*VLOOKUP('Données projet'!$B$14,Paramètres!$A$1:$I$89,3,0)*0.475*44/12</f>
        <v>0.62904905267499855</v>
      </c>
      <c r="EC93" s="21">
        <f>EXP(-LN(2)/2)*EC92+(1-EXP(-LN(2)/2))/(LN(2)/2)*DW93*DZ93*VLOOKUP('Données projet'!$B$14,Paramètres!$A$1:$I$89,3,0)*0.475*44/12</f>
        <v>6.1618158878720401E-9</v>
      </c>
      <c r="ED93" s="22">
        <f t="shared" si="72"/>
        <v>0.62904905883681439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>
        <f>VLOOKUP(A93,'Données projet'!$A$191:$I$211,2,0)</f>
        <v>371.2</v>
      </c>
      <c r="EH93" s="12">
        <f>VLOOKUP(A93,'Données projet'!$A$191:$I$211,9,0)</f>
        <v>8.3000000000000007</v>
      </c>
      <c r="EI93" s="12">
        <f t="array" ref="EI93">INDEX(EH:EH,MIN(IF(ISNUMBER(EH93:EH289),ROW(EH93:EH289),"")))</f>
        <v>8.3000000000000007</v>
      </c>
      <c r="EJ93" s="12">
        <f>IF('Données projet'!$A$192&gt;35,EJ92+EI93-ER92,IF(A93&lt;'Données projet'!$A$192,$EG$205^A93,IF(A93='Données projet'!$A$192,'Données projet'!$B$192,EJ92+EI93-ER92)))</f>
        <v>371.19999999999993</v>
      </c>
      <c r="EK93" s="17">
        <f>EJ93*VLOOKUP('Données projet'!$B$15,Paramètres!$A$1:$I$89,3,0)*VLOOKUP('Données projet'!$B$15,Paramètres!$A$1:$I$89,5,0)</f>
        <v>173.72159999999997</v>
      </c>
      <c r="EL93" s="13">
        <f t="shared" si="99"/>
        <v>43.922484755075111</v>
      </c>
      <c r="EM93" s="20">
        <f t="shared" si="73"/>
        <v>379.06344761508905</v>
      </c>
      <c r="EN93" s="59">
        <f t="shared" si="74"/>
        <v>672.39678094842236</v>
      </c>
      <c r="EO93" s="59">
        <f ca="1">AVERAGE(OFFSET($EN$3,0,0,'Données projet'!$E$15+1,1))-AVERAGE(OFFSET($H$3,0,0,'Données projet'!$E$15+1,1))</f>
        <v>123.60520571614535</v>
      </c>
      <c r="EP93" s="59">
        <f t="shared" si="100"/>
        <v>119.00926870519527</v>
      </c>
      <c r="EQ93" s="15">
        <f>IF(ISNA(VLOOKUP(A93,'Données projet'!$A$191:$I$211,3,0)),0,VLOOKUP(A93,'Données projet'!$A$191:$I$211,3,0))</f>
        <v>8</v>
      </c>
      <c r="ER93" s="15">
        <f>IF(ISNA(VLOOKUP(A93,'Données projet'!$A$191:$I$211,4,0)),0,VLOOKUP(A93,'Données projet'!$A$191:$I$211,4,0))</f>
        <v>46.3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0.26431340803396786</v>
      </c>
      <c r="EW93" s="21">
        <f>EXP(-LN(2)/25)*EW92+(1-EXP(-LN(2)/25))/(LN(2)/25)*Calculateur!ER93*Calculateur!ET93*VLOOKUP('Données projet'!$B$15,Paramètres!$A$1:$I$89,3,0)*0.475*44/12</f>
        <v>0.90502644285768552</v>
      </c>
      <c r="EX93" s="21">
        <f>EXP(-LN(2)/2)*EX92+(1-EXP(-LN(2)/2))/(LN(2)/2)*ER93*EU93*VLOOKUP('Données projet'!$B$15,Paramètres!$A$1:$I$89,3,0)*0.475*44/12</f>
        <v>5.6938365950086578E-9</v>
      </c>
      <c r="EY93" s="22">
        <f t="shared" si="75"/>
        <v>1.16933985658549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-8.5265128291212022E-14</v>
      </c>
      <c r="FF93" s="17">
        <f>FE93*VLOOKUP('Données projet'!$B$16,Paramètres!$A$1:$I$89,3,0)*VLOOKUP('Données projet'!$B$16,Paramètres!$A$1:$I$89,5,0)</f>
        <v>-6.2516392063116648E-14</v>
      </c>
      <c r="FG93" s="13" t="e">
        <f t="shared" si="101"/>
        <v>#NUM!</v>
      </c>
      <c r="FH93" s="20" t="e">
        <f t="shared" si="76"/>
        <v>#NUM!</v>
      </c>
      <c r="FI93" s="59" t="e">
        <f t="shared" si="77"/>
        <v>#NUM!</v>
      </c>
      <c r="FJ93" s="59">
        <f ca="1">AVERAGE(OFFSET($FI$3,0,0,'Données projet'!$E$16+1,1))-AVERAGE(OFFSET($H$3,0,0,'Données projet'!$E$16+1,1))</f>
        <v>124.15919323713428</v>
      </c>
      <c r="FK93" s="59">
        <f t="shared" si="102"/>
        <v>157.85954678210715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0</v>
      </c>
      <c r="FR93" s="21">
        <f>EXP(-LN(2)/25)*FR92+(1-EXP(-LN(2)/25))/(LN(2)/25)*Calculateur!FM93*Calculateur!FO93*VLOOKUP('Données projet'!$B$16,Paramètres!$A$1:$I$89,3,0)*0.475*44/12</f>
        <v>0.9523222328515929</v>
      </c>
      <c r="FS93" s="21">
        <f>EXP(-LN(2)/2)*FS92+(1-EXP(-LN(2)/2))/(LN(2)/2)*FM93*FP93*VLOOKUP('Données projet'!$B$16,Paramètres!$A$1:$I$89,3,0)*0.475*44/12</f>
        <v>6.8706774590939721E-9</v>
      </c>
      <c r="FT93" s="22">
        <f t="shared" si="78"/>
        <v>0.95232223972227037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4.9000000000000004</v>
      </c>
      <c r="N94" s="13">
        <f>IF('Données projet'!$A$36&gt;35,N93+M94-V93,IF(A94&lt;'Données projet'!$A$36,$K$205^A94,IF(A94='Données projet'!$A$36,'Données projet'!$B$36,N93+M94-V93)))</f>
        <v>258.90000000000043</v>
      </c>
      <c r="O94" s="13">
        <f>N94*VLOOKUP('Données projet'!$B$9,Paramètres!$A$1:$I$89,3,0)*VLOOKUP('Données projet'!$B$9,Paramètres!$A$1:$I$89,5,0)</f>
        <v>234.25272000000038</v>
      </c>
      <c r="P94" s="13">
        <f t="shared" si="87"/>
        <v>57.2012362311714</v>
      </c>
      <c r="Q94" s="20">
        <f t="shared" si="54"/>
        <v>507.61564043595746</v>
      </c>
      <c r="R94" s="59">
        <f t="shared" si="55"/>
        <v>800.94897376929077</v>
      </c>
      <c r="S94" s="59">
        <f ca="1">AVERAGE(OFFSET($R$3,0,0,'Données projet'!$E$9+1,1))-AVERAGE(OFFSET($H$3,0,0,'Données projet'!$E$9+1,1))</f>
        <v>237.22177246688199</v>
      </c>
      <c r="T94" s="59">
        <f t="shared" si="88"/>
        <v>149.27472147904302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</v>
      </c>
      <c r="AA94" s="21">
        <f>EXP(-LN(2)/25)*AA93+(1-EXP(-LN(2)/25))/(LN(2)/25)*Calculateur!V94*Calculateur!X94*VLOOKUP('Données projet'!$B$9,Paramètres!$A$1:$I$89,3,0)*0.475*44/12</f>
        <v>0.57237362981390694</v>
      </c>
      <c r="AB94" s="21">
        <f>EXP(-LN(2)/2)*AB93+(1-EXP(-LN(2)/2))/(LN(2)/2)*V94*Y94*VLOOKUP('Données projet'!$B$9,Paramètres!$A$1:$I$89,3,0)*0.475*44/12</f>
        <v>4.0759610375284676E-9</v>
      </c>
      <c r="AC94" s="22">
        <f t="shared" si="57"/>
        <v>0.57237363388986795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-8.5265128291212022E-14</v>
      </c>
      <c r="AJ94" s="13">
        <f>AI94*VLOOKUP('Données projet'!$B$10,Paramètres!$A$1:$I$89,3,0)*VLOOKUP('Données projet'!$B$10,Paramètres!$A$1:$I$89,5,0)</f>
        <v>-7.4487616075202836E-14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191.94797389630673</v>
      </c>
      <c r="AO94" s="59">
        <f t="shared" si="90"/>
        <v>273.52540822767878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0.7692501731447674</v>
      </c>
      <c r="AV94" s="21">
        <f>EXP(-LN(2)/25)*AV93+(1-EXP(-LN(2)/25))/(LN(2)/25)*Calculateur!AQ94*Calculateur!AS94*VLOOKUP('Données projet'!$B$10,Paramètres!$A$1:$I$89,3,0)*0.475*44/12</f>
        <v>2.5888445813089094</v>
      </c>
      <c r="AW94" s="21">
        <f>EXP(-LN(2)/2)*AW93+(1-EXP(-LN(2)/2))/(LN(2)/2)*AQ94*AT94*VLOOKUP('Données projet'!$B$10,Paramètres!$A$1:$I$89,3,0)*0.475*44/12</f>
        <v>1.5280249654125745E-8</v>
      </c>
      <c r="AX94" s="21">
        <f t="shared" si="60"/>
        <v>3.3580947697339263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>
        <f>BD94*VLOOKUP('Données projet'!$B$11,Paramètres!$A$1:$I$89,3,0)*VLOOKUP('Données projet'!$B$11,Paramètres!$A$1:$I$89,5,0)</f>
        <v>0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72.647148358003676</v>
      </c>
      <c r="BJ94" s="59">
        <f t="shared" si="92"/>
        <v>87.231299224620898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0.38018846482356489</v>
      </c>
      <c r="BQ94" s="21">
        <f>EXP(-LN(2)/25)*BQ93+(1-EXP(-LN(2)/25))/(LN(2)/25)*Calculateur!BL94*Calculateur!BN94*VLOOKUP('Données projet'!$B$11,Paramètres!$A$1:$I$89,3,0)*0.475*44/12</f>
        <v>0.83501280665381283</v>
      </c>
      <c r="BR94" s="21">
        <f>EXP(-LN(2)/2)*BR93+(1-EXP(-LN(2)/2))/(LN(2)/2)*BL94*BO94*VLOOKUP('Données projet'!$B$11,Paramètres!$A$1:$I$89,3,0)*0.475*44/12</f>
        <v>1.5020716106492395E-9</v>
      </c>
      <c r="BS94" s="22">
        <f t="shared" si="63"/>
        <v>1.2152012729794492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5.6843418860808015E-14</v>
      </c>
      <c r="BZ94" s="13">
        <f>BY94*VLOOKUP('Données projet'!$B$12,Paramètres!$A$1:$I$89,3,0)*VLOOKUP('Données projet'!$B$12,Paramètres!$A$1:$I$89,5,0)</f>
        <v>3.3992364478763198E-14</v>
      </c>
      <c r="CA94" s="13">
        <f t="shared" si="93"/>
        <v>5.790027782444094E-13</v>
      </c>
      <c r="CB94" s="20">
        <f t="shared" si="64"/>
        <v>1.0676332069095257E-12</v>
      </c>
      <c r="CC94" s="59">
        <f t="shared" si="65"/>
        <v>293.33333333333439</v>
      </c>
      <c r="CD94" s="59">
        <f ca="1">AVERAGE(OFFSET($CC$3,0,0,'Données projet'!$E$12+1,1))-AVERAGE(OFFSET($H$3,0,0,'Données projet'!$E$12+1,1))</f>
        <v>165.39579887388538</v>
      </c>
      <c r="CE94" s="59">
        <f t="shared" si="94"/>
        <v>155.89639262545802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</v>
      </c>
      <c r="CL94" s="21">
        <f>EXP(-LN(2)/25)*CL93+(1-EXP(-LN(2)/25))/(LN(2)/25)*Calculateur!CG94*Calculateur!CI94*VLOOKUP('Données projet'!$B$12,Paramètres!$A$1:$I$89,3,0)*0.475*44/12</f>
        <v>1.3432887194731138</v>
      </c>
      <c r="CM94" s="21">
        <f>EXP(-LN(2)/2)*CM93+(1-EXP(-LN(2)/2))/(LN(2)/2)*CG94*CJ94*VLOOKUP('Données projet'!$B$12,Paramètres!$A$1:$I$89,3,0)*0.475*44/12</f>
        <v>9.1406213041363752E-9</v>
      </c>
      <c r="CN94" s="22">
        <f t="shared" si="66"/>
        <v>1.3432887286137352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3.4106051316484809E-13</v>
      </c>
      <c r="CU94" s="17">
        <f>CT94*VLOOKUP('Données projet'!$B$13,Paramètres!$A$1:$I$89,3,0)*VLOOKUP('Données projet'!$B$13,Paramètres!$A$1:$I$89,5,0)</f>
        <v>2.6602720026858149E-13</v>
      </c>
      <c r="CV94" s="13">
        <f t="shared" si="95"/>
        <v>3.5662905043956649E-12</v>
      </c>
      <c r="CW94" s="20">
        <f t="shared" si="67"/>
        <v>6.6746200022902298E-12</v>
      </c>
      <c r="CX94" s="59">
        <f t="shared" si="68"/>
        <v>293.33333333333997</v>
      </c>
      <c r="CY94" s="59">
        <f ca="1">AVERAGE(OFFSET($CX$3,0,0,'Données projet'!$E$13+1,1))-AVERAGE(OFFSET($H$3,0,0,'Données projet'!$E$13+1,1))</f>
        <v>190.06335940156185</v>
      </c>
      <c r="CZ94" s="59">
        <f t="shared" si="96"/>
        <v>166.43663896839928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0</v>
      </c>
      <c r="DG94" s="21">
        <f>EXP(-LN(2)/25)*DG93+(1-EXP(-LN(2)/25))/(LN(2)/25)*Calculateur!DB94*Calculateur!DD94*VLOOKUP('Données projet'!$B$13,Paramètres!$A$1:$I$89,3,0)*0.475*44/12</f>
        <v>0.8230919238806006</v>
      </c>
      <c r="DH94" s="21">
        <f>EXP(-LN(2)/2)*DH93+(1-EXP(-LN(2)/2))/(LN(2)/2)*DB94*DE94*VLOOKUP('Données projet'!$B$13,Paramètres!$A$1:$I$89,3,0)*0.475*44/12</f>
        <v>3.5076707112694259E-9</v>
      </c>
      <c r="DI94" s="22">
        <f t="shared" si="69"/>
        <v>0.8230919273882713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4.9000000000000004</v>
      </c>
      <c r="DO94" s="12">
        <f>IF('Données projet'!$A$166&gt;35,DO93+DN94-DW93,IF(A94&lt;'Données projet'!$A$166,$DL$205^A94,IF(A94='Données projet'!$A$166,'Données projet'!$B$166,DO93+DN94-DW93)))</f>
        <v>258.90000000000043</v>
      </c>
      <c r="DP94" s="17">
        <f>DO94*VLOOKUP('Données projet'!$B$14,Paramètres!$A$1:$I$89,3,0)*VLOOKUP('Données projet'!$B$14,Paramètres!$A$1:$I$89,5,0)</f>
        <v>250.40808000000041</v>
      </c>
      <c r="DQ94" s="13">
        <f t="shared" si="97"/>
        <v>60.673316745925817</v>
      </c>
      <c r="DR94" s="20">
        <f t="shared" si="70"/>
        <v>541.80009933248812</v>
      </c>
      <c r="DS94" s="59">
        <f t="shared" si="71"/>
        <v>835.13343266582137</v>
      </c>
      <c r="DT94" s="59">
        <f ca="1">AVERAGE(OFFSET($DS$3,0,0,'Données projet'!$E$14+1,1))-AVERAGE(OFFSET($H$3,0,0,'Données projet'!$E$14+1,1))</f>
        <v>261.22357949323879</v>
      </c>
      <c r="DU94" s="59">
        <f t="shared" si="98"/>
        <v>163.41029152029387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0</v>
      </c>
      <c r="EB94" s="21">
        <f>EXP(-LN(2)/25)*EB93+(1-EXP(-LN(2)/25))/(LN(2)/25)*Calculateur!DW94*Calculateur!DY94*VLOOKUP('Données projet'!$B$14,Paramètres!$A$1:$I$89,3,0)*0.475*44/12</f>
        <v>0.61184767324934874</v>
      </c>
      <c r="EC94" s="21">
        <f>EXP(-LN(2)/2)*EC93+(1-EXP(-LN(2)/2))/(LN(2)/2)*DW94*DZ94*VLOOKUP('Données projet'!$B$14,Paramètres!$A$1:$I$89,3,0)*0.475*44/12</f>
        <v>4.3570617987373266E-9</v>
      </c>
      <c r="ED94" s="22">
        <f t="shared" si="72"/>
        <v>0.61184767760641057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8.3000000000000007</v>
      </c>
      <c r="EJ94" s="12">
        <f>IF('Données projet'!$A$192&gt;35,EJ93+EI94-ER93,IF(A94&lt;'Données projet'!$A$192,$EG$205^A94,IF(A94='Données projet'!$A$192,'Données projet'!$B$192,EJ93+EI94-ER93)))</f>
        <v>333.19999999999993</v>
      </c>
      <c r="EK94" s="17">
        <f>EJ94*VLOOKUP('Données projet'!$B$15,Paramètres!$A$1:$I$89,3,0)*VLOOKUP('Données projet'!$B$15,Paramètres!$A$1:$I$89,5,0)</f>
        <v>155.93759999999997</v>
      </c>
      <c r="EL94" s="13">
        <f t="shared" si="99"/>
        <v>39.924862785906342</v>
      </c>
      <c r="EM94" s="20">
        <f t="shared" si="73"/>
        <v>341.12712268545346</v>
      </c>
      <c r="EN94" s="59">
        <f t="shared" si="74"/>
        <v>634.46045601878677</v>
      </c>
      <c r="EO94" s="59">
        <f ca="1">AVERAGE(OFFSET($EN$3,0,0,'Données projet'!$E$15+1,1))-AVERAGE(OFFSET($H$3,0,0,'Données projet'!$E$15+1,1))</f>
        <v>123.60520571614535</v>
      </c>
      <c r="EP94" s="59">
        <f t="shared" si="100"/>
        <v>119.00926870519527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0.25913038331768196</v>
      </c>
      <c r="EW94" s="21">
        <f>EXP(-LN(2)/25)*EW93+(1-EXP(-LN(2)/25))/(LN(2)/25)*Calculateur!ER94*Calculateur!ET94*VLOOKUP('Données projet'!$B$15,Paramètres!$A$1:$I$89,3,0)*0.475*44/12</f>
        <v>0.8802784471844699</v>
      </c>
      <c r="EX94" s="21">
        <f>EXP(-LN(2)/2)*EX93+(1-EXP(-LN(2)/2))/(LN(2)/2)*ER94*EU94*VLOOKUP('Données projet'!$B$15,Paramètres!$A$1:$I$89,3,0)*0.475*44/12</f>
        <v>4.0261504672987437E-9</v>
      </c>
      <c r="EY94" s="22">
        <f t="shared" si="75"/>
        <v>1.1394088345283024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-8.5265128291212022E-14</v>
      </c>
      <c r="FF94" s="17">
        <f>FE94*VLOOKUP('Données projet'!$B$16,Paramètres!$A$1:$I$89,3,0)*VLOOKUP('Données projet'!$B$16,Paramètres!$A$1:$I$89,5,0)</f>
        <v>-6.2516392063116648E-14</v>
      </c>
      <c r="FG94" s="13" t="e">
        <f t="shared" si="101"/>
        <v>#NUM!</v>
      </c>
      <c r="FH94" s="20" t="e">
        <f t="shared" si="76"/>
        <v>#NUM!</v>
      </c>
      <c r="FI94" s="59" t="e">
        <f t="shared" si="77"/>
        <v>#NUM!</v>
      </c>
      <c r="FJ94" s="59">
        <f ca="1">AVERAGE(OFFSET($FI$3,0,0,'Données projet'!$E$16+1,1))-AVERAGE(OFFSET($H$3,0,0,'Données projet'!$E$16+1,1))</f>
        <v>124.15919323713428</v>
      </c>
      <c r="FK94" s="59">
        <f t="shared" si="102"/>
        <v>157.85954678210715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0</v>
      </c>
      <c r="FR94" s="21">
        <f>EXP(-LN(2)/25)*FR93+(1-EXP(-LN(2)/25))/(LN(2)/25)*Calculateur!FM94*Calculateur!FO94*VLOOKUP('Données projet'!$B$16,Paramètres!$A$1:$I$89,3,0)*0.475*44/12</f>
        <v>0.92628093131381639</v>
      </c>
      <c r="FS94" s="21">
        <f>EXP(-LN(2)/2)*FS93+(1-EXP(-LN(2)/2))/(LN(2)/2)*FM94*FP94*VLOOKUP('Données projet'!$B$16,Paramètres!$A$1:$I$89,3,0)*0.475*44/12</f>
        <v>4.8583026226709056E-9</v>
      </c>
      <c r="FT94" s="22">
        <f t="shared" si="78"/>
        <v>0.92628093617211904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4.9000000000000004</v>
      </c>
      <c r="N95" s="13">
        <f>IF('Données projet'!$A$36&gt;35,N94+M95-V94,IF(A95&lt;'Données projet'!$A$36,$K$205^A95,IF(A95='Données projet'!$A$36,'Données projet'!$B$36,N94+M95-V94)))</f>
        <v>263.80000000000041</v>
      </c>
      <c r="O95" s="13">
        <f>N95*VLOOKUP('Données projet'!$B$9,Paramètres!$A$1:$I$89,3,0)*VLOOKUP('Données projet'!$B$9,Paramètres!$A$1:$I$89,5,0)</f>
        <v>238.68624000000034</v>
      </c>
      <c r="P95" s="13">
        <f t="shared" si="87"/>
        <v>58.156778382060978</v>
      </c>
      <c r="Q95" s="20">
        <f t="shared" si="54"/>
        <v>517.00159034875685</v>
      </c>
      <c r="R95" s="59">
        <f t="shared" si="55"/>
        <v>810.33492368209022</v>
      </c>
      <c r="S95" s="59">
        <f ca="1">AVERAGE(OFFSET($R$3,0,0,'Données projet'!$E$9+1,1))-AVERAGE(OFFSET($H$3,0,0,'Données projet'!$E$9+1,1))</f>
        <v>237.22177246688199</v>
      </c>
      <c r="T95" s="59">
        <f t="shared" si="88"/>
        <v>149.27472147904302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</v>
      </c>
      <c r="AA95" s="21">
        <f>EXP(-LN(2)/25)*AA94+(1-EXP(-LN(2)/25))/(LN(2)/25)*Calculateur!V95*Calculateur!X95*VLOOKUP('Données projet'!$B$9,Paramètres!$A$1:$I$89,3,0)*0.475*44/12</f>
        <v>0.55672204280682469</v>
      </c>
      <c r="AB95" s="21">
        <f>EXP(-LN(2)/2)*AB94+(1-EXP(-LN(2)/2))/(LN(2)/2)*V95*Y95*VLOOKUP('Données projet'!$B$9,Paramètres!$A$1:$I$89,3,0)*0.475*44/12</f>
        <v>2.8821396894885354E-9</v>
      </c>
      <c r="AC95" s="22">
        <f t="shared" si="57"/>
        <v>0.55672204568896433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-8.5265128291212022E-14</v>
      </c>
      <c r="AJ95" s="13">
        <f>AI95*VLOOKUP('Données projet'!$B$10,Paramètres!$A$1:$I$89,3,0)*VLOOKUP('Données projet'!$B$10,Paramètres!$A$1:$I$89,5,0)</f>
        <v>-7.4487616075202836E-14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191.94797389630673</v>
      </c>
      <c r="AO95" s="59">
        <f t="shared" si="90"/>
        <v>273.52540822767878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0.75416564644567485</v>
      </c>
      <c r="AV95" s="21">
        <f>EXP(-LN(2)/25)*AV94+(1-EXP(-LN(2)/25))/(LN(2)/25)*Calculateur!AQ95*Calculateur!AS95*VLOOKUP('Données projet'!$B$10,Paramètres!$A$1:$I$89,3,0)*0.475*44/12</f>
        <v>2.5180524900915975</v>
      </c>
      <c r="AW95" s="21">
        <f>EXP(-LN(2)/2)*AW94+(1-EXP(-LN(2)/2))/(LN(2)/2)*AQ95*AT95*VLOOKUP('Données projet'!$B$10,Paramètres!$A$1:$I$89,3,0)*0.475*44/12</f>
        <v>1.0804768148655712E-8</v>
      </c>
      <c r="AX95" s="21">
        <f t="shared" si="60"/>
        <v>3.2722181473420404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>
        <f>BD95*VLOOKUP('Données projet'!$B$11,Paramètres!$A$1:$I$89,3,0)*VLOOKUP('Données projet'!$B$11,Paramètres!$A$1:$I$89,5,0)</f>
        <v>0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72.647148358003676</v>
      </c>
      <c r="BJ95" s="59">
        <f t="shared" si="92"/>
        <v>87.231299224620898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0.37273320092044088</v>
      </c>
      <c r="BQ95" s="21">
        <f>EXP(-LN(2)/25)*BQ94+(1-EXP(-LN(2)/25))/(LN(2)/25)*Calculateur!BL95*Calculateur!BN95*VLOOKUP('Données projet'!$B$11,Paramètres!$A$1:$I$89,3,0)*0.475*44/12</f>
        <v>0.81217933754444926</v>
      </c>
      <c r="BR95" s="21">
        <f>EXP(-LN(2)/2)*BR94+(1-EXP(-LN(2)/2))/(LN(2)/2)*BL95*BO95*VLOOKUP('Données projet'!$B$11,Paramètres!$A$1:$I$89,3,0)*0.475*44/12</f>
        <v>1.0621250217178768E-9</v>
      </c>
      <c r="BS95" s="22">
        <f t="shared" si="63"/>
        <v>1.1849125395270153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5.6843418860808015E-14</v>
      </c>
      <c r="BZ95" s="13">
        <f>BY95*VLOOKUP('Données projet'!$B$12,Paramètres!$A$1:$I$89,3,0)*VLOOKUP('Données projet'!$B$12,Paramètres!$A$1:$I$89,5,0)</f>
        <v>3.3992364478763198E-14</v>
      </c>
      <c r="CA95" s="13">
        <f t="shared" si="93"/>
        <v>5.790027782444094E-13</v>
      </c>
      <c r="CB95" s="20">
        <f t="shared" si="64"/>
        <v>1.0676332069095257E-12</v>
      </c>
      <c r="CC95" s="59">
        <f t="shared" si="65"/>
        <v>293.33333333333439</v>
      </c>
      <c r="CD95" s="59">
        <f ca="1">AVERAGE(OFFSET($CC$3,0,0,'Données projet'!$E$12+1,1))-AVERAGE(OFFSET($H$3,0,0,'Données projet'!$E$12+1,1))</f>
        <v>165.39579887388538</v>
      </c>
      <c r="CE95" s="59">
        <f t="shared" si="94"/>
        <v>155.89639262545802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</v>
      </c>
      <c r="CL95" s="21">
        <f>EXP(-LN(2)/25)*CL94+(1-EXP(-LN(2)/25))/(LN(2)/25)*Calculateur!CG95*Calculateur!CI95*VLOOKUP('Données projet'!$B$12,Paramètres!$A$1:$I$89,3,0)*0.475*44/12</f>
        <v>1.3065564187986378</v>
      </c>
      <c r="CM95" s="21">
        <f>EXP(-LN(2)/2)*CM94+(1-EXP(-LN(2)/2))/(LN(2)/2)*CG95*CJ95*VLOOKUP('Données projet'!$B$12,Paramètres!$A$1:$I$89,3,0)*0.475*44/12</f>
        <v>6.4633953084130546E-9</v>
      </c>
      <c r="CN95" s="22">
        <f t="shared" si="66"/>
        <v>1.3065564252620332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3.4106051316484809E-13</v>
      </c>
      <c r="CU95" s="17">
        <f>CT95*VLOOKUP('Données projet'!$B$13,Paramètres!$A$1:$I$89,3,0)*VLOOKUP('Données projet'!$B$13,Paramètres!$A$1:$I$89,5,0)</f>
        <v>2.6602720026858149E-13</v>
      </c>
      <c r="CV95" s="13">
        <f t="shared" si="95"/>
        <v>3.5662905043956649E-12</v>
      </c>
      <c r="CW95" s="20">
        <f t="shared" si="67"/>
        <v>6.6746200022902298E-12</v>
      </c>
      <c r="CX95" s="59">
        <f t="shared" si="68"/>
        <v>293.33333333333997</v>
      </c>
      <c r="CY95" s="59">
        <f ca="1">AVERAGE(OFFSET($CX$3,0,0,'Données projet'!$E$13+1,1))-AVERAGE(OFFSET($H$3,0,0,'Données projet'!$E$13+1,1))</f>
        <v>190.06335940156185</v>
      </c>
      <c r="CZ95" s="59">
        <f t="shared" si="96"/>
        <v>166.43663896839928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0</v>
      </c>
      <c r="DG95" s="21">
        <f>EXP(-LN(2)/25)*DG94+(1-EXP(-LN(2)/25))/(LN(2)/25)*Calculateur!DB95*Calculateur!DD95*VLOOKUP('Données projet'!$B$13,Paramètres!$A$1:$I$89,3,0)*0.475*44/12</f>
        <v>0.80058443193756246</v>
      </c>
      <c r="DH95" s="21">
        <f>EXP(-LN(2)/2)*DH94+(1-EXP(-LN(2)/2))/(LN(2)/2)*DB95*DE95*VLOOKUP('Données projet'!$B$13,Paramètres!$A$1:$I$89,3,0)*0.475*44/12</f>
        <v>2.4802977461080514E-9</v>
      </c>
      <c r="DI95" s="22">
        <f t="shared" si="69"/>
        <v>0.8005844344178602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4.9000000000000004</v>
      </c>
      <c r="DO95" s="12">
        <f>IF('Données projet'!$A$166&gt;35,DO94+DN95-DW94,IF(A95&lt;'Données projet'!$A$166,$DL$205^A95,IF(A95='Données projet'!$A$166,'Données projet'!$B$166,DO94+DN95-DW94)))</f>
        <v>263.80000000000041</v>
      </c>
      <c r="DP95" s="17">
        <f>DO95*VLOOKUP('Données projet'!$B$14,Paramètres!$A$1:$I$89,3,0)*VLOOKUP('Données projet'!$B$14,Paramètres!$A$1:$I$89,5,0)</f>
        <v>255.14736000000039</v>
      </c>
      <c r="DQ95" s="13">
        <f t="shared" si="97"/>
        <v>61.686859728645757</v>
      </c>
      <c r="DR95" s="20">
        <f t="shared" si="70"/>
        <v>551.81959936072542</v>
      </c>
      <c r="DS95" s="59">
        <f t="shared" si="71"/>
        <v>845.15293269405879</v>
      </c>
      <c r="DT95" s="59">
        <f ca="1">AVERAGE(OFFSET($DS$3,0,0,'Données projet'!$E$14+1,1))-AVERAGE(OFFSET($H$3,0,0,'Données projet'!$E$14+1,1))</f>
        <v>261.22357949323879</v>
      </c>
      <c r="DU95" s="59">
        <f t="shared" si="98"/>
        <v>163.41029152029387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0</v>
      </c>
      <c r="EB95" s="21">
        <f>EXP(-LN(2)/25)*EB94+(1-EXP(-LN(2)/25))/(LN(2)/25)*Calculateur!DW95*Calculateur!DY95*VLOOKUP('Données projet'!$B$14,Paramètres!$A$1:$I$89,3,0)*0.475*44/12</f>
        <v>0.59511666644867456</v>
      </c>
      <c r="EC95" s="21">
        <f>EXP(-LN(2)/2)*EC94+(1-EXP(-LN(2)/2))/(LN(2)/2)*DW95*DZ95*VLOOKUP('Données projet'!$B$14,Paramètres!$A$1:$I$89,3,0)*0.475*44/12</f>
        <v>3.08090794393602E-9</v>
      </c>
      <c r="ED95" s="22">
        <f t="shared" si="72"/>
        <v>0.59511666952958253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8.3000000000000007</v>
      </c>
      <c r="EJ95" s="12">
        <f>IF('Données projet'!$A$192&gt;35,EJ94+EI95-ER94,IF(A95&lt;'Données projet'!$A$192,$EG$205^A95,IF(A95='Données projet'!$A$192,'Données projet'!$B$192,EJ94+EI95-ER94)))</f>
        <v>341.49999999999994</v>
      </c>
      <c r="EK95" s="17">
        <f>EJ95*VLOOKUP('Données projet'!$B$15,Paramètres!$A$1:$I$89,3,0)*VLOOKUP('Données projet'!$B$15,Paramètres!$A$1:$I$89,5,0)</f>
        <v>159.82199999999997</v>
      </c>
      <c r="EL95" s="13">
        <f t="shared" si="99"/>
        <v>40.8023644092533</v>
      </c>
      <c r="EM95" s="20">
        <f t="shared" si="73"/>
        <v>349.42076801278273</v>
      </c>
      <c r="EN95" s="59">
        <f t="shared" si="74"/>
        <v>642.75410134611604</v>
      </c>
      <c r="EO95" s="59">
        <f ca="1">AVERAGE(OFFSET($EN$3,0,0,'Données projet'!$E$15+1,1))-AVERAGE(OFFSET($H$3,0,0,'Données projet'!$E$15+1,1))</f>
        <v>123.60520571614535</v>
      </c>
      <c r="EP95" s="59">
        <f t="shared" si="100"/>
        <v>119.00926870519527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0.2540489945547495</v>
      </c>
      <c r="EW95" s="21">
        <f>EXP(-LN(2)/25)*EW94+(1-EXP(-LN(2)/25))/(LN(2)/25)*Calculateur!ER95*Calculateur!ET95*VLOOKUP('Données projet'!$B$15,Paramètres!$A$1:$I$89,3,0)*0.475*44/12</f>
        <v>0.8562071867543789</v>
      </c>
      <c r="EX95" s="21">
        <f>EXP(-LN(2)/2)*EX94+(1-EXP(-LN(2)/2))/(LN(2)/2)*ER95*EU95*VLOOKUP('Données projet'!$B$15,Paramètres!$A$1:$I$89,3,0)*0.475*44/12</f>
        <v>2.8469182975043289E-9</v>
      </c>
      <c r="EY95" s="22">
        <f t="shared" si="75"/>
        <v>1.1102561841560465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-8.5265128291212022E-14</v>
      </c>
      <c r="FF95" s="17">
        <f>FE95*VLOOKUP('Données projet'!$B$16,Paramètres!$A$1:$I$89,3,0)*VLOOKUP('Données projet'!$B$16,Paramètres!$A$1:$I$89,5,0)</f>
        <v>-6.2516392063116648E-14</v>
      </c>
      <c r="FG95" s="13" t="e">
        <f t="shared" si="101"/>
        <v>#NUM!</v>
      </c>
      <c r="FH95" s="20" t="e">
        <f t="shared" si="76"/>
        <v>#NUM!</v>
      </c>
      <c r="FI95" s="59" t="e">
        <f t="shared" si="77"/>
        <v>#NUM!</v>
      </c>
      <c r="FJ95" s="59">
        <f ca="1">AVERAGE(OFFSET($FI$3,0,0,'Données projet'!$E$16+1,1))-AVERAGE(OFFSET($H$3,0,0,'Données projet'!$E$16+1,1))</f>
        <v>124.15919323713428</v>
      </c>
      <c r="FK95" s="59">
        <f t="shared" si="102"/>
        <v>157.85954678210715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0</v>
      </c>
      <c r="FR95" s="21">
        <f>EXP(-LN(2)/25)*FR94+(1-EXP(-LN(2)/25))/(LN(2)/25)*Calculateur!FM95*Calculateur!FO95*VLOOKUP('Données projet'!$B$16,Paramètres!$A$1:$I$89,3,0)*0.475*44/12</f>
        <v>0.90095173053604294</v>
      </c>
      <c r="FS95" s="21">
        <f>EXP(-LN(2)/2)*FS94+(1-EXP(-LN(2)/2))/(LN(2)/2)*FM95*FP95*VLOOKUP('Données projet'!$B$16,Paramètres!$A$1:$I$89,3,0)*0.475*44/12</f>
        <v>3.435338729546986E-9</v>
      </c>
      <c r="FT95" s="22">
        <f t="shared" si="78"/>
        <v>0.90095173397138162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4.9000000000000004</v>
      </c>
      <c r="N96" s="13">
        <f>IF('Données projet'!$A$36&gt;35,N95+M96-V95,IF(A96&lt;'Données projet'!$A$36,$K$205^A96,IF(A96='Données projet'!$A$36,'Données projet'!$B$36,N95+M96-V95)))</f>
        <v>268.70000000000039</v>
      </c>
      <c r="O96" s="13">
        <f>N96*VLOOKUP('Données projet'!$B$9,Paramètres!$A$1:$I$89,3,0)*VLOOKUP('Données projet'!$B$9,Paramètres!$A$1:$I$89,5,0)</f>
        <v>243.11976000000033</v>
      </c>
      <c r="P96" s="13">
        <f t="shared" si="87"/>
        <v>59.110256668778582</v>
      </c>
      <c r="Q96" s="20">
        <f t="shared" si="54"/>
        <v>526.38394569812317</v>
      </c>
      <c r="R96" s="59">
        <f t="shared" si="55"/>
        <v>819.71727903145643</v>
      </c>
      <c r="S96" s="59">
        <f ca="1">AVERAGE(OFFSET($R$3,0,0,'Données projet'!$E$9+1,1))-AVERAGE(OFFSET($H$3,0,0,'Données projet'!$E$9+1,1))</f>
        <v>237.22177246688199</v>
      </c>
      <c r="T96" s="59">
        <f t="shared" si="88"/>
        <v>149.27472147904302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</v>
      </c>
      <c r="AA96" s="21">
        <f>EXP(-LN(2)/25)*AA95+(1-EXP(-LN(2)/25))/(LN(2)/25)*Calculateur!V96*Calculateur!X96*VLOOKUP('Données projet'!$B$9,Paramètres!$A$1:$I$89,3,0)*0.475*44/12</f>
        <v>0.54149844926953228</v>
      </c>
      <c r="AB96" s="21">
        <f>EXP(-LN(2)/2)*AB95+(1-EXP(-LN(2)/2))/(LN(2)/2)*V96*Y96*VLOOKUP('Données projet'!$B$9,Paramètres!$A$1:$I$89,3,0)*0.475*44/12</f>
        <v>2.0379805187642338E-9</v>
      </c>
      <c r="AC96" s="22">
        <f t="shared" si="57"/>
        <v>0.54149845130751284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-8.5265128291212022E-14</v>
      </c>
      <c r="AJ96" s="13">
        <f>AI96*VLOOKUP('Données projet'!$B$10,Paramètres!$A$1:$I$89,3,0)*VLOOKUP('Données projet'!$B$10,Paramètres!$A$1:$I$89,5,0)</f>
        <v>-7.4487616075202836E-14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191.94797389630673</v>
      </c>
      <c r="AO96" s="59">
        <f t="shared" si="90"/>
        <v>273.52540822767878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0.73937691811449868</v>
      </c>
      <c r="AV96" s="21">
        <f>EXP(-LN(2)/25)*AV95+(1-EXP(-LN(2)/25))/(LN(2)/25)*Calculateur!AQ96*Calculateur!AS96*VLOOKUP('Données projet'!$B$10,Paramètres!$A$1:$I$89,3,0)*0.475*44/12</f>
        <v>2.4491962123314175</v>
      </c>
      <c r="AW96" s="21">
        <f>EXP(-LN(2)/2)*AW95+(1-EXP(-LN(2)/2))/(LN(2)/2)*AQ96*AT96*VLOOKUP('Données projet'!$B$10,Paramètres!$A$1:$I$89,3,0)*0.475*44/12</f>
        <v>7.6401248270628724E-9</v>
      </c>
      <c r="AX96" s="21">
        <f t="shared" si="60"/>
        <v>3.1885731380860411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>
        <f>BD96*VLOOKUP('Données projet'!$B$11,Paramètres!$A$1:$I$89,3,0)*VLOOKUP('Données projet'!$B$11,Paramètres!$A$1:$I$89,5,0)</f>
        <v>0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72.647148358003676</v>
      </c>
      <c r="BJ96" s="59">
        <f t="shared" si="92"/>
        <v>87.231299224620898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0.36542413019519515</v>
      </c>
      <c r="BQ96" s="21">
        <f>EXP(-LN(2)/25)*BQ95+(1-EXP(-LN(2)/25))/(LN(2)/25)*Calculateur!BL96*Calculateur!BN96*VLOOKUP('Données projet'!$B$11,Paramètres!$A$1:$I$89,3,0)*0.475*44/12</f>
        <v>0.78997025084864125</v>
      </c>
      <c r="BR96" s="21">
        <f>EXP(-LN(2)/2)*BR95+(1-EXP(-LN(2)/2))/(LN(2)/2)*BL96*BO96*VLOOKUP('Données projet'!$B$11,Paramètres!$A$1:$I$89,3,0)*0.475*44/12</f>
        <v>7.5103580532461974E-10</v>
      </c>
      <c r="BS96" s="22">
        <f t="shared" si="63"/>
        <v>1.1553943817948722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5.6843418860808015E-14</v>
      </c>
      <c r="BZ96" s="13">
        <f>BY96*VLOOKUP('Données projet'!$B$12,Paramètres!$A$1:$I$89,3,0)*VLOOKUP('Données projet'!$B$12,Paramètres!$A$1:$I$89,5,0)</f>
        <v>3.3992364478763198E-14</v>
      </c>
      <c r="CA96" s="13">
        <f t="shared" si="93"/>
        <v>5.790027782444094E-13</v>
      </c>
      <c r="CB96" s="20">
        <f t="shared" si="64"/>
        <v>1.0676332069095257E-12</v>
      </c>
      <c r="CC96" s="59">
        <f t="shared" si="65"/>
        <v>293.33333333333439</v>
      </c>
      <c r="CD96" s="59">
        <f ca="1">AVERAGE(OFFSET($CC$3,0,0,'Données projet'!$E$12+1,1))-AVERAGE(OFFSET($H$3,0,0,'Données projet'!$E$12+1,1))</f>
        <v>165.39579887388538</v>
      </c>
      <c r="CE96" s="59">
        <f t="shared" si="94"/>
        <v>155.89639262545802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</v>
      </c>
      <c r="CL96" s="21">
        <f>EXP(-LN(2)/25)*CL95+(1-EXP(-LN(2)/25))/(LN(2)/25)*Calculateur!CG96*Calculateur!CI96*VLOOKUP('Données projet'!$B$12,Paramètres!$A$1:$I$89,3,0)*0.475*44/12</f>
        <v>1.2708285648177733</v>
      </c>
      <c r="CM96" s="21">
        <f>EXP(-LN(2)/2)*CM95+(1-EXP(-LN(2)/2))/(LN(2)/2)*CG96*CJ96*VLOOKUP('Données projet'!$B$12,Paramètres!$A$1:$I$89,3,0)*0.475*44/12</f>
        <v>4.5703106520681876E-9</v>
      </c>
      <c r="CN96" s="22">
        <f t="shared" si="66"/>
        <v>1.2708285693880839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3.4106051316484809E-13</v>
      </c>
      <c r="CU96" s="17">
        <f>CT96*VLOOKUP('Données projet'!$B$13,Paramètres!$A$1:$I$89,3,0)*VLOOKUP('Données projet'!$B$13,Paramètres!$A$1:$I$89,5,0)</f>
        <v>2.6602720026858149E-13</v>
      </c>
      <c r="CV96" s="13">
        <f t="shared" si="95"/>
        <v>3.5662905043956649E-12</v>
      </c>
      <c r="CW96" s="20">
        <f t="shared" si="67"/>
        <v>6.6746200022902298E-12</v>
      </c>
      <c r="CX96" s="59">
        <f t="shared" si="68"/>
        <v>293.33333333333997</v>
      </c>
      <c r="CY96" s="59">
        <f ca="1">AVERAGE(OFFSET($CX$3,0,0,'Données projet'!$E$13+1,1))-AVERAGE(OFFSET($H$3,0,0,'Données projet'!$E$13+1,1))</f>
        <v>190.06335940156185</v>
      </c>
      <c r="CZ96" s="59">
        <f t="shared" si="96"/>
        <v>166.43663896839928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0</v>
      </c>
      <c r="DG96" s="21">
        <f>EXP(-LN(2)/25)*DG95+(1-EXP(-LN(2)/25))/(LN(2)/25)*Calculateur!DB96*Calculateur!DD96*VLOOKUP('Données projet'!$B$13,Paramètres!$A$1:$I$89,3,0)*0.475*44/12</f>
        <v>0.77869240854532429</v>
      </c>
      <c r="DH96" s="21">
        <f>EXP(-LN(2)/2)*DH95+(1-EXP(-LN(2)/2))/(LN(2)/2)*DB96*DE96*VLOOKUP('Données projet'!$B$13,Paramètres!$A$1:$I$89,3,0)*0.475*44/12</f>
        <v>1.753835355634713E-9</v>
      </c>
      <c r="DI96" s="22">
        <f t="shared" si="69"/>
        <v>0.7786924102991597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4.9000000000000004</v>
      </c>
      <c r="DO96" s="12">
        <f>IF('Données projet'!$A$166&gt;35,DO95+DN96-DW95,IF(A96&lt;'Données projet'!$A$166,$DL$205^A96,IF(A96='Données projet'!$A$166,'Données projet'!$B$166,DO95+DN96-DW95)))</f>
        <v>268.70000000000039</v>
      </c>
      <c r="DP96" s="17">
        <f>DO96*VLOOKUP('Données projet'!$B$14,Paramètres!$A$1:$I$89,3,0)*VLOOKUP('Données projet'!$B$14,Paramètres!$A$1:$I$89,5,0)</f>
        <v>259.8866400000004</v>
      </c>
      <c r="DQ96" s="13">
        <f t="shared" si="97"/>
        <v>62.698213571884054</v>
      </c>
      <c r="DR96" s="20">
        <f t="shared" si="70"/>
        <v>561.83528663769869</v>
      </c>
      <c r="DS96" s="59">
        <f t="shared" si="71"/>
        <v>855.16861997103206</v>
      </c>
      <c r="DT96" s="59">
        <f ca="1">AVERAGE(OFFSET($DS$3,0,0,'Données projet'!$E$14+1,1))-AVERAGE(OFFSET($H$3,0,0,'Données projet'!$E$14+1,1))</f>
        <v>261.22357949323879</v>
      </c>
      <c r="DU96" s="59">
        <f t="shared" si="98"/>
        <v>163.41029152029387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0</v>
      </c>
      <c r="EB96" s="21">
        <f>EXP(-LN(2)/25)*EB95+(1-EXP(-LN(2)/25))/(LN(2)/25)*Calculateur!DW96*Calculateur!DY96*VLOOKUP('Données projet'!$B$14,Paramètres!$A$1:$I$89,3,0)*0.475*44/12</f>
        <v>0.57884316990881024</v>
      </c>
      <c r="EC96" s="21">
        <f>EXP(-LN(2)/2)*EC95+(1-EXP(-LN(2)/2))/(LN(2)/2)*DW96*DZ96*VLOOKUP('Données projet'!$B$14,Paramètres!$A$1:$I$89,3,0)*0.475*44/12</f>
        <v>2.1785308993686633E-9</v>
      </c>
      <c r="ED96" s="22">
        <f t="shared" si="72"/>
        <v>0.57884317208734115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8.3000000000000007</v>
      </c>
      <c r="EJ96" s="12">
        <f>IF('Données projet'!$A$192&gt;35,EJ95+EI96-ER95,IF(A96&lt;'Données projet'!$A$192,$EG$205^A96,IF(A96='Données projet'!$A$192,'Données projet'!$B$192,EJ95+EI96-ER95)))</f>
        <v>349.79999999999995</v>
      </c>
      <c r="EK96" s="17">
        <f>EJ96*VLOOKUP('Données projet'!$B$15,Paramètres!$A$1:$I$89,3,0)*VLOOKUP('Données projet'!$B$15,Paramètres!$A$1:$I$89,5,0)</f>
        <v>163.70639999999997</v>
      </c>
      <c r="EL96" s="13">
        <f t="shared" si="99"/>
        <v>41.677386788386073</v>
      </c>
      <c r="EM96" s="20">
        <f t="shared" si="73"/>
        <v>357.71009532310563</v>
      </c>
      <c r="EN96" s="59">
        <f t="shared" si="74"/>
        <v>651.04342865643889</v>
      </c>
      <c r="EO96" s="59">
        <f ca="1">AVERAGE(OFFSET($EN$3,0,0,'Données projet'!$E$15+1,1))-AVERAGE(OFFSET($H$3,0,0,'Données projet'!$E$15+1,1))</f>
        <v>123.60520571614535</v>
      </c>
      <c r="EP96" s="59">
        <f t="shared" si="100"/>
        <v>119.00926870519527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0.24906724872611705</v>
      </c>
      <c r="EW96" s="21">
        <f>EXP(-LN(2)/25)*EW95+(1-EXP(-LN(2)/25))/(LN(2)/25)*Calculateur!ER96*Calculateur!ET96*VLOOKUP('Données projet'!$B$15,Paramètres!$A$1:$I$89,3,0)*0.475*44/12</f>
        <v>0.83279415620660135</v>
      </c>
      <c r="EX96" s="21">
        <f>EXP(-LN(2)/2)*EX95+(1-EXP(-LN(2)/2))/(LN(2)/2)*ER96*EU96*VLOOKUP('Données projet'!$B$15,Paramètres!$A$1:$I$89,3,0)*0.475*44/12</f>
        <v>2.0130752336493719E-9</v>
      </c>
      <c r="EY96" s="22">
        <f t="shared" si="75"/>
        <v>1.0818614069457937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-8.5265128291212022E-14</v>
      </c>
      <c r="FF96" s="17">
        <f>FE96*VLOOKUP('Données projet'!$B$16,Paramètres!$A$1:$I$89,3,0)*VLOOKUP('Données projet'!$B$16,Paramètres!$A$1:$I$89,5,0)</f>
        <v>-6.2516392063116648E-14</v>
      </c>
      <c r="FG96" s="13" t="e">
        <f t="shared" si="101"/>
        <v>#NUM!</v>
      </c>
      <c r="FH96" s="20" t="e">
        <f t="shared" si="76"/>
        <v>#NUM!</v>
      </c>
      <c r="FI96" s="59" t="e">
        <f t="shared" si="77"/>
        <v>#NUM!</v>
      </c>
      <c r="FJ96" s="59">
        <f ca="1">AVERAGE(OFFSET($FI$3,0,0,'Données projet'!$E$16+1,1))-AVERAGE(OFFSET($H$3,0,0,'Données projet'!$E$16+1,1))</f>
        <v>124.15919323713428</v>
      </c>
      <c r="FK96" s="59">
        <f t="shared" si="102"/>
        <v>157.85954678210715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0</v>
      </c>
      <c r="FR96" s="21">
        <f>EXP(-LN(2)/25)*FR95+(1-EXP(-LN(2)/25))/(LN(2)/25)*Calculateur!FM96*Calculateur!FO96*VLOOKUP('Données projet'!$B$16,Paramètres!$A$1:$I$89,3,0)*0.475*44/12</f>
        <v>0.8763151580855425</v>
      </c>
      <c r="FS96" s="21">
        <f>EXP(-LN(2)/2)*FS95+(1-EXP(-LN(2)/2))/(LN(2)/2)*FM96*FP96*VLOOKUP('Données projet'!$B$16,Paramètres!$A$1:$I$89,3,0)*0.475*44/12</f>
        <v>2.4291513113354528E-9</v>
      </c>
      <c r="FT96" s="22">
        <f t="shared" si="78"/>
        <v>0.87631516051469383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4.9000000000000004</v>
      </c>
      <c r="N97" s="13">
        <f>IF('Données projet'!$A$36&gt;35,N96+M97-V96,IF(A97&lt;'Données projet'!$A$36,$K$205^A97,IF(A97='Données projet'!$A$36,'Données projet'!$B$36,N96+M97-V96)))</f>
        <v>273.60000000000036</v>
      </c>
      <c r="O97" s="13">
        <f>N97*VLOOKUP('Données projet'!$B$9,Paramètres!$A$1:$I$89,3,0)*VLOOKUP('Données projet'!$B$9,Paramètres!$A$1:$I$89,5,0)</f>
        <v>247.55328000000031</v>
      </c>
      <c r="P97" s="13">
        <f t="shared" si="87"/>
        <v>60.061713068870304</v>
      </c>
      <c r="Q97" s="20">
        <f t="shared" si="54"/>
        <v>535.76277959494962</v>
      </c>
      <c r="R97" s="59">
        <f t="shared" si="55"/>
        <v>829.09611292828299</v>
      </c>
      <c r="S97" s="59">
        <f ca="1">AVERAGE(OFFSET($R$3,0,0,'Données projet'!$E$9+1,1))-AVERAGE(OFFSET($H$3,0,0,'Données projet'!$E$9+1,1))</f>
        <v>237.22177246688199</v>
      </c>
      <c r="T97" s="59">
        <f t="shared" si="88"/>
        <v>149.27472147904302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</v>
      </c>
      <c r="AA97" s="21">
        <f>EXP(-LN(2)/25)*AA96+(1-EXP(-LN(2)/25))/(LN(2)/25)*Calculateur!V97*Calculateur!X97*VLOOKUP('Données projet'!$B$9,Paramètres!$A$1:$I$89,3,0)*0.475*44/12</f>
        <v>0.52669114569809106</v>
      </c>
      <c r="AB97" s="21">
        <f>EXP(-LN(2)/2)*AB96+(1-EXP(-LN(2)/2))/(LN(2)/2)*V97*Y97*VLOOKUP('Données projet'!$B$9,Paramètres!$A$1:$I$89,3,0)*0.475*44/12</f>
        <v>1.4410698447442677E-9</v>
      </c>
      <c r="AC97" s="22">
        <f t="shared" si="57"/>
        <v>0.52669114713916088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-8.5265128291212022E-14</v>
      </c>
      <c r="AJ97" s="13">
        <f>AI97*VLOOKUP('Données projet'!$B$10,Paramètres!$A$1:$I$89,3,0)*VLOOKUP('Données projet'!$B$10,Paramètres!$A$1:$I$89,5,0)</f>
        <v>-7.4487616075202836E-14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191.94797389630673</v>
      </c>
      <c r="AO97" s="59">
        <f t="shared" si="90"/>
        <v>273.52540822767878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0.72487818772566326</v>
      </c>
      <c r="AV97" s="21">
        <f>EXP(-LN(2)/25)*AV96+(1-EXP(-LN(2)/25))/(LN(2)/25)*Calculateur!AQ97*Calculateur!AS97*VLOOKUP('Données projet'!$B$10,Paramètres!$A$1:$I$89,3,0)*0.475*44/12</f>
        <v>2.382222813107584</v>
      </c>
      <c r="AW97" s="21">
        <f>EXP(-LN(2)/2)*AW96+(1-EXP(-LN(2)/2))/(LN(2)/2)*AQ97*AT97*VLOOKUP('Données projet'!$B$10,Paramètres!$A$1:$I$89,3,0)*0.475*44/12</f>
        <v>5.402384074327856E-9</v>
      </c>
      <c r="AX97" s="21">
        <f t="shared" si="60"/>
        <v>3.1071010062356312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>
        <f>BD97*VLOOKUP('Données projet'!$B$11,Paramètres!$A$1:$I$89,3,0)*VLOOKUP('Données projet'!$B$11,Paramètres!$A$1:$I$89,5,0)</f>
        <v>0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72.647148358003676</v>
      </c>
      <c r="BJ97" s="59">
        <f t="shared" si="92"/>
        <v>87.231299224620898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0.35825838588877856</v>
      </c>
      <c r="BQ97" s="21">
        <f>EXP(-LN(2)/25)*BQ96+(1-EXP(-LN(2)/25))/(LN(2)/25)*Calculateur!BL97*Calculateur!BN97*VLOOKUP('Données projet'!$B$11,Paramètres!$A$1:$I$89,3,0)*0.475*44/12</f>
        <v>0.76836847279645515</v>
      </c>
      <c r="BR97" s="21">
        <f>EXP(-LN(2)/2)*BR96+(1-EXP(-LN(2)/2))/(LN(2)/2)*BL97*BO97*VLOOKUP('Données projet'!$B$11,Paramètres!$A$1:$I$89,3,0)*0.475*44/12</f>
        <v>5.3106251085893839E-10</v>
      </c>
      <c r="BS97" s="22">
        <f t="shared" si="63"/>
        <v>1.1266268592162962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5.6843418860808015E-14</v>
      </c>
      <c r="BZ97" s="13">
        <f>BY97*VLOOKUP('Données projet'!$B$12,Paramètres!$A$1:$I$89,3,0)*VLOOKUP('Données projet'!$B$12,Paramètres!$A$1:$I$89,5,0)</f>
        <v>3.3992364478763198E-14</v>
      </c>
      <c r="CA97" s="13">
        <f t="shared" si="93"/>
        <v>5.790027782444094E-13</v>
      </c>
      <c r="CB97" s="20">
        <f t="shared" si="64"/>
        <v>1.0676332069095257E-12</v>
      </c>
      <c r="CC97" s="59">
        <f t="shared" si="65"/>
        <v>293.33333333333439</v>
      </c>
      <c r="CD97" s="59">
        <f ca="1">AVERAGE(OFFSET($CC$3,0,0,'Données projet'!$E$12+1,1))-AVERAGE(OFFSET($H$3,0,0,'Données projet'!$E$12+1,1))</f>
        <v>165.39579887388538</v>
      </c>
      <c r="CE97" s="59">
        <f t="shared" si="94"/>
        <v>155.89639262545802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</v>
      </c>
      <c r="CL97" s="21">
        <f>EXP(-LN(2)/25)*CL96+(1-EXP(-LN(2)/25))/(LN(2)/25)*Calculateur!CG97*Calculateur!CI97*VLOOKUP('Données projet'!$B$12,Paramètres!$A$1:$I$89,3,0)*0.475*44/12</f>
        <v>1.2360776908828617</v>
      </c>
      <c r="CM97" s="21">
        <f>EXP(-LN(2)/2)*CM96+(1-EXP(-LN(2)/2))/(LN(2)/2)*CG97*CJ97*VLOOKUP('Données projet'!$B$12,Paramètres!$A$1:$I$89,3,0)*0.475*44/12</f>
        <v>3.2316976542065273E-9</v>
      </c>
      <c r="CN97" s="22">
        <f t="shared" si="66"/>
        <v>1.2360776941145593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3.4106051316484809E-13</v>
      </c>
      <c r="CU97" s="17">
        <f>CT97*VLOOKUP('Données projet'!$B$13,Paramètres!$A$1:$I$89,3,0)*VLOOKUP('Données projet'!$B$13,Paramètres!$A$1:$I$89,5,0)</f>
        <v>2.6602720026858149E-13</v>
      </c>
      <c r="CV97" s="13">
        <f t="shared" si="95"/>
        <v>3.5662905043956649E-12</v>
      </c>
      <c r="CW97" s="20">
        <f t="shared" si="67"/>
        <v>6.6746200022902298E-12</v>
      </c>
      <c r="CX97" s="59">
        <f t="shared" si="68"/>
        <v>293.33333333333997</v>
      </c>
      <c r="CY97" s="59">
        <f ca="1">AVERAGE(OFFSET($CX$3,0,0,'Données projet'!$E$13+1,1))-AVERAGE(OFFSET($H$3,0,0,'Données projet'!$E$13+1,1))</f>
        <v>190.06335940156185</v>
      </c>
      <c r="CZ97" s="59">
        <f t="shared" si="96"/>
        <v>166.43663896839928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0</v>
      </c>
      <c r="DG97" s="21">
        <f>EXP(-LN(2)/25)*DG96+(1-EXP(-LN(2)/25))/(LN(2)/25)*Calculateur!DB97*Calculateur!DD97*VLOOKUP('Données projet'!$B$13,Paramètres!$A$1:$I$89,3,0)*0.475*44/12</f>
        <v>0.75739902368399836</v>
      </c>
      <c r="DH97" s="21">
        <f>EXP(-LN(2)/2)*DH96+(1-EXP(-LN(2)/2))/(LN(2)/2)*DB97*DE97*VLOOKUP('Données projet'!$B$13,Paramètres!$A$1:$I$89,3,0)*0.475*44/12</f>
        <v>1.2401488730540257E-9</v>
      </c>
      <c r="DI97" s="22">
        <f t="shared" si="69"/>
        <v>0.75739902492414724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4.9000000000000004</v>
      </c>
      <c r="DO97" s="12">
        <f>IF('Données projet'!$A$166&gt;35,DO96+DN97-DW96,IF(A97&lt;'Données projet'!$A$166,$DL$205^A97,IF(A97='Données projet'!$A$166,'Données projet'!$B$166,DO96+DN97-DW96)))</f>
        <v>273.60000000000036</v>
      </c>
      <c r="DP97" s="17">
        <f>DO97*VLOOKUP('Données projet'!$B$14,Paramètres!$A$1:$I$89,3,0)*VLOOKUP('Données projet'!$B$14,Paramètres!$A$1:$I$89,5,0)</f>
        <v>264.62592000000035</v>
      </c>
      <c r="DQ97" s="13">
        <f t="shared" si="97"/>
        <v>63.707422801198717</v>
      </c>
      <c r="DR97" s="20">
        <f t="shared" si="70"/>
        <v>571.84723871208837</v>
      </c>
      <c r="DS97" s="59">
        <f t="shared" si="71"/>
        <v>865.18057204542174</v>
      </c>
      <c r="DT97" s="59">
        <f ca="1">AVERAGE(OFFSET($DS$3,0,0,'Données projet'!$E$14+1,1))-AVERAGE(OFFSET($H$3,0,0,'Données projet'!$E$14+1,1))</f>
        <v>261.22357949323879</v>
      </c>
      <c r="DU97" s="59">
        <f t="shared" si="98"/>
        <v>163.41029152029387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0</v>
      </c>
      <c r="EB97" s="21">
        <f>EXP(-LN(2)/25)*EB96+(1-EXP(-LN(2)/25))/(LN(2)/25)*Calculateur!DW97*Calculateur!DY97*VLOOKUP('Données projet'!$B$14,Paramètres!$A$1:$I$89,3,0)*0.475*44/12</f>
        <v>0.56301467298761443</v>
      </c>
      <c r="EC97" s="21">
        <f>EXP(-LN(2)/2)*EC96+(1-EXP(-LN(2)/2))/(LN(2)/2)*DW97*DZ97*VLOOKUP('Données projet'!$B$14,Paramètres!$A$1:$I$89,3,0)*0.475*44/12</f>
        <v>1.54045397196801E-9</v>
      </c>
      <c r="ED97" s="22">
        <f t="shared" si="72"/>
        <v>0.56301467452806842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8.3000000000000007</v>
      </c>
      <c r="EJ97" s="12">
        <f>IF('Données projet'!$A$192&gt;35,EJ96+EI97-ER96,IF(A97&lt;'Données projet'!$A$192,$EG$205^A97,IF(A97='Données projet'!$A$192,'Données projet'!$B$192,EJ96+EI97-ER96)))</f>
        <v>358.09999999999997</v>
      </c>
      <c r="EK97" s="17">
        <f>EJ97*VLOOKUP('Données projet'!$B$15,Paramètres!$A$1:$I$89,3,0)*VLOOKUP('Données projet'!$B$15,Paramètres!$A$1:$I$89,5,0)</f>
        <v>167.5908</v>
      </c>
      <c r="EL97" s="13">
        <f t="shared" si="99"/>
        <v>42.549995519736676</v>
      </c>
      <c r="EM97" s="20">
        <f t="shared" si="73"/>
        <v>365.99521886354137</v>
      </c>
      <c r="EN97" s="59">
        <f t="shared" si="74"/>
        <v>659.32855219687463</v>
      </c>
      <c r="EO97" s="59">
        <f ca="1">AVERAGE(OFFSET($EN$3,0,0,'Données projet'!$E$15+1,1))-AVERAGE(OFFSET($H$3,0,0,'Données projet'!$E$15+1,1))</f>
        <v>123.60520571614535</v>
      </c>
      <c r="EP97" s="59">
        <f t="shared" si="100"/>
        <v>119.00926870519527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0.24418319189461915</v>
      </c>
      <c r="EW97" s="21">
        <f>EXP(-LN(2)/25)*EW96+(1-EXP(-LN(2)/25))/(LN(2)/25)*Calculateur!ER97*Calculateur!ET97*VLOOKUP('Données projet'!$B$15,Paramètres!$A$1:$I$89,3,0)*0.475*44/12</f>
        <v>0.81002135621039051</v>
      </c>
      <c r="EX97" s="21">
        <f>EXP(-LN(2)/2)*EX96+(1-EXP(-LN(2)/2))/(LN(2)/2)*ER97*EU97*VLOOKUP('Données projet'!$B$15,Paramètres!$A$1:$I$89,3,0)*0.475*44/12</f>
        <v>1.4234591487521644E-9</v>
      </c>
      <c r="EY97" s="22">
        <f t="shared" si="75"/>
        <v>1.0542045495284689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-8.5265128291212022E-14</v>
      </c>
      <c r="FF97" s="17">
        <f>FE97*VLOOKUP('Données projet'!$B$16,Paramètres!$A$1:$I$89,3,0)*VLOOKUP('Données projet'!$B$16,Paramètres!$A$1:$I$89,5,0)</f>
        <v>-6.2516392063116648E-14</v>
      </c>
      <c r="FG97" s="13" t="e">
        <f t="shared" si="101"/>
        <v>#NUM!</v>
      </c>
      <c r="FH97" s="20" t="e">
        <f t="shared" si="76"/>
        <v>#NUM!</v>
      </c>
      <c r="FI97" s="59" t="e">
        <f t="shared" si="77"/>
        <v>#NUM!</v>
      </c>
      <c r="FJ97" s="59">
        <f ca="1">AVERAGE(OFFSET($FI$3,0,0,'Données projet'!$E$16+1,1))-AVERAGE(OFFSET($H$3,0,0,'Données projet'!$E$16+1,1))</f>
        <v>124.15919323713428</v>
      </c>
      <c r="FK97" s="59">
        <f t="shared" si="102"/>
        <v>157.85954678210715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0</v>
      </c>
      <c r="FR97" s="21">
        <f>EXP(-LN(2)/25)*FR96+(1-EXP(-LN(2)/25))/(LN(2)/25)*Calculateur!FM97*Calculateur!FO97*VLOOKUP('Données projet'!$B$16,Paramètres!$A$1:$I$89,3,0)*0.475*44/12</f>
        <v>0.85235227400428204</v>
      </c>
      <c r="FS97" s="21">
        <f>EXP(-LN(2)/2)*FS96+(1-EXP(-LN(2)/2))/(LN(2)/2)*FM97*FP97*VLOOKUP('Données projet'!$B$16,Paramètres!$A$1:$I$89,3,0)*0.475*44/12</f>
        <v>1.717669364773493E-9</v>
      </c>
      <c r="FT97" s="22">
        <f t="shared" si="78"/>
        <v>0.85235227572195138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4.9000000000000004</v>
      </c>
      <c r="N98" s="13">
        <f>IF('Données projet'!$A$36&gt;35,N97+M98-V97,IF(A98&lt;'Données projet'!$A$36,$K$205^A98,IF(A98='Données projet'!$A$36,'Données projet'!$B$36,N97+M98-V97)))</f>
        <v>278.50000000000034</v>
      </c>
      <c r="O98" s="13">
        <f>N98*VLOOKUP('Données projet'!$B$9,Paramètres!$A$1:$I$89,3,0)*VLOOKUP('Données projet'!$B$9,Paramètres!$A$1:$I$89,5,0)</f>
        <v>251.98680000000033</v>
      </c>
      <c r="P98" s="13">
        <f t="shared" si="87"/>
        <v>61.011187970195103</v>
      </c>
      <c r="Q98" s="20">
        <f t="shared" si="54"/>
        <v>545.13816238142374</v>
      </c>
      <c r="R98" s="59">
        <f t="shared" si="55"/>
        <v>838.47149571475711</v>
      </c>
      <c r="S98" s="59">
        <f ca="1">AVERAGE(OFFSET($R$3,0,0,'Données projet'!$E$9+1,1))-AVERAGE(OFFSET($H$3,0,0,'Données projet'!$E$9+1,1))</f>
        <v>237.22177246688199</v>
      </c>
      <c r="T98" s="59">
        <f t="shared" si="88"/>
        <v>149.27472147904302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</v>
      </c>
      <c r="AA98" s="21">
        <f>EXP(-LN(2)/25)*AA97+(1-EXP(-LN(2)/25))/(LN(2)/25)*Calculateur!V98*Calculateur!X98*VLOOKUP('Données projet'!$B$9,Paramètres!$A$1:$I$89,3,0)*0.475*44/12</f>
        <v>0.51228874862149321</v>
      </c>
      <c r="AB98" s="21">
        <f>EXP(-LN(2)/2)*AB97+(1-EXP(-LN(2)/2))/(LN(2)/2)*V98*Y98*VLOOKUP('Données projet'!$B$9,Paramètres!$A$1:$I$89,3,0)*0.475*44/12</f>
        <v>1.0189902593821169E-9</v>
      </c>
      <c r="AC98" s="22">
        <f t="shared" si="57"/>
        <v>0.51228874964048343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-8.5265128291212022E-14</v>
      </c>
      <c r="AJ98" s="13">
        <f>AI98*VLOOKUP('Données projet'!$B$10,Paramètres!$A$1:$I$89,3,0)*VLOOKUP('Données projet'!$B$10,Paramètres!$A$1:$I$89,5,0)</f>
        <v>-7.4487616075202836E-14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191.94797389630673</v>
      </c>
      <c r="AO98" s="59">
        <f t="shared" si="90"/>
        <v>273.52540822767878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0.71066376859640057</v>
      </c>
      <c r="AV98" s="21">
        <f>EXP(-LN(2)/25)*AV97+(1-EXP(-LN(2)/25))/(LN(2)/25)*Calculateur!AQ98*Calculateur!AS98*VLOOKUP('Données projet'!$B$10,Paramètres!$A$1:$I$89,3,0)*0.475*44/12</f>
        <v>2.317080805007504</v>
      </c>
      <c r="AW98" s="21">
        <f>EXP(-LN(2)/2)*AW97+(1-EXP(-LN(2)/2))/(LN(2)/2)*AQ98*AT98*VLOOKUP('Données projet'!$B$10,Paramètres!$A$1:$I$89,3,0)*0.475*44/12</f>
        <v>3.8200624135314362E-9</v>
      </c>
      <c r="AX98" s="21">
        <f t="shared" si="60"/>
        <v>3.0277445774239671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>
        <f>BD98*VLOOKUP('Données projet'!$B$11,Paramètres!$A$1:$I$89,3,0)*VLOOKUP('Données projet'!$B$11,Paramètres!$A$1:$I$89,5,0)</f>
        <v>0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72.647148358003676</v>
      </c>
      <c r="BJ98" s="59">
        <f t="shared" si="92"/>
        <v>87.231299224620898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0.35123315745753836</v>
      </c>
      <c r="BQ98" s="21">
        <f>EXP(-LN(2)/25)*BQ97+(1-EXP(-LN(2)/25))/(LN(2)/25)*Calculateur!BL98*Calculateur!BN98*VLOOKUP('Données projet'!$B$11,Paramètres!$A$1:$I$89,3,0)*0.475*44/12</f>
        <v>0.74735739650109423</v>
      </c>
      <c r="BR98" s="21">
        <f>EXP(-LN(2)/2)*BR97+(1-EXP(-LN(2)/2))/(LN(2)/2)*BL98*BO98*VLOOKUP('Données projet'!$B$11,Paramètres!$A$1:$I$89,3,0)*0.475*44/12</f>
        <v>3.7551790266230987E-10</v>
      </c>
      <c r="BS98" s="22">
        <f t="shared" si="63"/>
        <v>1.0985905543341503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5.6843418860808015E-14</v>
      </c>
      <c r="BZ98" s="13">
        <f>BY98*VLOOKUP('Données projet'!$B$12,Paramètres!$A$1:$I$89,3,0)*VLOOKUP('Données projet'!$B$12,Paramètres!$A$1:$I$89,5,0)</f>
        <v>3.3992364478763198E-14</v>
      </c>
      <c r="CA98" s="13">
        <f t="shared" si="93"/>
        <v>5.790027782444094E-13</v>
      </c>
      <c r="CB98" s="20">
        <f t="shared" si="64"/>
        <v>1.0676332069095257E-12</v>
      </c>
      <c r="CC98" s="59">
        <f t="shared" si="65"/>
        <v>293.33333333333439</v>
      </c>
      <c r="CD98" s="59">
        <f ca="1">AVERAGE(OFFSET($CC$3,0,0,'Données projet'!$E$12+1,1))-AVERAGE(OFFSET($H$3,0,0,'Données projet'!$E$12+1,1))</f>
        <v>165.39579887388538</v>
      </c>
      <c r="CE98" s="59">
        <f t="shared" si="94"/>
        <v>155.89639262545802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</v>
      </c>
      <c r="CL98" s="21">
        <f>EXP(-LN(2)/25)*CL97+(1-EXP(-LN(2)/25))/(LN(2)/25)*Calculateur!CG98*Calculateur!CI98*VLOOKUP('Données projet'!$B$12,Paramètres!$A$1:$I$89,3,0)*0.475*44/12</f>
        <v>1.2022770814231691</v>
      </c>
      <c r="CM98" s="21">
        <f>EXP(-LN(2)/2)*CM97+(1-EXP(-LN(2)/2))/(LN(2)/2)*CG98*CJ98*VLOOKUP('Données projet'!$B$12,Paramètres!$A$1:$I$89,3,0)*0.475*44/12</f>
        <v>2.2851553260340938E-9</v>
      </c>
      <c r="CN98" s="22">
        <f t="shared" si="66"/>
        <v>1.2022770837083245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3.4106051316484809E-13</v>
      </c>
      <c r="CU98" s="17">
        <f>CT98*VLOOKUP('Données projet'!$B$13,Paramètres!$A$1:$I$89,3,0)*VLOOKUP('Données projet'!$B$13,Paramètres!$A$1:$I$89,5,0)</f>
        <v>2.6602720026858149E-13</v>
      </c>
      <c r="CV98" s="13">
        <f t="shared" si="95"/>
        <v>3.5662905043956649E-12</v>
      </c>
      <c r="CW98" s="20">
        <f t="shared" si="67"/>
        <v>6.6746200022902298E-12</v>
      </c>
      <c r="CX98" s="59">
        <f t="shared" si="68"/>
        <v>293.33333333333997</v>
      </c>
      <c r="CY98" s="59">
        <f ca="1">AVERAGE(OFFSET($CX$3,0,0,'Données projet'!$E$13+1,1))-AVERAGE(OFFSET($H$3,0,0,'Données projet'!$E$13+1,1))</f>
        <v>190.06335940156185</v>
      </c>
      <c r="CZ98" s="59">
        <f t="shared" si="96"/>
        <v>166.43663896839928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0</v>
      </c>
      <c r="DG98" s="21">
        <f>EXP(-LN(2)/25)*DG97+(1-EXP(-LN(2)/25))/(LN(2)/25)*Calculateur!DB98*Calculateur!DD98*VLOOKUP('Données projet'!$B$13,Paramètres!$A$1:$I$89,3,0)*0.475*44/12</f>
        <v>0.73668790755147584</v>
      </c>
      <c r="DH98" s="21">
        <f>EXP(-LN(2)/2)*DH97+(1-EXP(-LN(2)/2))/(LN(2)/2)*DB98*DE98*VLOOKUP('Données projet'!$B$13,Paramètres!$A$1:$I$89,3,0)*0.475*44/12</f>
        <v>8.7691767781735648E-10</v>
      </c>
      <c r="DI98" s="22">
        <f t="shared" si="69"/>
        <v>0.73668790842839349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4.9000000000000004</v>
      </c>
      <c r="DO98" s="12">
        <f>IF('Données projet'!$A$166&gt;35,DO97+DN98-DW97,IF(A98&lt;'Données projet'!$A$166,$DL$205^A98,IF(A98='Données projet'!$A$166,'Données projet'!$B$166,DO97+DN98-DW97)))</f>
        <v>278.50000000000034</v>
      </c>
      <c r="DP98" s="17">
        <f>DO98*VLOOKUP('Données projet'!$B$14,Paramètres!$A$1:$I$89,3,0)*VLOOKUP('Données projet'!$B$14,Paramètres!$A$1:$I$89,5,0)</f>
        <v>269.36520000000036</v>
      </c>
      <c r="DQ98" s="13">
        <f t="shared" si="97"/>
        <v>64.714530255967148</v>
      </c>
      <c r="DR98" s="20">
        <f t="shared" si="70"/>
        <v>581.85553019581005</v>
      </c>
      <c r="DS98" s="59">
        <f t="shared" si="71"/>
        <v>875.18886352914342</v>
      </c>
      <c r="DT98" s="59">
        <f ca="1">AVERAGE(OFFSET($DS$3,0,0,'Données projet'!$E$14+1,1))-AVERAGE(OFFSET($H$3,0,0,'Données projet'!$E$14+1,1))</f>
        <v>261.22357949323879</v>
      </c>
      <c r="DU98" s="59">
        <f t="shared" si="98"/>
        <v>163.41029152029387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0</v>
      </c>
      <c r="EB98" s="21">
        <f>EXP(-LN(2)/25)*EB97+(1-EXP(-LN(2)/25))/(LN(2)/25)*Calculateur!DW98*Calculateur!DY98*VLOOKUP('Données projet'!$B$14,Paramètres!$A$1:$I$89,3,0)*0.475*44/12</f>
        <v>0.5476190071471132</v>
      </c>
      <c r="EC98" s="21">
        <f>EXP(-LN(2)/2)*EC97+(1-EXP(-LN(2)/2))/(LN(2)/2)*DW98*DZ98*VLOOKUP('Données projet'!$B$14,Paramètres!$A$1:$I$89,3,0)*0.475*44/12</f>
        <v>1.0892654496843316E-9</v>
      </c>
      <c r="ED98" s="22">
        <f t="shared" si="72"/>
        <v>0.54761900823637866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8.3000000000000007</v>
      </c>
      <c r="EJ98" s="12">
        <f>IF('Données projet'!$A$192&gt;35,EJ97+EI98-ER97,IF(A98&lt;'Données projet'!$A$192,$EG$205^A98,IF(A98='Données projet'!$A$192,'Données projet'!$B$192,EJ97+EI98-ER97)))</f>
        <v>366.4</v>
      </c>
      <c r="EK98" s="17">
        <f>EJ98*VLOOKUP('Données projet'!$B$15,Paramètres!$A$1:$I$89,3,0)*VLOOKUP('Données projet'!$B$15,Paramètres!$A$1:$I$89,5,0)</f>
        <v>171.4752</v>
      </c>
      <c r="EL98" s="13">
        <f t="shared" si="99"/>
        <v>43.420252985462113</v>
      </c>
      <c r="EM98" s="20">
        <f t="shared" si="73"/>
        <v>374.27624728301316</v>
      </c>
      <c r="EN98" s="59">
        <f t="shared" si="74"/>
        <v>667.60958061634642</v>
      </c>
      <c r="EO98" s="59">
        <f ca="1">AVERAGE(OFFSET($EN$3,0,0,'Données projet'!$E$15+1,1))-AVERAGE(OFFSET($H$3,0,0,'Données projet'!$E$15+1,1))</f>
        <v>123.60520571614535</v>
      </c>
      <c r="EP98" s="59">
        <f t="shared" si="100"/>
        <v>119.00926870519527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0.23939490843860642</v>
      </c>
      <c r="EW98" s="21">
        <f>EXP(-LN(2)/25)*EW97+(1-EXP(-LN(2)/25))/(LN(2)/25)*Calculateur!ER98*Calculateur!ET98*VLOOKUP('Données projet'!$B$15,Paramètres!$A$1:$I$89,3,0)*0.475*44/12</f>
        <v>0.78787127962764558</v>
      </c>
      <c r="EX98" s="21">
        <f>EXP(-LN(2)/2)*EX97+(1-EXP(-LN(2)/2))/(LN(2)/2)*ER98*EU98*VLOOKUP('Données projet'!$B$15,Paramètres!$A$1:$I$89,3,0)*0.475*44/12</f>
        <v>1.0065376168246859E-9</v>
      </c>
      <c r="EY98" s="22">
        <f t="shared" si="75"/>
        <v>1.0272661890727894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-8.5265128291212022E-14</v>
      </c>
      <c r="FF98" s="17">
        <f>FE98*VLOOKUP('Données projet'!$B$16,Paramètres!$A$1:$I$89,3,0)*VLOOKUP('Données projet'!$B$16,Paramètres!$A$1:$I$89,5,0)</f>
        <v>-6.2516392063116648E-14</v>
      </c>
      <c r="FG98" s="13" t="e">
        <f t="shared" si="101"/>
        <v>#NUM!</v>
      </c>
      <c r="FH98" s="20" t="e">
        <f t="shared" si="76"/>
        <v>#NUM!</v>
      </c>
      <c r="FI98" s="59" t="e">
        <f t="shared" si="77"/>
        <v>#NUM!</v>
      </c>
      <c r="FJ98" s="59">
        <f ca="1">AVERAGE(OFFSET($FI$3,0,0,'Données projet'!$E$16+1,1))-AVERAGE(OFFSET($H$3,0,0,'Données projet'!$E$16+1,1))</f>
        <v>124.15919323713428</v>
      </c>
      <c r="FK98" s="59">
        <f t="shared" si="102"/>
        <v>157.85954678210715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0</v>
      </c>
      <c r="FR98" s="21">
        <f>EXP(-LN(2)/25)*FR97+(1-EXP(-LN(2)/25))/(LN(2)/25)*Calculateur!FM98*Calculateur!FO98*VLOOKUP('Données projet'!$B$16,Paramètres!$A$1:$I$89,3,0)*0.475*44/12</f>
        <v>0.82904465624837698</v>
      </c>
      <c r="FS98" s="21">
        <f>EXP(-LN(2)/2)*FS97+(1-EXP(-LN(2)/2))/(LN(2)/2)*FM98*FP98*VLOOKUP('Données projet'!$B$16,Paramètres!$A$1:$I$89,3,0)*0.475*44/12</f>
        <v>1.2145756556677264E-9</v>
      </c>
      <c r="FT98" s="22">
        <f t="shared" si="78"/>
        <v>0.82904465746295264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4.9000000000000004</v>
      </c>
      <c r="N99" s="13">
        <f>IF('Données projet'!$A$36&gt;35,N98+M99-V98,IF(A99&lt;'Données projet'!$A$36,$K$205^A99,IF(A99='Données projet'!$A$36,'Données projet'!$B$36,N98+M99-V98)))</f>
        <v>283.40000000000032</v>
      </c>
      <c r="O99" s="13">
        <f>N99*VLOOKUP('Données projet'!$B$9,Paramètres!$A$1:$I$89,3,0)*VLOOKUP('Données projet'!$B$9,Paramètres!$A$1:$I$89,5,0)</f>
        <v>256.42032000000029</v>
      </c>
      <c r="P99" s="13">
        <f t="shared" si="87"/>
        <v>61.958720258016967</v>
      </c>
      <c r="Q99" s="20">
        <f t="shared" ref="Q99:Q130" si="107">(O99+P99)*0.475*44/12</f>
        <v>554.51016178271334</v>
      </c>
      <c r="R99" s="59">
        <f t="shared" si="55"/>
        <v>847.8434951160466</v>
      </c>
      <c r="S99" s="59">
        <f ca="1">AVERAGE(OFFSET($R$3,0,0,'Données projet'!$E$9+1,1))-AVERAGE(OFFSET($H$3,0,0,'Données projet'!$E$9+1,1))</f>
        <v>237.22177246688199</v>
      </c>
      <c r="T99" s="59">
        <f t="shared" si="88"/>
        <v>149.27472147904302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</v>
      </c>
      <c r="AA99" s="21">
        <f>EXP(-LN(2)/25)*AA98+(1-EXP(-LN(2)/25))/(LN(2)/25)*Calculateur!V99*Calculateur!X99*VLOOKUP('Données projet'!$B$9,Paramètres!$A$1:$I$89,3,0)*0.475*44/12</f>
        <v>0.49828018585034406</v>
      </c>
      <c r="AB99" s="21">
        <f>EXP(-LN(2)/2)*AB98+(1-EXP(-LN(2)/2))/(LN(2)/2)*V99*Y99*VLOOKUP('Données projet'!$B$9,Paramètres!$A$1:$I$89,3,0)*0.475*44/12</f>
        <v>7.2053492237213385E-10</v>
      </c>
      <c r="AC99" s="22">
        <f t="shared" si="57"/>
        <v>0.49828018657087897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-8.5265128291212022E-14</v>
      </c>
      <c r="AJ99" s="13">
        <f>AI99*VLOOKUP('Données projet'!$B$10,Paramètres!$A$1:$I$89,3,0)*VLOOKUP('Données projet'!$B$10,Paramètres!$A$1:$I$89,5,0)</f>
        <v>-7.4487616075202836E-14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191.94797389630673</v>
      </c>
      <c r="AO99" s="59">
        <f t="shared" si="90"/>
        <v>273.52540822767878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0.69672808555632315</v>
      </c>
      <c r="AV99" s="21">
        <f>EXP(-LN(2)/25)*AV98+(1-EXP(-LN(2)/25))/(LN(2)/25)*Calculateur!AQ99*Calculateur!AS99*VLOOKUP('Données projet'!$B$10,Paramètres!$A$1:$I$89,3,0)*0.475*44/12</f>
        <v>2.2537201085445902</v>
      </c>
      <c r="AW99" s="21">
        <f>EXP(-LN(2)/2)*AW98+(1-EXP(-LN(2)/2))/(LN(2)/2)*AQ99*AT99*VLOOKUP('Données projet'!$B$10,Paramètres!$A$1:$I$89,3,0)*0.475*44/12</f>
        <v>2.701192037163928E-9</v>
      </c>
      <c r="AX99" s="21">
        <f t="shared" si="60"/>
        <v>2.9504481968021055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>
        <f>BD99*VLOOKUP('Données projet'!$B$11,Paramètres!$A$1:$I$89,3,0)*VLOOKUP('Données projet'!$B$11,Paramètres!$A$1:$I$89,5,0)</f>
        <v>0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72.647148358003676</v>
      </c>
      <c r="BJ99" s="59">
        <f t="shared" si="92"/>
        <v>87.231299224620898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0.34434568947086852</v>
      </c>
      <c r="BQ99" s="21">
        <f>EXP(-LN(2)/25)*BQ98+(1-EXP(-LN(2)/25))/(LN(2)/25)*Calculateur!BL99*Calculateur!BN99*VLOOKUP('Données projet'!$B$11,Paramètres!$A$1:$I$89,3,0)*0.475*44/12</f>
        <v>0.72692086919195442</v>
      </c>
      <c r="BR99" s="21">
        <f>EXP(-LN(2)/2)*BR98+(1-EXP(-LN(2)/2))/(LN(2)/2)*BL99*BO99*VLOOKUP('Données projet'!$B$11,Paramètres!$A$1:$I$89,3,0)*0.475*44/12</f>
        <v>2.655312554294692E-10</v>
      </c>
      <c r="BS99" s="22">
        <f t="shared" si="63"/>
        <v>1.0712665589283541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5.6843418860808015E-14</v>
      </c>
      <c r="BZ99" s="13">
        <f>BY99*VLOOKUP('Données projet'!$B$12,Paramètres!$A$1:$I$89,3,0)*VLOOKUP('Données projet'!$B$12,Paramètres!$A$1:$I$89,5,0)</f>
        <v>3.3992364478763198E-14</v>
      </c>
      <c r="CA99" s="13">
        <f t="shared" si="93"/>
        <v>5.790027782444094E-13</v>
      </c>
      <c r="CB99" s="20">
        <f t="shared" si="64"/>
        <v>1.0676332069095257E-12</v>
      </c>
      <c r="CC99" s="59">
        <f t="shared" si="65"/>
        <v>293.33333333333439</v>
      </c>
      <c r="CD99" s="59">
        <f ca="1">AVERAGE(OFFSET($CC$3,0,0,'Données projet'!$E$12+1,1))-AVERAGE(OFFSET($H$3,0,0,'Données projet'!$E$12+1,1))</f>
        <v>165.39579887388538</v>
      </c>
      <c r="CE99" s="59">
        <f t="shared" si="94"/>
        <v>155.89639262545802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</v>
      </c>
      <c r="CL99" s="21">
        <f>EXP(-LN(2)/25)*CL98+(1-EXP(-LN(2)/25))/(LN(2)/25)*Calculateur!CG99*Calculateur!CI99*VLOOKUP('Données projet'!$B$12,Paramètres!$A$1:$I$89,3,0)*0.475*44/12</f>
        <v>1.1694007514066487</v>
      </c>
      <c r="CM99" s="21">
        <f>EXP(-LN(2)/2)*CM98+(1-EXP(-LN(2)/2))/(LN(2)/2)*CG99*CJ99*VLOOKUP('Données projet'!$B$12,Paramètres!$A$1:$I$89,3,0)*0.475*44/12</f>
        <v>1.6158488271032637E-9</v>
      </c>
      <c r="CN99" s="22">
        <f t="shared" si="66"/>
        <v>1.1694007530224975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3.4106051316484809E-13</v>
      </c>
      <c r="CU99" s="17">
        <f>CT99*VLOOKUP('Données projet'!$B$13,Paramètres!$A$1:$I$89,3,0)*VLOOKUP('Données projet'!$B$13,Paramètres!$A$1:$I$89,5,0)</f>
        <v>2.6602720026858149E-13</v>
      </c>
      <c r="CV99" s="13">
        <f t="shared" si="95"/>
        <v>3.5662905043956649E-12</v>
      </c>
      <c r="CW99" s="20">
        <f t="shared" si="67"/>
        <v>6.6746200022902298E-12</v>
      </c>
      <c r="CX99" s="59">
        <f t="shared" si="68"/>
        <v>293.33333333333997</v>
      </c>
      <c r="CY99" s="59">
        <f ca="1">AVERAGE(OFFSET($CX$3,0,0,'Données projet'!$E$13+1,1))-AVERAGE(OFFSET($H$3,0,0,'Données projet'!$E$13+1,1))</f>
        <v>190.06335940156185</v>
      </c>
      <c r="CZ99" s="59">
        <f t="shared" si="96"/>
        <v>166.43663896839928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0</v>
      </c>
      <c r="DG99" s="21">
        <f>EXP(-LN(2)/25)*DG98+(1-EXP(-LN(2)/25))/(LN(2)/25)*Calculateur!DB99*Calculateur!DD99*VLOOKUP('Données projet'!$B$13,Paramètres!$A$1:$I$89,3,0)*0.475*44/12</f>
        <v>0.71654313797874736</v>
      </c>
      <c r="DH99" s="21">
        <f>EXP(-LN(2)/2)*DH98+(1-EXP(-LN(2)/2))/(LN(2)/2)*DB99*DE99*VLOOKUP('Données projet'!$B$13,Paramètres!$A$1:$I$89,3,0)*0.475*44/12</f>
        <v>6.2007443652701286E-10</v>
      </c>
      <c r="DI99" s="22">
        <f t="shared" si="69"/>
        <v>0.71654313859882179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4.9000000000000004</v>
      </c>
      <c r="DO99" s="12">
        <f>IF('Données projet'!$A$166&gt;35,DO98+DN99-DW98,IF(A99&lt;'Données projet'!$A$166,$DL$205^A99,IF(A99='Données projet'!$A$166,'Données projet'!$B$166,DO98+DN99-DW98)))</f>
        <v>283.40000000000032</v>
      </c>
      <c r="DP99" s="17">
        <f>DO99*VLOOKUP('Données projet'!$B$14,Paramètres!$A$1:$I$89,3,0)*VLOOKUP('Données projet'!$B$14,Paramètres!$A$1:$I$89,5,0)</f>
        <v>274.10448000000031</v>
      </c>
      <c r="DQ99" s="13">
        <f t="shared" si="97"/>
        <v>65.719577181765573</v>
      </c>
      <c r="DR99" s="20">
        <f t="shared" si="70"/>
        <v>591.86023292490881</v>
      </c>
      <c r="DS99" s="59">
        <f t="shared" si="71"/>
        <v>885.19356625824207</v>
      </c>
      <c r="DT99" s="59">
        <f ca="1">AVERAGE(OFFSET($DS$3,0,0,'Données projet'!$E$14+1,1))-AVERAGE(OFFSET($H$3,0,0,'Données projet'!$E$14+1,1))</f>
        <v>261.22357949323879</v>
      </c>
      <c r="DU99" s="59">
        <f t="shared" si="98"/>
        <v>163.41029152029387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0</v>
      </c>
      <c r="EB99" s="21">
        <f>EXP(-LN(2)/25)*EB98+(1-EXP(-LN(2)/25))/(LN(2)/25)*Calculateur!DW99*Calculateur!DY99*VLOOKUP('Données projet'!$B$14,Paramètres!$A$1:$I$89,3,0)*0.475*44/12</f>
        <v>0.53264433659864341</v>
      </c>
      <c r="EC99" s="21">
        <f>EXP(-LN(2)/2)*EC98+(1-EXP(-LN(2)/2))/(LN(2)/2)*DW99*DZ99*VLOOKUP('Données projet'!$B$14,Paramètres!$A$1:$I$89,3,0)*0.475*44/12</f>
        <v>7.7022698598400501E-10</v>
      </c>
      <c r="ED99" s="22">
        <f t="shared" si="72"/>
        <v>0.5326443373688704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8.3000000000000007</v>
      </c>
      <c r="EJ99" s="12">
        <f>IF('Données projet'!$A$192&gt;35,EJ98+EI99-ER98,IF(A99&lt;'Données projet'!$A$192,$EG$205^A99,IF(A99='Données projet'!$A$192,'Données projet'!$B$192,EJ98+EI99-ER98)))</f>
        <v>374.7</v>
      </c>
      <c r="EK99" s="17">
        <f>EJ99*VLOOKUP('Données projet'!$B$15,Paramètres!$A$1:$I$89,3,0)*VLOOKUP('Données projet'!$B$15,Paramètres!$A$1:$I$89,5,0)</f>
        <v>175.3596</v>
      </c>
      <c r="EL99" s="13">
        <f t="shared" si="99"/>
        <v>44.288218580135805</v>
      </c>
      <c r="EM99" s="20">
        <f t="shared" si="73"/>
        <v>382.55328402706982</v>
      </c>
      <c r="EN99" s="59">
        <f t="shared" si="74"/>
        <v>675.88661736040308</v>
      </c>
      <c r="EO99" s="59">
        <f ca="1">AVERAGE(OFFSET($EN$3,0,0,'Données projet'!$E$15+1,1))-AVERAGE(OFFSET($H$3,0,0,'Données projet'!$E$15+1,1))</f>
        <v>123.60520571614535</v>
      </c>
      <c r="EP99" s="59">
        <f t="shared" si="100"/>
        <v>119.00926870519527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0.23470052030060157</v>
      </c>
      <c r="EW99" s="21">
        <f>EXP(-LN(2)/25)*EW98+(1-EXP(-LN(2)/25))/(LN(2)/25)*Calculateur!ER99*Calculateur!ET99*VLOOKUP('Données projet'!$B$15,Paramètres!$A$1:$I$89,3,0)*0.475*44/12</f>
        <v>0.76632689805387777</v>
      </c>
      <c r="EX99" s="21">
        <f>EXP(-LN(2)/2)*EX98+(1-EXP(-LN(2)/2))/(LN(2)/2)*ER99*EU99*VLOOKUP('Données projet'!$B$15,Paramètres!$A$1:$I$89,3,0)*0.475*44/12</f>
        <v>7.1172957437608222E-10</v>
      </c>
      <c r="EY99" s="22">
        <f t="shared" si="75"/>
        <v>1.001027419066209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-8.5265128291212022E-14</v>
      </c>
      <c r="FF99" s="17">
        <f>FE99*VLOOKUP('Données projet'!$B$16,Paramètres!$A$1:$I$89,3,0)*VLOOKUP('Données projet'!$B$16,Paramètres!$A$1:$I$89,5,0)</f>
        <v>-6.2516392063116648E-14</v>
      </c>
      <c r="FG99" s="13" t="e">
        <f t="shared" si="101"/>
        <v>#NUM!</v>
      </c>
      <c r="FH99" s="20" t="e">
        <f t="shared" si="76"/>
        <v>#NUM!</v>
      </c>
      <c r="FI99" s="59" t="e">
        <f t="shared" si="77"/>
        <v>#NUM!</v>
      </c>
      <c r="FJ99" s="59">
        <f ca="1">AVERAGE(OFFSET($FI$3,0,0,'Données projet'!$E$16+1,1))-AVERAGE(OFFSET($H$3,0,0,'Données projet'!$E$16+1,1))</f>
        <v>124.15919323713428</v>
      </c>
      <c r="FK99" s="59">
        <f t="shared" si="102"/>
        <v>157.85954678210715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0</v>
      </c>
      <c r="FR99" s="21">
        <f>EXP(-LN(2)/25)*FR98+(1-EXP(-LN(2)/25))/(LN(2)/25)*Calculateur!FM99*Calculateur!FO99*VLOOKUP('Données projet'!$B$16,Paramètres!$A$1:$I$89,3,0)*0.475*44/12</f>
        <v>0.80637438652570148</v>
      </c>
      <c r="FS99" s="21">
        <f>EXP(-LN(2)/2)*FS98+(1-EXP(-LN(2)/2))/(LN(2)/2)*FM99*FP99*VLOOKUP('Données projet'!$B$16,Paramètres!$A$1:$I$89,3,0)*0.475*44/12</f>
        <v>8.5883468238674651E-10</v>
      </c>
      <c r="FT99" s="22">
        <f t="shared" si="78"/>
        <v>0.80637438738453615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4.9000000000000004</v>
      </c>
      <c r="N100" s="13">
        <f>IF('Données projet'!$A$36&gt;35,N99+M100-V99,IF(A100&lt;'Données projet'!$A$36,$K$205^A100,IF(A100='Données projet'!$A$36,'Données projet'!$B$36,N99+M100-V99)))</f>
        <v>288.3000000000003</v>
      </c>
      <c r="O100" s="13">
        <f>N100*VLOOKUP('Données projet'!$B$9,Paramètres!$A$1:$I$89,3,0)*VLOOKUP('Données projet'!$B$9,Paramètres!$A$1:$I$89,5,0)</f>
        <v>260.85384000000028</v>
      </c>
      <c r="P100" s="13">
        <f t="shared" si="87"/>
        <v>62.90434739590382</v>
      </c>
      <c r="Q100" s="20">
        <f t="shared" si="107"/>
        <v>563.87884304786633</v>
      </c>
      <c r="R100" s="59">
        <f t="shared" si="55"/>
        <v>857.2121763811997</v>
      </c>
      <c r="S100" s="59">
        <f ca="1">AVERAGE(OFFSET($R$3,0,0,'Données projet'!$E$9+1,1))-AVERAGE(OFFSET($H$3,0,0,'Données projet'!$E$9+1,1))</f>
        <v>237.22177246688199</v>
      </c>
      <c r="T100" s="59">
        <f t="shared" si="88"/>
        <v>149.27472147904302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</v>
      </c>
      <c r="AA100" s="21">
        <f>EXP(-LN(2)/25)*AA99+(1-EXP(-LN(2)/25))/(LN(2)/25)*Calculateur!V100*Calculateur!X100*VLOOKUP('Données projet'!$B$9,Paramètres!$A$1:$I$89,3,0)*0.475*44/12</f>
        <v>0.48465468796485028</v>
      </c>
      <c r="AB100" s="21">
        <f>EXP(-LN(2)/2)*AB99+(1-EXP(-LN(2)/2))/(LN(2)/2)*V100*Y100*VLOOKUP('Données projet'!$B$9,Paramètres!$A$1:$I$89,3,0)*0.475*44/12</f>
        <v>5.0949512969105845E-10</v>
      </c>
      <c r="AC100" s="22">
        <f t="shared" si="57"/>
        <v>0.4846546884743454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-8.5265128291212022E-14</v>
      </c>
      <c r="AJ100" s="13">
        <f>AI100*VLOOKUP('Données projet'!$B$10,Paramètres!$A$1:$I$89,3,0)*VLOOKUP('Données projet'!$B$10,Paramètres!$A$1:$I$89,5,0)</f>
        <v>-7.4487616075202836E-14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191.94797389630673</v>
      </c>
      <c r="AO100" s="59">
        <f t="shared" si="90"/>
        <v>273.52540822767878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0.68306567276073427</v>
      </c>
      <c r="AV100" s="21">
        <f>EXP(-LN(2)/25)*AV99+(1-EXP(-LN(2)/25))/(LN(2)/25)*Calculateur!AQ100*Calculateur!AS100*VLOOKUP('Données projet'!$B$10,Paramètres!$A$1:$I$89,3,0)*0.475*44/12</f>
        <v>2.1920920136584487</v>
      </c>
      <c r="AW100" s="21">
        <f>EXP(-LN(2)/2)*AW99+(1-EXP(-LN(2)/2))/(LN(2)/2)*AQ100*AT100*VLOOKUP('Données projet'!$B$10,Paramètres!$A$1:$I$89,3,0)*0.475*44/12</f>
        <v>1.9100312067657181E-9</v>
      </c>
      <c r="AX100" s="21">
        <f t="shared" si="60"/>
        <v>2.8751576883292143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>
        <f>BD100*VLOOKUP('Données projet'!$B$11,Paramètres!$A$1:$I$89,3,0)*VLOOKUP('Données projet'!$B$11,Paramètres!$A$1:$I$89,5,0)</f>
        <v>0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72.647148358003676</v>
      </c>
      <c r="BJ100" s="59">
        <f t="shared" si="92"/>
        <v>87.231299224620898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0.3375932805304766</v>
      </c>
      <c r="BQ100" s="21">
        <f>EXP(-LN(2)/25)*BQ99+(1-EXP(-LN(2)/25))/(LN(2)/25)*Calculateur!BL100*Calculateur!BN100*VLOOKUP('Données projet'!$B$11,Paramètres!$A$1:$I$89,3,0)*0.475*44/12</f>
        <v>0.70704317979679332</v>
      </c>
      <c r="BR100" s="21">
        <f>EXP(-LN(2)/2)*BR99+(1-EXP(-LN(2)/2))/(LN(2)/2)*BL100*BO100*VLOOKUP('Données projet'!$B$11,Paramètres!$A$1:$I$89,3,0)*0.475*44/12</f>
        <v>1.8775895133115494E-10</v>
      </c>
      <c r="BS100" s="22">
        <f t="shared" si="63"/>
        <v>1.0446364605150289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5.6843418860808015E-14</v>
      </c>
      <c r="BZ100" s="13">
        <f>BY100*VLOOKUP('Données projet'!$B$12,Paramètres!$A$1:$I$89,3,0)*VLOOKUP('Données projet'!$B$12,Paramètres!$A$1:$I$89,5,0)</f>
        <v>3.3992364478763198E-14</v>
      </c>
      <c r="CA100" s="13">
        <f t="shared" si="93"/>
        <v>5.790027782444094E-13</v>
      </c>
      <c r="CB100" s="20">
        <f t="shared" si="64"/>
        <v>1.0676332069095257E-12</v>
      </c>
      <c r="CC100" s="59">
        <f t="shared" si="65"/>
        <v>293.33333333333439</v>
      </c>
      <c r="CD100" s="59">
        <f ca="1">AVERAGE(OFFSET($CC$3,0,0,'Données projet'!$E$12+1,1))-AVERAGE(OFFSET($H$3,0,0,'Données projet'!$E$12+1,1))</f>
        <v>165.39579887388538</v>
      </c>
      <c r="CE100" s="59">
        <f t="shared" si="94"/>
        <v>155.89639262545802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</v>
      </c>
      <c r="CL100" s="21">
        <f>EXP(-LN(2)/25)*CL99+(1-EXP(-LN(2)/25))/(LN(2)/25)*Calculateur!CG100*Calculateur!CI100*VLOOKUP('Données projet'!$B$12,Paramètres!$A$1:$I$89,3,0)*0.475*44/12</f>
        <v>1.1374234263633209</v>
      </c>
      <c r="CM100" s="21">
        <f>EXP(-LN(2)/2)*CM99+(1-EXP(-LN(2)/2))/(LN(2)/2)*CG100*CJ100*VLOOKUP('Données projet'!$B$12,Paramètres!$A$1:$I$89,3,0)*0.475*44/12</f>
        <v>1.1425776630170469E-9</v>
      </c>
      <c r="CN100" s="22">
        <f t="shared" si="66"/>
        <v>1.1374234275058985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3.4106051316484809E-13</v>
      </c>
      <c r="CU100" s="17">
        <f>CT100*VLOOKUP('Données projet'!$B$13,Paramètres!$A$1:$I$89,3,0)*VLOOKUP('Données projet'!$B$13,Paramètres!$A$1:$I$89,5,0)</f>
        <v>2.6602720026858149E-13</v>
      </c>
      <c r="CV100" s="13">
        <f t="shared" si="95"/>
        <v>3.5662905043956649E-12</v>
      </c>
      <c r="CW100" s="20">
        <f t="shared" si="67"/>
        <v>6.6746200022902298E-12</v>
      </c>
      <c r="CX100" s="59">
        <f t="shared" si="68"/>
        <v>293.33333333333997</v>
      </c>
      <c r="CY100" s="59">
        <f ca="1">AVERAGE(OFFSET($CX$3,0,0,'Données projet'!$E$13+1,1))-AVERAGE(OFFSET($H$3,0,0,'Données projet'!$E$13+1,1))</f>
        <v>190.06335940156185</v>
      </c>
      <c r="CZ100" s="59">
        <f t="shared" si="96"/>
        <v>166.43663896839928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0</v>
      </c>
      <c r="DG100" s="21">
        <f>EXP(-LN(2)/25)*DG99+(1-EXP(-LN(2)/25))/(LN(2)/25)*Calculateur!DB100*Calculateur!DD100*VLOOKUP('Données projet'!$B$13,Paramètres!$A$1:$I$89,3,0)*0.475*44/12</f>
        <v>0.69694922818935257</v>
      </c>
      <c r="DH100" s="21">
        <f>EXP(-LN(2)/2)*DH99+(1-EXP(-LN(2)/2))/(LN(2)/2)*DB100*DE100*VLOOKUP('Données projet'!$B$13,Paramètres!$A$1:$I$89,3,0)*0.475*44/12</f>
        <v>4.3845883890867824E-10</v>
      </c>
      <c r="DI100" s="22">
        <f t="shared" si="69"/>
        <v>0.69694922862781139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4.9000000000000004</v>
      </c>
      <c r="DO100" s="12">
        <f>IF('Données projet'!$A$166&gt;35,DO99+DN100-DW99,IF(A100&lt;'Données projet'!$A$166,$DL$205^A100,IF(A100='Données projet'!$A$166,'Données projet'!$B$166,DO99+DN100-DW99)))</f>
        <v>288.3000000000003</v>
      </c>
      <c r="DP100" s="17">
        <f>DO100*VLOOKUP('Données projet'!$B$14,Paramètres!$A$1:$I$89,3,0)*VLOOKUP('Données projet'!$B$14,Paramètres!$A$1:$I$89,5,0)</f>
        <v>278.84376000000032</v>
      </c>
      <c r="DQ100" s="13">
        <f t="shared" si="97"/>
        <v>66.722603316177853</v>
      </c>
      <c r="DR100" s="20">
        <f t="shared" si="70"/>
        <v>601.86141610901029</v>
      </c>
      <c r="DS100" s="59">
        <f t="shared" si="71"/>
        <v>895.19474944234366</v>
      </c>
      <c r="DT100" s="59">
        <f ca="1">AVERAGE(OFFSET($DS$3,0,0,'Données projet'!$E$14+1,1))-AVERAGE(OFFSET($H$3,0,0,'Données projet'!$E$14+1,1))</f>
        <v>261.22357949323879</v>
      </c>
      <c r="DU100" s="59">
        <f t="shared" si="98"/>
        <v>163.41029152029387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0</v>
      </c>
      <c r="EB100" s="21">
        <f>EXP(-LN(2)/25)*EB99+(1-EXP(-LN(2)/25))/(LN(2)/25)*Calculateur!DW100*Calculateur!DY100*VLOOKUP('Données projet'!$B$14,Paramètres!$A$1:$I$89,3,0)*0.475*44/12</f>
        <v>0.51807914920380527</v>
      </c>
      <c r="EC100" s="21">
        <f>EXP(-LN(2)/2)*EC99+(1-EXP(-LN(2)/2))/(LN(2)/2)*DW100*DZ100*VLOOKUP('Données projet'!$B$14,Paramètres!$A$1:$I$89,3,0)*0.475*44/12</f>
        <v>5.4463272484216582E-10</v>
      </c>
      <c r="ED100" s="22">
        <f t="shared" si="72"/>
        <v>0.51807914974843794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8.3000000000000007</v>
      </c>
      <c r="EJ100" s="12">
        <f>IF('Données projet'!$A$192&gt;35,EJ99+EI100-ER99,IF(A100&lt;'Données projet'!$A$192,$EG$205^A100,IF(A100='Données projet'!$A$192,'Données projet'!$B$192,EJ99+EI100-ER99)))</f>
        <v>383</v>
      </c>
      <c r="EK100" s="17">
        <f>EJ100*VLOOKUP('Données projet'!$B$15,Paramètres!$A$1:$I$89,3,0)*VLOOKUP('Données projet'!$B$15,Paramètres!$A$1:$I$89,5,0)</f>
        <v>179.244</v>
      </c>
      <c r="EL100" s="13">
        <f t="shared" si="99"/>
        <v>45.153948916787364</v>
      </c>
      <c r="EM100" s="20">
        <f t="shared" si="73"/>
        <v>390.82642769673799</v>
      </c>
      <c r="EN100" s="59">
        <f t="shared" si="74"/>
        <v>684.15976103007131</v>
      </c>
      <c r="EO100" s="59">
        <f ca="1">AVERAGE(OFFSET($EN$3,0,0,'Données projet'!$E$15+1,1))-AVERAGE(OFFSET($H$3,0,0,'Données projet'!$E$15+1,1))</f>
        <v>123.60520571614535</v>
      </c>
      <c r="EP100" s="59">
        <f t="shared" si="100"/>
        <v>119.00926870519527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0.23009818625068895</v>
      </c>
      <c r="EW100" s="21">
        <f>EXP(-LN(2)/25)*EW99+(1-EXP(-LN(2)/25))/(LN(2)/25)*Calculateur!ER100*Calculateur!ET100*VLOOKUP('Données projet'!$B$15,Paramètres!$A$1:$I$89,3,0)*0.475*44/12</f>
        <v>0.7453716487272144</v>
      </c>
      <c r="EX100" s="21">
        <f>EXP(-LN(2)/2)*EX99+(1-EXP(-LN(2)/2))/(LN(2)/2)*ER100*EU100*VLOOKUP('Données projet'!$B$15,Paramètres!$A$1:$I$89,3,0)*0.475*44/12</f>
        <v>5.0326880841234296E-10</v>
      </c>
      <c r="EY100" s="22">
        <f t="shared" si="75"/>
        <v>0.97546983548117217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-8.5265128291212022E-14</v>
      </c>
      <c r="FF100" s="17">
        <f>FE100*VLOOKUP('Données projet'!$B$16,Paramètres!$A$1:$I$89,3,0)*VLOOKUP('Données projet'!$B$16,Paramètres!$A$1:$I$89,5,0)</f>
        <v>-6.2516392063116648E-14</v>
      </c>
      <c r="FG100" s="13" t="e">
        <f t="shared" si="101"/>
        <v>#NUM!</v>
      </c>
      <c r="FH100" s="20" t="e">
        <f t="shared" si="76"/>
        <v>#NUM!</v>
      </c>
      <c r="FI100" s="59" t="e">
        <f t="shared" si="77"/>
        <v>#NUM!</v>
      </c>
      <c r="FJ100" s="59">
        <f ca="1">AVERAGE(OFFSET($FI$3,0,0,'Données projet'!$E$16+1,1))-AVERAGE(OFFSET($H$3,0,0,'Données projet'!$E$16+1,1))</f>
        <v>124.15919323713428</v>
      </c>
      <c r="FK100" s="59">
        <f t="shared" si="102"/>
        <v>157.85954678210715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0</v>
      </c>
      <c r="FR100" s="21">
        <f>EXP(-LN(2)/25)*FR99+(1-EXP(-LN(2)/25))/(LN(2)/25)*Calculateur!FM100*Calculateur!FO100*VLOOKUP('Données projet'!$B$16,Paramètres!$A$1:$I$89,3,0)*0.475*44/12</f>
        <v>0.78432403652077021</v>
      </c>
      <c r="FS100" s="21">
        <f>EXP(-LN(2)/2)*FS99+(1-EXP(-LN(2)/2))/(LN(2)/2)*FM100*FP100*VLOOKUP('Données projet'!$B$16,Paramètres!$A$1:$I$89,3,0)*0.475*44/12</f>
        <v>6.0728782783386319E-10</v>
      </c>
      <c r="FT100" s="22">
        <f t="shared" si="78"/>
        <v>0.78432403712805798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4.9000000000000004</v>
      </c>
      <c r="N101" s="13">
        <f>IF('Données projet'!$A$36&gt;35,N100+M101-V100,IF(A101&lt;'Données projet'!$A$36,$K$205^A101,IF(A101='Données projet'!$A$36,'Données projet'!$B$36,N100+M101-V100)))</f>
        <v>293.20000000000027</v>
      </c>
      <c r="O101" s="13">
        <f>N101*VLOOKUP('Données projet'!$B$9,Paramètres!$A$1:$I$89,3,0)*VLOOKUP('Données projet'!$B$9,Paramètres!$A$1:$I$89,5,0)</f>
        <v>265.28736000000026</v>
      </c>
      <c r="P101" s="13">
        <f t="shared" si="87"/>
        <v>63.848105500970064</v>
      </c>
      <c r="Q101" s="20">
        <f t="shared" si="107"/>
        <v>573.24426908085661</v>
      </c>
      <c r="R101" s="59">
        <f t="shared" si="55"/>
        <v>866.57760241418987</v>
      </c>
      <c r="S101" s="59">
        <f ca="1">AVERAGE(OFFSET($R$3,0,0,'Données projet'!$E$9+1,1))-AVERAGE(OFFSET($H$3,0,0,'Données projet'!$E$9+1,1))</f>
        <v>237.22177246688199</v>
      </c>
      <c r="T101" s="59">
        <f t="shared" si="88"/>
        <v>149.27472147904302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</v>
      </c>
      <c r="AA101" s="21">
        <f>EXP(-LN(2)/25)*AA100+(1-EXP(-LN(2)/25))/(LN(2)/25)*Calculateur!V101*Calculateur!X101*VLOOKUP('Données projet'!$B$9,Paramètres!$A$1:$I$89,3,0)*0.475*44/12</f>
        <v>0.4714017800355691</v>
      </c>
      <c r="AB101" s="21">
        <f>EXP(-LN(2)/2)*AB100+(1-EXP(-LN(2)/2))/(LN(2)/2)*V101*Y101*VLOOKUP('Données projet'!$B$9,Paramètres!$A$1:$I$89,3,0)*0.475*44/12</f>
        <v>3.6026746118606693E-10</v>
      </c>
      <c r="AC101" s="22">
        <f t="shared" si="57"/>
        <v>0.47140178039583658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-8.5265128291212022E-14</v>
      </c>
      <c r="AJ101" s="13">
        <f>AI101*VLOOKUP('Données projet'!$B$10,Paramètres!$A$1:$I$89,3,0)*VLOOKUP('Données projet'!$B$10,Paramètres!$A$1:$I$89,5,0)</f>
        <v>-7.4487616075202836E-14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191.94797389630673</v>
      </c>
      <c r="AO101" s="59">
        <f t="shared" si="90"/>
        <v>273.52540822767878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0.66967117154681799</v>
      </c>
      <c r="AV101" s="21">
        <f>EXP(-LN(2)/25)*AV100+(1-EXP(-LN(2)/25))/(LN(2)/25)*Calculateur!AQ101*Calculateur!AS101*VLOOKUP('Données projet'!$B$10,Paramètres!$A$1:$I$89,3,0)*0.475*44/12</f>
        <v>2.1321491422678496</v>
      </c>
      <c r="AW101" s="21">
        <f>EXP(-LN(2)/2)*AW100+(1-EXP(-LN(2)/2))/(LN(2)/2)*AQ101*AT101*VLOOKUP('Données projet'!$B$10,Paramètres!$A$1:$I$89,3,0)*0.475*44/12</f>
        <v>1.350596018581964E-9</v>
      </c>
      <c r="AX101" s="21">
        <f t="shared" si="60"/>
        <v>2.8018203151652639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>
        <f>BD101*VLOOKUP('Données projet'!$B$11,Paramètres!$A$1:$I$89,3,0)*VLOOKUP('Données projet'!$B$11,Paramètres!$A$1:$I$89,5,0)</f>
        <v>0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72.647148358003676</v>
      </c>
      <c r="BJ101" s="59">
        <f t="shared" si="92"/>
        <v>87.231299224620898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0.33097328221084299</v>
      </c>
      <c r="BQ101" s="21">
        <f>EXP(-LN(2)/25)*BQ100+(1-EXP(-LN(2)/25))/(LN(2)/25)*Calculateur!BL101*Calculateur!BN101*VLOOKUP('Données projet'!$B$11,Paramètres!$A$1:$I$89,3,0)*0.475*44/12</f>
        <v>0.68770904686346512</v>
      </c>
      <c r="BR101" s="21">
        <f>EXP(-LN(2)/2)*BR100+(1-EXP(-LN(2)/2))/(LN(2)/2)*BL101*BO101*VLOOKUP('Données projet'!$B$11,Paramètres!$A$1:$I$89,3,0)*0.475*44/12</f>
        <v>1.327656277147346E-10</v>
      </c>
      <c r="BS101" s="22">
        <f t="shared" si="63"/>
        <v>1.0186823292070737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5.6843418860808015E-14</v>
      </c>
      <c r="BZ101" s="13">
        <f>BY101*VLOOKUP('Données projet'!$B$12,Paramètres!$A$1:$I$89,3,0)*VLOOKUP('Données projet'!$B$12,Paramètres!$A$1:$I$89,5,0)</f>
        <v>3.3992364478763198E-14</v>
      </c>
      <c r="CA101" s="13">
        <f t="shared" si="93"/>
        <v>5.790027782444094E-13</v>
      </c>
      <c r="CB101" s="20">
        <f t="shared" si="64"/>
        <v>1.0676332069095257E-12</v>
      </c>
      <c r="CC101" s="59">
        <f t="shared" si="65"/>
        <v>293.33333333333439</v>
      </c>
      <c r="CD101" s="59">
        <f ca="1">AVERAGE(OFFSET($CC$3,0,0,'Données projet'!$E$12+1,1))-AVERAGE(OFFSET($H$3,0,0,'Données projet'!$E$12+1,1))</f>
        <v>165.39579887388538</v>
      </c>
      <c r="CE101" s="59">
        <f t="shared" si="94"/>
        <v>155.89639262545802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</v>
      </c>
      <c r="CL101" s="21">
        <f>EXP(-LN(2)/25)*CL100+(1-EXP(-LN(2)/25))/(LN(2)/25)*Calculateur!CG101*Calculateur!CI101*VLOOKUP('Données projet'!$B$12,Paramètres!$A$1:$I$89,3,0)*0.475*44/12</f>
        <v>1.1063205229549176</v>
      </c>
      <c r="CM101" s="21">
        <f>EXP(-LN(2)/2)*CM100+(1-EXP(-LN(2)/2))/(LN(2)/2)*CG101*CJ101*VLOOKUP('Données projet'!$B$12,Paramètres!$A$1:$I$89,3,0)*0.475*44/12</f>
        <v>8.0792441355163183E-10</v>
      </c>
      <c r="CN101" s="22">
        <f t="shared" si="66"/>
        <v>1.106320523762842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3.4106051316484809E-13</v>
      </c>
      <c r="CU101" s="17">
        <f>CT101*VLOOKUP('Données projet'!$B$13,Paramètres!$A$1:$I$89,3,0)*VLOOKUP('Données projet'!$B$13,Paramètres!$A$1:$I$89,5,0)</f>
        <v>2.6602720026858149E-13</v>
      </c>
      <c r="CV101" s="13">
        <f t="shared" si="95"/>
        <v>3.5662905043956649E-12</v>
      </c>
      <c r="CW101" s="20">
        <f t="shared" si="67"/>
        <v>6.6746200022902298E-12</v>
      </c>
      <c r="CX101" s="59">
        <f t="shared" si="68"/>
        <v>293.33333333333997</v>
      </c>
      <c r="CY101" s="59">
        <f ca="1">AVERAGE(OFFSET($CX$3,0,0,'Données projet'!$E$13+1,1))-AVERAGE(OFFSET($H$3,0,0,'Données projet'!$E$13+1,1))</f>
        <v>190.06335940156185</v>
      </c>
      <c r="CZ101" s="59">
        <f t="shared" si="96"/>
        <v>166.43663896839928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0</v>
      </c>
      <c r="DG101" s="21">
        <f>EXP(-LN(2)/25)*DG100+(1-EXP(-LN(2)/25))/(LN(2)/25)*Calculateur!DB101*Calculateur!DD101*VLOOKUP('Données projet'!$B$13,Paramètres!$A$1:$I$89,3,0)*0.475*44/12</f>
        <v>0.6778911148935477</v>
      </c>
      <c r="DH101" s="21">
        <f>EXP(-LN(2)/2)*DH100+(1-EXP(-LN(2)/2))/(LN(2)/2)*DB101*DE101*VLOOKUP('Données projet'!$B$13,Paramètres!$A$1:$I$89,3,0)*0.475*44/12</f>
        <v>3.1003721826350643E-10</v>
      </c>
      <c r="DI101" s="22">
        <f t="shared" si="69"/>
        <v>0.67789111520358492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4.9000000000000004</v>
      </c>
      <c r="DO101" s="12">
        <f>IF('Données projet'!$A$166&gt;35,DO100+DN101-DW100,IF(A101&lt;'Données projet'!$A$166,$DL$205^A101,IF(A101='Données projet'!$A$166,'Données projet'!$B$166,DO100+DN101-DW100)))</f>
        <v>293.20000000000027</v>
      </c>
      <c r="DP101" s="17">
        <f>DO101*VLOOKUP('Données projet'!$B$14,Paramètres!$A$1:$I$89,3,0)*VLOOKUP('Données projet'!$B$14,Paramètres!$A$1:$I$89,5,0)</f>
        <v>283.58304000000027</v>
      </c>
      <c r="DQ101" s="13">
        <f t="shared" si="97"/>
        <v>67.723646968605209</v>
      </c>
      <c r="DR101" s="20">
        <f t="shared" si="70"/>
        <v>611.85914647032121</v>
      </c>
      <c r="DS101" s="59">
        <f t="shared" si="71"/>
        <v>905.19247980365458</v>
      </c>
      <c r="DT101" s="59">
        <f ca="1">AVERAGE(OFFSET($DS$3,0,0,'Données projet'!$E$14+1,1))-AVERAGE(OFFSET($H$3,0,0,'Données projet'!$E$14+1,1))</f>
        <v>261.22357949323879</v>
      </c>
      <c r="DU101" s="59">
        <f t="shared" si="98"/>
        <v>163.41029152029387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0</v>
      </c>
      <c r="EB101" s="21">
        <f>EXP(-LN(2)/25)*EB100+(1-EXP(-LN(2)/25))/(LN(2)/25)*Calculateur!DW101*Calculateur!DY101*VLOOKUP('Données projet'!$B$14,Paramètres!$A$1:$I$89,3,0)*0.475*44/12</f>
        <v>0.50391224762422882</v>
      </c>
      <c r="EC101" s="21">
        <f>EXP(-LN(2)/2)*EC100+(1-EXP(-LN(2)/2))/(LN(2)/2)*DW101*DZ101*VLOOKUP('Données projet'!$B$14,Paramètres!$A$1:$I$89,3,0)*0.475*44/12</f>
        <v>3.851134929920025E-10</v>
      </c>
      <c r="ED101" s="22">
        <f t="shared" si="72"/>
        <v>0.50391224800934231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8.3000000000000007</v>
      </c>
      <c r="EJ101" s="12">
        <f>IF('Données projet'!$A$192&gt;35,EJ100+EI101-ER100,IF(A101&lt;'Données projet'!$A$192,$EG$205^A101,IF(A101='Données projet'!$A$192,'Données projet'!$B$192,EJ100+EI101-ER100)))</f>
        <v>391.3</v>
      </c>
      <c r="EK101" s="17">
        <f>EJ101*VLOOKUP('Données projet'!$B$15,Paramètres!$A$1:$I$89,3,0)*VLOOKUP('Données projet'!$B$15,Paramètres!$A$1:$I$89,5,0)</f>
        <v>183.1284</v>
      </c>
      <c r="EL101" s="13">
        <f t="shared" si="99"/>
        <v>46.017498014577676</v>
      </c>
      <c r="EM101" s="20">
        <f t="shared" si="73"/>
        <v>399.09577237538946</v>
      </c>
      <c r="EN101" s="59">
        <f t="shared" si="74"/>
        <v>692.42910570872277</v>
      </c>
      <c r="EO101" s="59">
        <f ca="1">AVERAGE(OFFSET($EN$3,0,0,'Données projet'!$E$15+1,1))-AVERAGE(OFFSET($H$3,0,0,'Données projet'!$E$15+1,1))</f>
        <v>123.60520571614535</v>
      </c>
      <c r="EP101" s="59">
        <f t="shared" si="100"/>
        <v>119.00926870519527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0.22558610116434855</v>
      </c>
      <c r="EW101" s="21">
        <f>EXP(-LN(2)/25)*EW100+(1-EXP(-LN(2)/25))/(LN(2)/25)*Calculateur!ER101*Calculateur!ET101*VLOOKUP('Données projet'!$B$15,Paramètres!$A$1:$I$89,3,0)*0.475*44/12</f>
        <v>0.72498942179537729</v>
      </c>
      <c r="EX101" s="21">
        <f>EXP(-LN(2)/2)*EX100+(1-EXP(-LN(2)/2))/(LN(2)/2)*ER101*EU101*VLOOKUP('Données projet'!$B$15,Paramètres!$A$1:$I$89,3,0)*0.475*44/12</f>
        <v>3.5586478718804111E-10</v>
      </c>
      <c r="EY101" s="22">
        <f t="shared" si="75"/>
        <v>0.95057552331559059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-8.5265128291212022E-14</v>
      </c>
      <c r="FF101" s="17">
        <f>FE101*VLOOKUP('Données projet'!$B$16,Paramètres!$A$1:$I$89,3,0)*VLOOKUP('Données projet'!$B$16,Paramètres!$A$1:$I$89,5,0)</f>
        <v>-6.2516392063116648E-14</v>
      </c>
      <c r="FG101" s="13" t="e">
        <f t="shared" si="101"/>
        <v>#NUM!</v>
      </c>
      <c r="FH101" s="20" t="e">
        <f t="shared" si="76"/>
        <v>#NUM!</v>
      </c>
      <c r="FI101" s="59" t="e">
        <f t="shared" si="77"/>
        <v>#NUM!</v>
      </c>
      <c r="FJ101" s="59">
        <f ca="1">AVERAGE(OFFSET($FI$3,0,0,'Données projet'!$E$16+1,1))-AVERAGE(OFFSET($H$3,0,0,'Données projet'!$E$16+1,1))</f>
        <v>124.15919323713428</v>
      </c>
      <c r="FK101" s="59">
        <f t="shared" si="102"/>
        <v>157.85954678210715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0</v>
      </c>
      <c r="FR101" s="21">
        <f>EXP(-LN(2)/25)*FR100+(1-EXP(-LN(2)/25))/(LN(2)/25)*Calculateur!FM101*Calculateur!FO101*VLOOKUP('Données projet'!$B$16,Paramètres!$A$1:$I$89,3,0)*0.475*44/12</f>
        <v>0.76287665449630127</v>
      </c>
      <c r="FS101" s="21">
        <f>EXP(-LN(2)/2)*FS100+(1-EXP(-LN(2)/2))/(LN(2)/2)*FM101*FP101*VLOOKUP('Données projet'!$B$16,Paramètres!$A$1:$I$89,3,0)*0.475*44/12</f>
        <v>4.2941734119337325E-10</v>
      </c>
      <c r="FT101" s="22">
        <f t="shared" si="78"/>
        <v>0.76287665492571866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4.9000000000000004</v>
      </c>
      <c r="N102" s="13">
        <f>IF('Données projet'!$A$36&gt;35,N101+M102-V101,IF(A102&lt;'Données projet'!$A$36,$K$205^A102,IF(A102='Données projet'!$A$36,'Données projet'!$B$36,N101+M102-V101)))</f>
        <v>298.10000000000025</v>
      </c>
      <c r="O102" s="13">
        <f>N102*VLOOKUP('Données projet'!$B$9,Paramètres!$A$1:$I$89,3,0)*VLOOKUP('Données projet'!$B$9,Paramètres!$A$1:$I$89,5,0)</f>
        <v>269.72088000000025</v>
      </c>
      <c r="P102" s="13">
        <f t="shared" si="87"/>
        <v>64.790029413947011</v>
      </c>
      <c r="Q102" s="20">
        <f t="shared" si="107"/>
        <v>582.60650056262477</v>
      </c>
      <c r="R102" s="59">
        <f t="shared" si="55"/>
        <v>875.93983389595815</v>
      </c>
      <c r="S102" s="59">
        <f ca="1">AVERAGE(OFFSET($R$3,0,0,'Données projet'!$E$9+1,1))-AVERAGE(OFFSET($H$3,0,0,'Données projet'!$E$9+1,1))</f>
        <v>237.22177246688199</v>
      </c>
      <c r="T102" s="59">
        <f t="shared" si="88"/>
        <v>149.27472147904302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</v>
      </c>
      <c r="AA102" s="21">
        <f>EXP(-LN(2)/25)*AA101+(1-EXP(-LN(2)/25))/(LN(2)/25)*Calculateur!V102*Calculateur!X102*VLOOKUP('Données projet'!$B$9,Paramètres!$A$1:$I$89,3,0)*0.475*44/12</f>
        <v>0.45851127357055427</v>
      </c>
      <c r="AB102" s="21">
        <f>EXP(-LN(2)/2)*AB101+(1-EXP(-LN(2)/2))/(LN(2)/2)*V102*Y102*VLOOKUP('Données projet'!$B$9,Paramètres!$A$1:$I$89,3,0)*0.475*44/12</f>
        <v>2.5474756484552923E-10</v>
      </c>
      <c r="AC102" s="22">
        <f t="shared" si="57"/>
        <v>0.45851127382530182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-8.5265128291212022E-14</v>
      </c>
      <c r="AJ102" s="13">
        <f>AI102*VLOOKUP('Données projet'!$B$10,Paramètres!$A$1:$I$89,3,0)*VLOOKUP('Données projet'!$B$10,Paramètres!$A$1:$I$89,5,0)</f>
        <v>-7.4487616075202836E-14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191.94797389630673</v>
      </c>
      <c r="AO102" s="59">
        <f t="shared" si="90"/>
        <v>273.52540822767878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0.65653932833186757</v>
      </c>
      <c r="AV102" s="21">
        <f>EXP(-LN(2)/25)*AV101+(1-EXP(-LN(2)/25))/(LN(2)/25)*Calculateur!AQ102*Calculateur!AS102*VLOOKUP('Données projet'!$B$10,Paramètres!$A$1:$I$89,3,0)*0.475*44/12</f>
        <v>2.0738454118476848</v>
      </c>
      <c r="AW102" s="21">
        <f>EXP(-LN(2)/2)*AW101+(1-EXP(-LN(2)/2))/(LN(2)/2)*AQ102*AT102*VLOOKUP('Données projet'!$B$10,Paramètres!$A$1:$I$89,3,0)*0.475*44/12</f>
        <v>9.5501560338285905E-10</v>
      </c>
      <c r="AX102" s="21">
        <f t="shared" si="60"/>
        <v>2.7303847411345679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>
        <f>BD102*VLOOKUP('Données projet'!$B$11,Paramètres!$A$1:$I$89,3,0)*VLOOKUP('Données projet'!$B$11,Paramètres!$A$1:$I$89,5,0)</f>
        <v>0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72.647148358003676</v>
      </c>
      <c r="BJ102" s="59">
        <f t="shared" si="92"/>
        <v>87.231299224620898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0.32448309802045711</v>
      </c>
      <c r="BQ102" s="21">
        <f>EXP(-LN(2)/25)*BQ101+(1-EXP(-LN(2)/25))/(LN(2)/25)*Calculateur!BL102*Calculateur!BN102*VLOOKUP('Données projet'!$B$11,Paramètres!$A$1:$I$89,3,0)*0.475*44/12</f>
        <v>0.66890360681193672</v>
      </c>
      <c r="BR102" s="21">
        <f>EXP(-LN(2)/2)*BR101+(1-EXP(-LN(2)/2))/(LN(2)/2)*BL102*BO102*VLOOKUP('Données projet'!$B$11,Paramètres!$A$1:$I$89,3,0)*0.475*44/12</f>
        <v>9.3879475665577468E-11</v>
      </c>
      <c r="BS102" s="22">
        <f t="shared" si="63"/>
        <v>0.99338670492627335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5.6843418860808015E-14</v>
      </c>
      <c r="BZ102" s="13">
        <f>BY102*VLOOKUP('Données projet'!$B$12,Paramètres!$A$1:$I$89,3,0)*VLOOKUP('Données projet'!$B$12,Paramètres!$A$1:$I$89,5,0)</f>
        <v>3.3992364478763198E-14</v>
      </c>
      <c r="CA102" s="13">
        <f t="shared" si="93"/>
        <v>5.790027782444094E-13</v>
      </c>
      <c r="CB102" s="20">
        <f t="shared" si="64"/>
        <v>1.0676332069095257E-12</v>
      </c>
      <c r="CC102" s="59">
        <f t="shared" si="65"/>
        <v>293.33333333333439</v>
      </c>
      <c r="CD102" s="59">
        <f ca="1">AVERAGE(OFFSET($CC$3,0,0,'Données projet'!$E$12+1,1))-AVERAGE(OFFSET($H$3,0,0,'Données projet'!$E$12+1,1))</f>
        <v>165.39579887388538</v>
      </c>
      <c r="CE102" s="59">
        <f t="shared" si="94"/>
        <v>155.89639262545802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</v>
      </c>
      <c r="CL102" s="21">
        <f>EXP(-LN(2)/25)*CL101+(1-EXP(-LN(2)/25))/(LN(2)/25)*Calculateur!CG102*Calculateur!CI102*VLOOKUP('Données projet'!$B$12,Paramètres!$A$1:$I$89,3,0)*0.475*44/12</f>
        <v>1.0760681300758477</v>
      </c>
      <c r="CM102" s="21">
        <f>EXP(-LN(2)/2)*CM101+(1-EXP(-LN(2)/2))/(LN(2)/2)*CG102*CJ102*VLOOKUP('Données projet'!$B$12,Paramètres!$A$1:$I$89,3,0)*0.475*44/12</f>
        <v>5.7128883150852345E-10</v>
      </c>
      <c r="CN102" s="22">
        <f t="shared" si="66"/>
        <v>1.0760681306471365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3.4106051316484809E-13</v>
      </c>
      <c r="CU102" s="17">
        <f>CT102*VLOOKUP('Données projet'!$B$13,Paramètres!$A$1:$I$89,3,0)*VLOOKUP('Données projet'!$B$13,Paramètres!$A$1:$I$89,5,0)</f>
        <v>2.6602720026858149E-13</v>
      </c>
      <c r="CV102" s="13">
        <f t="shared" si="95"/>
        <v>3.5662905043956649E-12</v>
      </c>
      <c r="CW102" s="20">
        <f t="shared" si="67"/>
        <v>6.6746200022902298E-12</v>
      </c>
      <c r="CX102" s="59">
        <f t="shared" si="68"/>
        <v>293.33333333333997</v>
      </c>
      <c r="CY102" s="59">
        <f ca="1">AVERAGE(OFFSET($CX$3,0,0,'Données projet'!$E$13+1,1))-AVERAGE(OFFSET($H$3,0,0,'Données projet'!$E$13+1,1))</f>
        <v>190.06335940156185</v>
      </c>
      <c r="CZ102" s="59">
        <f t="shared" si="96"/>
        <v>166.43663896839928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0</v>
      </c>
      <c r="DG102" s="21">
        <f>EXP(-LN(2)/25)*DG101+(1-EXP(-LN(2)/25))/(LN(2)/25)*Calculateur!DB102*Calculateur!DD102*VLOOKUP('Données projet'!$B$13,Paramètres!$A$1:$I$89,3,0)*0.475*44/12</f>
        <v>0.65935414670803927</v>
      </c>
      <c r="DH102" s="21">
        <f>EXP(-LN(2)/2)*DH101+(1-EXP(-LN(2)/2))/(LN(2)/2)*DB102*DE102*VLOOKUP('Données projet'!$B$13,Paramètres!$A$1:$I$89,3,0)*0.475*44/12</f>
        <v>2.1922941945433912E-10</v>
      </c>
      <c r="DI102" s="22">
        <f t="shared" si="69"/>
        <v>0.65935414692726868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4.9000000000000004</v>
      </c>
      <c r="DO102" s="12">
        <f>IF('Données projet'!$A$166&gt;35,DO101+DN102-DW101,IF(A102&lt;'Données projet'!$A$166,$DL$205^A102,IF(A102='Données projet'!$A$166,'Données projet'!$B$166,DO101+DN102-DW101)))</f>
        <v>298.10000000000025</v>
      </c>
      <c r="DP102" s="17">
        <f>DO102*VLOOKUP('Données projet'!$B$14,Paramètres!$A$1:$I$89,3,0)*VLOOKUP('Données projet'!$B$14,Paramètres!$A$1:$I$89,5,0)</f>
        <v>288.32232000000022</v>
      </c>
      <c r="DQ102" s="13">
        <f t="shared" si="97"/>
        <v>68.722745094590678</v>
      </c>
      <c r="DR102" s="20">
        <f t="shared" si="70"/>
        <v>621.85348837307913</v>
      </c>
      <c r="DS102" s="59">
        <f t="shared" si="71"/>
        <v>915.1868217064125</v>
      </c>
      <c r="DT102" s="59">
        <f ca="1">AVERAGE(OFFSET($DS$3,0,0,'Données projet'!$E$14+1,1))-AVERAGE(OFFSET($H$3,0,0,'Données projet'!$E$14+1,1))</f>
        <v>261.22357949323879</v>
      </c>
      <c r="DU102" s="59">
        <f t="shared" si="98"/>
        <v>163.41029152029387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0</v>
      </c>
      <c r="EB102" s="21">
        <f>EXP(-LN(2)/25)*EB101+(1-EXP(-LN(2)/25))/(LN(2)/25)*Calculateur!DW102*Calculateur!DY102*VLOOKUP('Données projet'!$B$14,Paramètres!$A$1:$I$89,3,0)*0.475*44/12</f>
        <v>0.49013274071335089</v>
      </c>
      <c r="EC102" s="21">
        <f>EXP(-LN(2)/2)*EC101+(1-EXP(-LN(2)/2))/(LN(2)/2)*DW102*DZ102*VLOOKUP('Données projet'!$B$14,Paramètres!$A$1:$I$89,3,0)*0.475*44/12</f>
        <v>2.7231636242108291E-10</v>
      </c>
      <c r="ED102" s="22">
        <f t="shared" si="72"/>
        <v>0.49013274098566723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8.3000000000000007</v>
      </c>
      <c r="EJ102" s="12">
        <f>IF('Données projet'!$A$192&gt;35,EJ101+EI102-ER101,IF(A102&lt;'Données projet'!$A$192,$EG$205^A102,IF(A102='Données projet'!$A$192,'Données projet'!$B$192,EJ101+EI102-ER101)))</f>
        <v>399.6</v>
      </c>
      <c r="EK102" s="17">
        <f>EJ102*VLOOKUP('Données projet'!$B$15,Paramètres!$A$1:$I$89,3,0)*VLOOKUP('Données projet'!$B$15,Paramètres!$A$1:$I$89,5,0)</f>
        <v>187.0128</v>
      </c>
      <c r="EL102" s="13">
        <f t="shared" si="99"/>
        <v>46.878917470101705</v>
      </c>
      <c r="EM102" s="20">
        <f t="shared" si="73"/>
        <v>407.36140792709375</v>
      </c>
      <c r="EN102" s="59">
        <f t="shared" si="74"/>
        <v>700.69474126042701</v>
      </c>
      <c r="EO102" s="59">
        <f ca="1">AVERAGE(OFFSET($EN$3,0,0,'Données projet'!$E$15+1,1))-AVERAGE(OFFSET($H$3,0,0,'Données projet'!$E$15+1,1))</f>
        <v>123.60520571614535</v>
      </c>
      <c r="EP102" s="59">
        <f t="shared" si="100"/>
        <v>119.00926870519527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0.22116249531445112</v>
      </c>
      <c r="EW102" s="21">
        <f>EXP(-LN(2)/25)*EW101+(1-EXP(-LN(2)/25))/(LN(2)/25)*Calculateur!ER102*Calculateur!ET102*VLOOKUP('Données projet'!$B$15,Paramètres!$A$1:$I$89,3,0)*0.475*44/12</f>
        <v>0.70516454793084604</v>
      </c>
      <c r="EX102" s="21">
        <f>EXP(-LN(2)/2)*EX101+(1-EXP(-LN(2)/2))/(LN(2)/2)*ER102*EU102*VLOOKUP('Données projet'!$B$15,Paramètres!$A$1:$I$89,3,0)*0.475*44/12</f>
        <v>2.5163440420617148E-10</v>
      </c>
      <c r="EY102" s="22">
        <f t="shared" si="75"/>
        <v>0.92632704349693151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-8.5265128291212022E-14</v>
      </c>
      <c r="FF102" s="17">
        <f>FE102*VLOOKUP('Données projet'!$B$16,Paramètres!$A$1:$I$89,3,0)*VLOOKUP('Données projet'!$B$16,Paramètres!$A$1:$I$89,5,0)</f>
        <v>-6.2516392063116648E-14</v>
      </c>
      <c r="FG102" s="13" t="e">
        <f t="shared" si="101"/>
        <v>#NUM!</v>
      </c>
      <c r="FH102" s="20" t="e">
        <f t="shared" si="76"/>
        <v>#NUM!</v>
      </c>
      <c r="FI102" s="59" t="e">
        <f t="shared" si="77"/>
        <v>#NUM!</v>
      </c>
      <c r="FJ102" s="59">
        <f ca="1">AVERAGE(OFFSET($FI$3,0,0,'Données projet'!$E$16+1,1))-AVERAGE(OFFSET($H$3,0,0,'Données projet'!$E$16+1,1))</f>
        <v>124.15919323713428</v>
      </c>
      <c r="FK102" s="59">
        <f t="shared" si="102"/>
        <v>157.85954678210715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0</v>
      </c>
      <c r="FR102" s="21">
        <f>EXP(-LN(2)/25)*FR101+(1-EXP(-LN(2)/25))/(LN(2)/25)*Calculateur!FM102*Calculateur!FO102*VLOOKUP('Données projet'!$B$16,Paramètres!$A$1:$I$89,3,0)*0.475*44/12</f>
        <v>0.74201575226116023</v>
      </c>
      <c r="FS102" s="21">
        <f>EXP(-LN(2)/2)*FS101+(1-EXP(-LN(2)/2))/(LN(2)/2)*FM102*FP102*VLOOKUP('Données projet'!$B$16,Paramètres!$A$1:$I$89,3,0)*0.475*44/12</f>
        <v>3.036439139169316E-10</v>
      </c>
      <c r="FT102" s="22">
        <f t="shared" si="78"/>
        <v>0.74201575256480412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303</v>
      </c>
      <c r="L103" s="12">
        <f>VLOOKUP(A103,'Données projet'!$A$35:$I$55,9,0)</f>
        <v>4.9000000000000004</v>
      </c>
      <c r="M103" s="12">
        <f t="array" ref="M103">INDEX(L:L,MIN(IF(ISNUMBER(L103:L299),ROW(L103:L299),"")))</f>
        <v>4.9000000000000004</v>
      </c>
      <c r="N103" s="13">
        <f>IF('Données projet'!$A$36&gt;35,N102+M103-V102,IF(A103&lt;'Données projet'!$A$36,$K$205^A103,IF(A103='Données projet'!$A$36,'Données projet'!$B$36,N102+M103-V102)))</f>
        <v>303.00000000000023</v>
      </c>
      <c r="O103" s="13">
        <f>N103*VLOOKUP('Données projet'!$B$9,Paramètres!$A$1:$I$89,3,0)*VLOOKUP('Données projet'!$B$9,Paramètres!$A$1:$I$89,5,0)</f>
        <v>274.15440000000018</v>
      </c>
      <c r="P103" s="13">
        <f t="shared" si="87"/>
        <v>65.730152764515836</v>
      </c>
      <c r="Q103" s="20">
        <f t="shared" si="107"/>
        <v>591.96559606486528</v>
      </c>
      <c r="R103" s="59">
        <f t="shared" si="55"/>
        <v>885.29892939819865</v>
      </c>
      <c r="S103" s="59">
        <f ca="1">AVERAGE(OFFSET($R$3,0,0,'Données projet'!$E$9+1,1))-AVERAGE(OFFSET($H$3,0,0,'Données projet'!$E$9+1,1))</f>
        <v>237.22177246688199</v>
      </c>
      <c r="T103" s="59">
        <f t="shared" si="88"/>
        <v>149.27472147904302</v>
      </c>
      <c r="U103" s="15">
        <f>IF(ISNA(VLOOKUP(A103,'Données projet'!$A$35:$I$55,3,0)),0,VLOOKUP(A103,'Données projet'!$A$35:$I$55,3,0))</f>
        <v>8</v>
      </c>
      <c r="V103" s="15">
        <f>IF(ISNA(VLOOKUP(A103,'Données projet'!$A$35:$I$55,4,0)),0,VLOOKUP(A103,'Données projet'!$A$35:$I$55,4,0))</f>
        <v>42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</v>
      </c>
      <c r="AA103" s="21">
        <f>EXP(-LN(2)/25)*AA102+(1-EXP(-LN(2)/25))/(LN(2)/25)*Calculateur!V103*Calculateur!X103*VLOOKUP('Données projet'!$B$9,Paramètres!$A$1:$I$89,3,0)*0.475*44/12</f>
        <v>0.44597325868270754</v>
      </c>
      <c r="AB103" s="21">
        <f>EXP(-LN(2)/2)*AB102+(1-EXP(-LN(2)/2))/(LN(2)/2)*V103*Y103*VLOOKUP('Données projet'!$B$9,Paramètres!$A$1:$I$89,3,0)*0.475*44/12</f>
        <v>1.8013373059303346E-10</v>
      </c>
      <c r="AC103" s="22">
        <f t="shared" si="57"/>
        <v>0.44597325886284128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-8.5265128291212022E-14</v>
      </c>
      <c r="AJ103" s="13">
        <f>AI103*VLOOKUP('Données projet'!$B$10,Paramètres!$A$1:$I$89,3,0)*VLOOKUP('Données projet'!$B$10,Paramètres!$A$1:$I$89,5,0)</f>
        <v>-7.4487616075202836E-14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191.94797389630673</v>
      </c>
      <c r="AO103" s="59">
        <f t="shared" si="90"/>
        <v>273.52540822767878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0.6436649925527288</v>
      </c>
      <c r="AV103" s="21">
        <f>EXP(-LN(2)/25)*AV102+(1-EXP(-LN(2)/25))/(LN(2)/25)*Calculateur!AQ103*Calculateur!AS103*VLOOKUP('Données projet'!$B$10,Paramètres!$A$1:$I$89,3,0)*0.475*44/12</f>
        <v>2.0171360000019196</v>
      </c>
      <c r="AW103" s="21">
        <f>EXP(-LN(2)/2)*AW102+(1-EXP(-LN(2)/2))/(LN(2)/2)*AQ103*AT103*VLOOKUP('Données projet'!$B$10,Paramètres!$A$1:$I$89,3,0)*0.475*44/12</f>
        <v>6.7529800929098199E-10</v>
      </c>
      <c r="AX103" s="21">
        <f t="shared" si="60"/>
        <v>2.6608009932299463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>
        <f>BD103*VLOOKUP('Données projet'!$B$11,Paramètres!$A$1:$I$89,3,0)*VLOOKUP('Données projet'!$B$11,Paramètres!$A$1:$I$89,5,0)</f>
        <v>0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72.647148358003676</v>
      </c>
      <c r="BJ103" s="59">
        <f t="shared" si="92"/>
        <v>87.231299224620898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0.31812018238342321</v>
      </c>
      <c r="BQ103" s="21">
        <f>EXP(-LN(2)/25)*BQ102+(1-EXP(-LN(2)/25))/(LN(2)/25)*Calculateur!BL103*Calculateur!BN103*VLOOKUP('Données projet'!$B$11,Paramètres!$A$1:$I$89,3,0)*0.475*44/12</f>
        <v>0.65061240250755248</v>
      </c>
      <c r="BR103" s="21">
        <f>EXP(-LN(2)/2)*BR102+(1-EXP(-LN(2)/2))/(LN(2)/2)*BL103*BO103*VLOOKUP('Données projet'!$B$11,Paramètres!$A$1:$I$89,3,0)*0.475*44/12</f>
        <v>6.6382813857367299E-11</v>
      </c>
      <c r="BS103" s="22">
        <f t="shared" si="63"/>
        <v>0.96873258495735848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5.6843418860808015E-14</v>
      </c>
      <c r="BZ103" s="13">
        <f>BY103*VLOOKUP('Données projet'!$B$12,Paramètres!$A$1:$I$89,3,0)*VLOOKUP('Données projet'!$B$12,Paramètres!$A$1:$I$89,5,0)</f>
        <v>3.3992364478763198E-14</v>
      </c>
      <c r="CA103" s="13">
        <f t="shared" si="93"/>
        <v>5.790027782444094E-13</v>
      </c>
      <c r="CB103" s="20">
        <f t="shared" si="64"/>
        <v>1.0676332069095257E-12</v>
      </c>
      <c r="CC103" s="59">
        <f t="shared" si="65"/>
        <v>293.33333333333439</v>
      </c>
      <c r="CD103" s="59">
        <f ca="1">AVERAGE(OFFSET($CC$3,0,0,'Données projet'!$E$12+1,1))-AVERAGE(OFFSET($H$3,0,0,'Données projet'!$E$12+1,1))</f>
        <v>165.39579887388538</v>
      </c>
      <c r="CE103" s="59">
        <f t="shared" si="94"/>
        <v>155.89639262545802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</v>
      </c>
      <c r="CL103" s="21">
        <f>EXP(-LN(2)/25)*CL102+(1-EXP(-LN(2)/25))/(LN(2)/25)*Calculateur!CG103*Calculateur!CI103*VLOOKUP('Données projet'!$B$12,Paramètres!$A$1:$I$89,3,0)*0.475*44/12</f>
        <v>1.04664299047096</v>
      </c>
      <c r="CM103" s="21">
        <f>EXP(-LN(2)/2)*CM102+(1-EXP(-LN(2)/2))/(LN(2)/2)*CG103*CJ103*VLOOKUP('Données projet'!$B$12,Paramètres!$A$1:$I$89,3,0)*0.475*44/12</f>
        <v>4.0396220677581592E-10</v>
      </c>
      <c r="CN103" s="22">
        <f t="shared" si="66"/>
        <v>1.0466429908749222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3.4106051316484809E-13</v>
      </c>
      <c r="CU103" s="17">
        <f>CT103*VLOOKUP('Données projet'!$B$13,Paramètres!$A$1:$I$89,3,0)*VLOOKUP('Données projet'!$B$13,Paramètres!$A$1:$I$89,5,0)</f>
        <v>2.6602720026858149E-13</v>
      </c>
      <c r="CV103" s="13">
        <f t="shared" si="95"/>
        <v>3.5662905043956649E-12</v>
      </c>
      <c r="CW103" s="20">
        <f t="shared" si="67"/>
        <v>6.6746200022902298E-12</v>
      </c>
      <c r="CX103" s="59">
        <f t="shared" si="68"/>
        <v>293.33333333333997</v>
      </c>
      <c r="CY103" s="59">
        <f ca="1">AVERAGE(OFFSET($CX$3,0,0,'Données projet'!$E$13+1,1))-AVERAGE(OFFSET($H$3,0,0,'Données projet'!$E$13+1,1))</f>
        <v>190.06335940156185</v>
      </c>
      <c r="CZ103" s="59">
        <f t="shared" si="96"/>
        <v>166.43663896839928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0</v>
      </c>
      <c r="DG103" s="21">
        <f>EXP(-LN(2)/25)*DG102+(1-EXP(-LN(2)/25))/(LN(2)/25)*Calculateur!DB103*Calculateur!DD103*VLOOKUP('Données projet'!$B$13,Paramètres!$A$1:$I$89,3,0)*0.475*44/12</f>
        <v>0.64132407289238036</v>
      </c>
      <c r="DH103" s="21">
        <f>EXP(-LN(2)/2)*DH102+(1-EXP(-LN(2)/2))/(LN(2)/2)*DB103*DE103*VLOOKUP('Données projet'!$B$13,Paramètres!$A$1:$I$89,3,0)*0.475*44/12</f>
        <v>1.5501860913175321E-10</v>
      </c>
      <c r="DI103" s="22">
        <f t="shared" si="69"/>
        <v>0.64132407304739902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>
        <f>VLOOKUP(A103,'Données projet'!$A$165:$I$185,2,0)</f>
        <v>303</v>
      </c>
      <c r="DM103" s="12">
        <f>VLOOKUP(A103,'Données projet'!$A$165:$I$185,9,0)</f>
        <v>4.9000000000000004</v>
      </c>
      <c r="DN103" s="12">
        <f t="array" ref="DN103">INDEX(DM:DM,MIN(IF(ISNUMBER(DM103:DM299),ROW(DM103:DM299),"")))</f>
        <v>4.9000000000000004</v>
      </c>
      <c r="DO103" s="12">
        <f>IF('Données projet'!$A$166&gt;35,DO102+DN103-DW102,IF(A103&lt;'Données projet'!$A$166,$DL$205^A103,IF(A103='Données projet'!$A$166,'Données projet'!$B$166,DO102+DN103-DW102)))</f>
        <v>303.00000000000023</v>
      </c>
      <c r="DP103" s="17">
        <f>DO103*VLOOKUP('Données projet'!$B$14,Paramètres!$A$1:$I$89,3,0)*VLOOKUP('Données projet'!$B$14,Paramètres!$A$1:$I$89,5,0)</f>
        <v>293.06160000000023</v>
      </c>
      <c r="DQ103" s="13">
        <f t="shared" si="97"/>
        <v>69.719933365116617</v>
      </c>
      <c r="DR103" s="20">
        <f t="shared" si="70"/>
        <v>631.84450394424505</v>
      </c>
      <c r="DS103" s="59">
        <f t="shared" si="71"/>
        <v>925.17783727757842</v>
      </c>
      <c r="DT103" s="59">
        <f ca="1">AVERAGE(OFFSET($DS$3,0,0,'Données projet'!$E$14+1,1))-AVERAGE(OFFSET($H$3,0,0,'Données projet'!$E$14+1,1))</f>
        <v>261.22357949323879</v>
      </c>
      <c r="DU103" s="59">
        <f t="shared" si="98"/>
        <v>163.41029152029387</v>
      </c>
      <c r="DV103" s="15">
        <f>IF(ISNA(VLOOKUP(A103,'Données projet'!$A$165:$I$185,3,0)),0,VLOOKUP(A103,'Données projet'!$A$165:$I$185,3,0))</f>
        <v>8</v>
      </c>
      <c r="DW103" s="15">
        <f>IF(ISNA(VLOOKUP(A103,'Données projet'!$A$165:$I$185,4,0)),0,VLOOKUP(A103,'Données projet'!$A$165:$I$185,4,0))</f>
        <v>42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0</v>
      </c>
      <c r="EB103" s="21">
        <f>EXP(-LN(2)/25)*EB102+(1-EXP(-LN(2)/25))/(LN(2)/25)*Calculateur!DW103*Calculateur!DY103*VLOOKUP('Données projet'!$B$14,Paramètres!$A$1:$I$89,3,0)*0.475*44/12</f>
        <v>0.4767300351435837</v>
      </c>
      <c r="EC103" s="21">
        <f>EXP(-LN(2)/2)*EC102+(1-EXP(-LN(2)/2))/(LN(2)/2)*DW103*DZ103*VLOOKUP('Données projet'!$B$14,Paramètres!$A$1:$I$89,3,0)*0.475*44/12</f>
        <v>1.9255674649600125E-10</v>
      </c>
      <c r="ED103" s="22">
        <f t="shared" si="72"/>
        <v>0.47673003533614045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>
        <f>VLOOKUP(A103,'Données projet'!$A$191:$I$211,2,0)</f>
        <v>407.9</v>
      </c>
      <c r="EH103" s="12">
        <f>VLOOKUP(A103,'Données projet'!$A$191:$I$211,9,0)</f>
        <v>8.3000000000000007</v>
      </c>
      <c r="EI103" s="12">
        <f t="array" ref="EI103">INDEX(EH:EH,MIN(IF(ISNUMBER(EH103:EH299),ROW(EH103:EH299),"")))</f>
        <v>8.3000000000000007</v>
      </c>
      <c r="EJ103" s="12">
        <f>IF('Données projet'!$A$192&gt;35,EJ102+EI103-ER102,IF(A103&lt;'Données projet'!$A$192,$EG$205^A103,IF(A103='Données projet'!$A$192,'Données projet'!$B$192,EJ102+EI103-ER102)))</f>
        <v>407.90000000000003</v>
      </c>
      <c r="EK103" s="17">
        <f>EJ103*VLOOKUP('Données projet'!$B$15,Paramètres!$A$1:$I$89,3,0)*VLOOKUP('Données projet'!$B$15,Paramètres!$A$1:$I$89,5,0)</f>
        <v>190.8972</v>
      </c>
      <c r="EL103" s="13">
        <f t="shared" si="99"/>
        <v>47.738256614056887</v>
      </c>
      <c r="EM103" s="20">
        <f t="shared" si="73"/>
        <v>415.62342026948232</v>
      </c>
      <c r="EN103" s="59">
        <f t="shared" si="74"/>
        <v>708.95675360281564</v>
      </c>
      <c r="EO103" s="59">
        <f ca="1">AVERAGE(OFFSET($EN$3,0,0,'Données projet'!$E$15+1,1))-AVERAGE(OFFSET($H$3,0,0,'Données projet'!$E$15+1,1))</f>
        <v>123.60520571614535</v>
      </c>
      <c r="EP103" s="59">
        <f t="shared" si="100"/>
        <v>119.00926870519527</v>
      </c>
      <c r="EQ103" s="15">
        <f>IF(ISNA(VLOOKUP(A103,'Données projet'!$A$191:$I$211,3,0)),0,VLOOKUP(A103,'Données projet'!$A$191:$I$211,3,0))</f>
        <v>9</v>
      </c>
      <c r="ER103" s="15">
        <f>IF(ISNA(VLOOKUP(A103,'Données projet'!$A$191:$I$211,4,0)),0,VLOOKUP(A103,'Données projet'!$A$191:$I$211,4,0))</f>
        <v>46.3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0.21682563367713703</v>
      </c>
      <c r="EW103" s="21">
        <f>EXP(-LN(2)/25)*EW102+(1-EXP(-LN(2)/25))/(LN(2)/25)*Calculateur!ER103*Calculateur!ET103*VLOOKUP('Données projet'!$B$15,Paramètres!$A$1:$I$89,3,0)*0.475*44/12</f>
        <v>0.6858817862846851</v>
      </c>
      <c r="EX103" s="21">
        <f>EXP(-LN(2)/2)*EX102+(1-EXP(-LN(2)/2))/(LN(2)/2)*ER103*EU103*VLOOKUP('Données projet'!$B$15,Paramètres!$A$1:$I$89,3,0)*0.475*44/12</f>
        <v>1.7793239359402056E-10</v>
      </c>
      <c r="EY103" s="22">
        <f t="shared" si="75"/>
        <v>0.90270742013975458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-8.5265128291212022E-14</v>
      </c>
      <c r="FF103" s="17">
        <f>FE103*VLOOKUP('Données projet'!$B$16,Paramètres!$A$1:$I$89,3,0)*VLOOKUP('Données projet'!$B$16,Paramètres!$A$1:$I$89,5,0)</f>
        <v>-6.2516392063116648E-14</v>
      </c>
      <c r="FG103" s="13" t="e">
        <f t="shared" si="101"/>
        <v>#NUM!</v>
      </c>
      <c r="FH103" s="20" t="e">
        <f t="shared" si="76"/>
        <v>#NUM!</v>
      </c>
      <c r="FI103" s="59" t="e">
        <f t="shared" si="77"/>
        <v>#NUM!</v>
      </c>
      <c r="FJ103" s="59">
        <f ca="1">AVERAGE(OFFSET($FI$3,0,0,'Données projet'!$E$16+1,1))-AVERAGE(OFFSET($H$3,0,0,'Données projet'!$E$16+1,1))</f>
        <v>124.15919323713428</v>
      </c>
      <c r="FK103" s="59">
        <f t="shared" si="102"/>
        <v>157.85954678210715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0</v>
      </c>
      <c r="FR103" s="21">
        <f>EXP(-LN(2)/25)*FR102+(1-EXP(-LN(2)/25))/(LN(2)/25)*Calculateur!FM103*Calculateur!FO103*VLOOKUP('Données projet'!$B$16,Paramètres!$A$1:$I$89,3,0)*0.475*44/12</f>
        <v>0.72172529249466633</v>
      </c>
      <c r="FS103" s="21">
        <f>EXP(-LN(2)/2)*FS102+(1-EXP(-LN(2)/2))/(LN(2)/2)*FM103*FP103*VLOOKUP('Données projet'!$B$16,Paramètres!$A$1:$I$89,3,0)*0.475*44/12</f>
        <v>2.1470867059668663E-10</v>
      </c>
      <c r="FT103" s="22">
        <f t="shared" si="78"/>
        <v>0.72172529270937502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4.4000000000000004</v>
      </c>
      <c r="N104" s="13">
        <f>IF('Données projet'!$A$36&gt;35,N103+M104-V103,IF(A104&lt;'Données projet'!$A$36,$K$205^A104,IF(A104='Données projet'!$A$36,'Données projet'!$B$36,N103+M104-V103)))</f>
        <v>265.4000000000002</v>
      </c>
      <c r="O104" s="13">
        <f>N104*VLOOKUP('Données projet'!$B$9,Paramètres!$A$1:$I$89,3,0)*VLOOKUP('Données projet'!$B$9,Paramètres!$A$1:$I$89,5,0)</f>
        <v>240.13392000000016</v>
      </c>
      <c r="P104" s="13">
        <f t="shared" si="87"/>
        <v>58.468343087048616</v>
      </c>
      <c r="Q104" s="20">
        <f t="shared" si="107"/>
        <v>520.06560820994321</v>
      </c>
      <c r="R104" s="59">
        <f t="shared" si="55"/>
        <v>813.39894154327658</v>
      </c>
      <c r="S104" s="59">
        <f ca="1">AVERAGE(OFFSET($R$3,0,0,'Données projet'!$E$9+1,1))-AVERAGE(OFFSET($H$3,0,0,'Données projet'!$E$9+1,1))</f>
        <v>237.22177246688199</v>
      </c>
      <c r="T104" s="59">
        <f t="shared" si="88"/>
        <v>149.27472147904302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</v>
      </c>
      <c r="AA104" s="21">
        <f>EXP(-LN(2)/25)*AA103+(1-EXP(-LN(2)/25))/(LN(2)/25)*Calculateur!V104*Calculateur!X104*VLOOKUP('Données projet'!$B$9,Paramètres!$A$1:$I$89,3,0)*0.475*44/12</f>
        <v>0.43377809647131449</v>
      </c>
      <c r="AB104" s="21">
        <f>EXP(-LN(2)/2)*AB103+(1-EXP(-LN(2)/2))/(LN(2)/2)*V104*Y104*VLOOKUP('Données projet'!$B$9,Paramètres!$A$1:$I$89,3,0)*0.475*44/12</f>
        <v>1.2737378242276461E-10</v>
      </c>
      <c r="AC104" s="22">
        <f t="shared" si="57"/>
        <v>0.43377809659868827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-8.5265128291212022E-14</v>
      </c>
      <c r="AJ104" s="13">
        <f>AI104*VLOOKUP('Données projet'!$B$10,Paramètres!$A$1:$I$89,3,0)*VLOOKUP('Données projet'!$B$10,Paramètres!$A$1:$I$89,5,0)</f>
        <v>-7.4487616075202836E-14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191.94797389630673</v>
      </c>
      <c r="AO104" s="59">
        <f t="shared" si="90"/>
        <v>273.52540822767878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0.63104311464564955</v>
      </c>
      <c r="AV104" s="21">
        <f>EXP(-LN(2)/25)*AV103+(1-EXP(-LN(2)/25))/(LN(2)/25)*Calculateur!AQ104*Calculateur!AS104*VLOOKUP('Données projet'!$B$10,Paramètres!$A$1:$I$89,3,0)*0.475*44/12</f>
        <v>1.9619773100052951</v>
      </c>
      <c r="AW104" s="21">
        <f>EXP(-LN(2)/2)*AW103+(1-EXP(-LN(2)/2))/(LN(2)/2)*AQ104*AT104*VLOOKUP('Données projet'!$B$10,Paramètres!$A$1:$I$89,3,0)*0.475*44/12</f>
        <v>4.7750780169142953E-10</v>
      </c>
      <c r="AX104" s="21">
        <f t="shared" si="60"/>
        <v>2.5930204251284525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72.647148358003676</v>
      </c>
      <c r="BJ104" s="59">
        <f t="shared" si="92"/>
        <v>87.231299224620898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0.31188203964103628</v>
      </c>
      <c r="BQ104" s="21">
        <f>EXP(-LN(2)/25)*BQ103+(1-EXP(-LN(2)/25))/(LN(2)/25)*Calculateur!BL104*Calculateur!BN104*VLOOKUP('Données projet'!$B$11,Paramètres!$A$1:$I$89,3,0)*0.475*44/12</f>
        <v>0.63282137214676415</v>
      </c>
      <c r="BR104" s="21">
        <f>EXP(-LN(2)/2)*BR103+(1-EXP(-LN(2)/2))/(LN(2)/2)*BL104*BO104*VLOOKUP('Données projet'!$B$11,Paramètres!$A$1:$I$89,3,0)*0.475*44/12</f>
        <v>4.6939737832788734E-11</v>
      </c>
      <c r="BS104" s="22">
        <f t="shared" si="63"/>
        <v>0.94470341183474016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5.6843418860808015E-14</v>
      </c>
      <c r="BZ104" s="13">
        <f>BY104*VLOOKUP('Données projet'!$B$12,Paramètres!$A$1:$I$89,3,0)*VLOOKUP('Données projet'!$B$12,Paramètres!$A$1:$I$89,5,0)</f>
        <v>3.3992364478763198E-14</v>
      </c>
      <c r="CA104" s="13">
        <f t="shared" si="93"/>
        <v>5.790027782444094E-13</v>
      </c>
      <c r="CB104" s="20">
        <f t="shared" si="64"/>
        <v>1.0676332069095257E-12</v>
      </c>
      <c r="CC104" s="59">
        <f t="shared" si="65"/>
        <v>293.33333333333439</v>
      </c>
      <c r="CD104" s="59">
        <f ca="1">AVERAGE(OFFSET($CC$3,0,0,'Données projet'!$E$12+1,1))-AVERAGE(OFFSET($H$3,0,0,'Données projet'!$E$12+1,1))</f>
        <v>165.39579887388538</v>
      </c>
      <c r="CE104" s="59">
        <f t="shared" si="94"/>
        <v>155.89639262545802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</v>
      </c>
      <c r="CL104" s="21">
        <f>EXP(-LN(2)/25)*CL103+(1-EXP(-LN(2)/25))/(LN(2)/25)*Calculateur!CG104*Calculateur!CI104*VLOOKUP('Données projet'!$B$12,Paramètres!$A$1:$I$89,3,0)*0.475*44/12</f>
        <v>1.0180224828559687</v>
      </c>
      <c r="CM104" s="21">
        <f>EXP(-LN(2)/2)*CM103+(1-EXP(-LN(2)/2))/(LN(2)/2)*CG104*CJ104*VLOOKUP('Données projet'!$B$12,Paramètres!$A$1:$I$89,3,0)*0.475*44/12</f>
        <v>2.8564441575426172E-10</v>
      </c>
      <c r="CN104" s="22">
        <f t="shared" si="66"/>
        <v>1.0180224831416131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3.4106051316484809E-13</v>
      </c>
      <c r="CU104" s="17">
        <f>CT104*VLOOKUP('Données projet'!$B$13,Paramètres!$A$1:$I$89,3,0)*VLOOKUP('Données projet'!$B$13,Paramètres!$A$1:$I$89,5,0)</f>
        <v>2.6602720026858149E-13</v>
      </c>
      <c r="CV104" s="13">
        <f t="shared" si="95"/>
        <v>3.5662905043956649E-12</v>
      </c>
      <c r="CW104" s="20">
        <f t="shared" si="67"/>
        <v>6.6746200022902298E-12</v>
      </c>
      <c r="CX104" s="59">
        <f t="shared" si="68"/>
        <v>293.33333333333997</v>
      </c>
      <c r="CY104" s="59">
        <f ca="1">AVERAGE(OFFSET($CX$3,0,0,'Données projet'!$E$13+1,1))-AVERAGE(OFFSET($H$3,0,0,'Données projet'!$E$13+1,1))</f>
        <v>190.06335940156185</v>
      </c>
      <c r="CZ104" s="59">
        <f t="shared" si="96"/>
        <v>166.43663896839928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0</v>
      </c>
      <c r="DG104" s="21">
        <f>EXP(-LN(2)/25)*DG103+(1-EXP(-LN(2)/25))/(LN(2)/25)*Calculateur!DB104*Calculateur!DD104*VLOOKUP('Données projet'!$B$13,Paramètres!$A$1:$I$89,3,0)*0.475*44/12</f>
        <v>0.62378703239337097</v>
      </c>
      <c r="DH104" s="21">
        <f>EXP(-LN(2)/2)*DH103+(1-EXP(-LN(2)/2))/(LN(2)/2)*DB104*DE104*VLOOKUP('Données projet'!$B$13,Paramètres!$A$1:$I$89,3,0)*0.475*44/12</f>
        <v>1.0961470972716956E-10</v>
      </c>
      <c r="DI104" s="22">
        <f t="shared" si="69"/>
        <v>0.62378703250298573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4.4000000000000004</v>
      </c>
      <c r="DO104" s="12">
        <f>IF('Données projet'!$A$166&gt;35,DO103+DN104-DW103,IF(A104&lt;'Données projet'!$A$166,$DL$205^A104,IF(A104='Données projet'!$A$166,'Données projet'!$B$166,DO103+DN104-DW103)))</f>
        <v>265.4000000000002</v>
      </c>
      <c r="DP104" s="17">
        <f>DO104*VLOOKUP('Données projet'!$B$14,Paramètres!$A$1:$I$89,3,0)*VLOOKUP('Données projet'!$B$14,Paramètres!$A$1:$I$89,5,0)</f>
        <v>256.69488000000018</v>
      </c>
      <c r="DQ104" s="13">
        <f t="shared" si="97"/>
        <v>62.017336223177551</v>
      </c>
      <c r="DR104" s="20">
        <f t="shared" si="70"/>
        <v>555.09044325536786</v>
      </c>
      <c r="DS104" s="59">
        <f t="shared" si="71"/>
        <v>848.42377658870123</v>
      </c>
      <c r="DT104" s="59">
        <f ca="1">AVERAGE(OFFSET($DS$3,0,0,'Données projet'!$E$14+1,1))-AVERAGE(OFFSET($H$3,0,0,'Données projet'!$E$14+1,1))</f>
        <v>261.22357949323879</v>
      </c>
      <c r="DU104" s="59">
        <f t="shared" si="98"/>
        <v>163.41029152029387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0</v>
      </c>
      <c r="EB104" s="21">
        <f>EXP(-LN(2)/25)*EB103+(1-EXP(-LN(2)/25))/(LN(2)/25)*Calculateur!DW104*Calculateur!DY104*VLOOKUP('Données projet'!$B$14,Paramètres!$A$1:$I$89,3,0)*0.475*44/12</f>
        <v>0.46369382726243941</v>
      </c>
      <c r="EC104" s="21">
        <f>EXP(-LN(2)/2)*EC103+(1-EXP(-LN(2)/2))/(LN(2)/2)*DW104*DZ104*VLOOKUP('Données projet'!$B$14,Paramètres!$A$1:$I$89,3,0)*0.475*44/12</f>
        <v>1.3615818121054146E-10</v>
      </c>
      <c r="ED104" s="22">
        <f t="shared" si="72"/>
        <v>0.4636938273985976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8.6999999999999993</v>
      </c>
      <c r="EJ104" s="12">
        <f>IF('Données projet'!$A$192&gt;35,EJ103+EI104-ER103,IF(A104&lt;'Données projet'!$A$192,$EG$205^A104,IF(A104='Données projet'!$A$192,'Données projet'!$B$192,EJ103+EI104-ER103)))</f>
        <v>370.3</v>
      </c>
      <c r="EK104" s="17">
        <f>EJ104*VLOOKUP('Données projet'!$B$15,Paramètres!$A$1:$I$89,3,0)*VLOOKUP('Données projet'!$B$15,Paramètres!$A$1:$I$89,5,0)</f>
        <v>173.3004</v>
      </c>
      <c r="EL104" s="13">
        <f t="shared" si="99"/>
        <v>43.82837416766705</v>
      </c>
      <c r="EM104" s="20">
        <f t="shared" si="73"/>
        <v>378.1659483420201</v>
      </c>
      <c r="EN104" s="59">
        <f t="shared" si="74"/>
        <v>671.49928167535336</v>
      </c>
      <c r="EO104" s="59">
        <f ca="1">AVERAGE(OFFSET($EN$3,0,0,'Données projet'!$E$15+1,1))-AVERAGE(OFFSET($H$3,0,0,'Données projet'!$E$15+1,1))</f>
        <v>123.60520571614535</v>
      </c>
      <c r="EP104" s="59">
        <f t="shared" si="100"/>
        <v>119.00926870519527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0.21257381525130625</v>
      </c>
      <c r="EW104" s="21">
        <f>EXP(-LN(2)/25)*EW103+(1-EXP(-LN(2)/25))/(LN(2)/25)*Calculateur!ER104*Calculateur!ET104*VLOOKUP('Données projet'!$B$15,Paramètres!$A$1:$I$89,3,0)*0.475*44/12</f>
        <v>0.66712631276977485</v>
      </c>
      <c r="EX104" s="21">
        <f>EXP(-LN(2)/2)*EX103+(1-EXP(-LN(2)/2))/(LN(2)/2)*ER104*EU104*VLOOKUP('Données projet'!$B$15,Paramètres!$A$1:$I$89,3,0)*0.475*44/12</f>
        <v>1.2581720210308574E-10</v>
      </c>
      <c r="EY104" s="22">
        <f t="shared" si="75"/>
        <v>0.87970012814689835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-8.5265128291212022E-14</v>
      </c>
      <c r="FF104" s="17">
        <f>FE104*VLOOKUP('Données projet'!$B$16,Paramètres!$A$1:$I$89,3,0)*VLOOKUP('Données projet'!$B$16,Paramètres!$A$1:$I$89,5,0)</f>
        <v>-6.2516392063116648E-14</v>
      </c>
      <c r="FG104" s="13" t="e">
        <f t="shared" si="101"/>
        <v>#NUM!</v>
      </c>
      <c r="FH104" s="20" t="e">
        <f t="shared" si="76"/>
        <v>#NUM!</v>
      </c>
      <c r="FI104" s="59" t="e">
        <f t="shared" si="77"/>
        <v>#NUM!</v>
      </c>
      <c r="FJ104" s="59">
        <f ca="1">AVERAGE(OFFSET($FI$3,0,0,'Données projet'!$E$16+1,1))-AVERAGE(OFFSET($H$3,0,0,'Données projet'!$E$16+1,1))</f>
        <v>124.15919323713428</v>
      </c>
      <c r="FK104" s="59">
        <f t="shared" si="102"/>
        <v>157.85954678210715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0</v>
      </c>
      <c r="FR104" s="21">
        <f>EXP(-LN(2)/25)*FR103+(1-EXP(-LN(2)/25))/(LN(2)/25)*Calculateur!FM104*Calculateur!FO104*VLOOKUP('Données projet'!$B$16,Paramètres!$A$1:$I$89,3,0)*0.475*44/12</f>
        <v>0.70198967641751608</v>
      </c>
      <c r="FS104" s="21">
        <f>EXP(-LN(2)/2)*FS103+(1-EXP(-LN(2)/2))/(LN(2)/2)*FM104*FP104*VLOOKUP('Données projet'!$B$16,Paramètres!$A$1:$I$89,3,0)*0.475*44/12</f>
        <v>1.518219569584658E-10</v>
      </c>
      <c r="FT104" s="22">
        <f t="shared" si="78"/>
        <v>0.70198967656933808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4.4000000000000004</v>
      </c>
      <c r="N105" s="13">
        <f>IF('Données projet'!$A$36&gt;35,N104+M105-V104,IF(A105&lt;'Données projet'!$A$36,$K$205^A105,IF(A105='Données projet'!$A$36,'Données projet'!$B$36,N104+M105-V104)))</f>
        <v>269.80000000000018</v>
      </c>
      <c r="O105" s="13">
        <f>N105*VLOOKUP('Données projet'!$B$9,Paramètres!$A$1:$I$89,3,0)*VLOOKUP('Données projet'!$B$9,Paramètres!$A$1:$I$89,5,0)</f>
        <v>244.11504000000016</v>
      </c>
      <c r="P105" s="13">
        <f t="shared" si="87"/>
        <v>59.324023461759062</v>
      </c>
      <c r="Q105" s="20">
        <f t="shared" si="107"/>
        <v>528.48970219589739</v>
      </c>
      <c r="R105" s="59">
        <f t="shared" si="55"/>
        <v>821.82303552923076</v>
      </c>
      <c r="S105" s="59">
        <f ca="1">AVERAGE(OFFSET($R$3,0,0,'Données projet'!$E$9+1,1))-AVERAGE(OFFSET($H$3,0,0,'Données projet'!$E$9+1,1))</f>
        <v>237.22177246688199</v>
      </c>
      <c r="T105" s="59">
        <f t="shared" si="88"/>
        <v>149.27472147904302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</v>
      </c>
      <c r="AA105" s="21">
        <f>EXP(-LN(2)/25)*AA104+(1-EXP(-LN(2)/25))/(LN(2)/25)*Calculateur!V105*Calculateur!X105*VLOOKUP('Données projet'!$B$9,Paramètres!$A$1:$I$89,3,0)*0.475*44/12</f>
        <v>0.42191641161190774</v>
      </c>
      <c r="AB105" s="21">
        <f>EXP(-LN(2)/2)*AB104+(1-EXP(-LN(2)/2))/(LN(2)/2)*V105*Y105*VLOOKUP('Données projet'!$B$9,Paramètres!$A$1:$I$89,3,0)*0.475*44/12</f>
        <v>9.0066865296516732E-11</v>
      </c>
      <c r="AC105" s="22">
        <f t="shared" si="57"/>
        <v>0.42191641170197458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-8.5265128291212022E-14</v>
      </c>
      <c r="AJ105" s="13">
        <f>AI105*VLOOKUP('Données projet'!$B$10,Paramètres!$A$1:$I$89,3,0)*VLOOKUP('Données projet'!$B$10,Paramètres!$A$1:$I$89,5,0)</f>
        <v>-7.4487616075202836E-14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191.94797389630673</v>
      </c>
      <c r="AO105" s="59">
        <f t="shared" si="90"/>
        <v>273.52540822767878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0.61866874406574279</v>
      </c>
      <c r="AV105" s="21">
        <f>EXP(-LN(2)/25)*AV104+(1-EXP(-LN(2)/25))/(LN(2)/25)*Calculateur!AQ105*Calculateur!AS105*VLOOKUP('Données projet'!$B$10,Paramètres!$A$1:$I$89,3,0)*0.475*44/12</f>
        <v>1.9083269372872977</v>
      </c>
      <c r="AW105" s="21">
        <f>EXP(-LN(2)/2)*AW104+(1-EXP(-LN(2)/2))/(LN(2)/2)*AQ105*AT105*VLOOKUP('Données projet'!$B$10,Paramètres!$A$1:$I$89,3,0)*0.475*44/12</f>
        <v>3.37649004645491E-10</v>
      </c>
      <c r="AX105" s="21">
        <f t="shared" si="60"/>
        <v>2.5269956816906896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72.647148358003676</v>
      </c>
      <c r="BJ105" s="59">
        <f t="shared" si="92"/>
        <v>87.231299224620898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0.30576622307293616</v>
      </c>
      <c r="BQ105" s="21">
        <f>EXP(-LN(2)/25)*BQ104+(1-EXP(-LN(2)/25))/(LN(2)/25)*Calculateur!BL105*Calculateur!BN105*VLOOKUP('Données projet'!$B$11,Paramètres!$A$1:$I$89,3,0)*0.475*44/12</f>
        <v>0.61551683844678129</v>
      </c>
      <c r="BR105" s="21">
        <f>EXP(-LN(2)/2)*BR104+(1-EXP(-LN(2)/2))/(LN(2)/2)*BL105*BO105*VLOOKUP('Données projet'!$B$11,Paramètres!$A$1:$I$89,3,0)*0.475*44/12</f>
        <v>3.3191406928683649E-11</v>
      </c>
      <c r="BS105" s="22">
        <f t="shared" si="63"/>
        <v>0.92128306155290884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5.6843418860808015E-14</v>
      </c>
      <c r="BZ105" s="13">
        <f>BY105*VLOOKUP('Données projet'!$B$12,Paramètres!$A$1:$I$89,3,0)*VLOOKUP('Données projet'!$B$12,Paramètres!$A$1:$I$89,5,0)</f>
        <v>3.3992364478763198E-14</v>
      </c>
      <c r="CA105" s="13">
        <f t="shared" si="93"/>
        <v>5.790027782444094E-13</v>
      </c>
      <c r="CB105" s="20">
        <f t="shared" si="64"/>
        <v>1.0676332069095257E-12</v>
      </c>
      <c r="CC105" s="59">
        <f t="shared" si="65"/>
        <v>293.33333333333439</v>
      </c>
      <c r="CD105" s="59">
        <f ca="1">AVERAGE(OFFSET($CC$3,0,0,'Données projet'!$E$12+1,1))-AVERAGE(OFFSET($H$3,0,0,'Données projet'!$E$12+1,1))</f>
        <v>165.39579887388538</v>
      </c>
      <c r="CE105" s="59">
        <f t="shared" si="94"/>
        <v>155.89639262545802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</v>
      </c>
      <c r="CL105" s="21">
        <f>EXP(-LN(2)/25)*CL104+(1-EXP(-LN(2)/25))/(LN(2)/25)*Calculateur!CG105*Calculateur!CI105*VLOOKUP('Données projet'!$B$12,Paramètres!$A$1:$I$89,3,0)*0.475*44/12</f>
        <v>0.99018460452679657</v>
      </c>
      <c r="CM105" s="21">
        <f>EXP(-LN(2)/2)*CM104+(1-EXP(-LN(2)/2))/(LN(2)/2)*CG105*CJ105*VLOOKUP('Données projet'!$B$12,Paramètres!$A$1:$I$89,3,0)*0.475*44/12</f>
        <v>2.0198110338790796E-10</v>
      </c>
      <c r="CN105" s="22">
        <f t="shared" si="66"/>
        <v>0.99018460472877767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3.4106051316484809E-13</v>
      </c>
      <c r="CU105" s="17">
        <f>CT105*VLOOKUP('Données projet'!$B$13,Paramètres!$A$1:$I$89,3,0)*VLOOKUP('Données projet'!$B$13,Paramètres!$A$1:$I$89,5,0)</f>
        <v>2.6602720026858149E-13</v>
      </c>
      <c r="CV105" s="13">
        <f t="shared" si="95"/>
        <v>3.5662905043956649E-12</v>
      </c>
      <c r="CW105" s="20">
        <f t="shared" si="67"/>
        <v>6.6746200022902298E-12</v>
      </c>
      <c r="CX105" s="59">
        <f t="shared" si="68"/>
        <v>293.33333333333997</v>
      </c>
      <c r="CY105" s="59">
        <f ca="1">AVERAGE(OFFSET($CX$3,0,0,'Données projet'!$E$13+1,1))-AVERAGE(OFFSET($H$3,0,0,'Données projet'!$E$13+1,1))</f>
        <v>190.06335940156185</v>
      </c>
      <c r="CZ105" s="59">
        <f t="shared" si="96"/>
        <v>166.43663896839928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0</v>
      </c>
      <c r="DG105" s="21">
        <f>EXP(-LN(2)/25)*DG104+(1-EXP(-LN(2)/25))/(LN(2)/25)*Calculateur!DB105*Calculateur!DD105*VLOOKUP('Données projet'!$B$13,Paramètres!$A$1:$I$89,3,0)*0.475*44/12</f>
        <v>0.60672954318903993</v>
      </c>
      <c r="DH105" s="21">
        <f>EXP(-LN(2)/2)*DH104+(1-EXP(-LN(2)/2))/(LN(2)/2)*DB105*DE105*VLOOKUP('Données projet'!$B$13,Paramètres!$A$1:$I$89,3,0)*0.475*44/12</f>
        <v>7.7509304565876607E-11</v>
      </c>
      <c r="DI105" s="22">
        <f t="shared" si="69"/>
        <v>0.60672954326654926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4.4000000000000004</v>
      </c>
      <c r="DO105" s="12">
        <f>IF('Données projet'!$A$166&gt;35,DO104+DN105-DW104,IF(A105&lt;'Données projet'!$A$166,$DL$205^A105,IF(A105='Données projet'!$A$166,'Données projet'!$B$166,DO104+DN105-DW104)))</f>
        <v>269.80000000000018</v>
      </c>
      <c r="DP105" s="17">
        <f>DO105*VLOOKUP('Données projet'!$B$14,Paramètres!$A$1:$I$89,3,0)*VLOOKUP('Données projet'!$B$14,Paramètres!$A$1:$I$89,5,0)</f>
        <v>260.95056000000022</v>
      </c>
      <c r="DQ105" s="13">
        <f t="shared" si="97"/>
        <v>62.924955880176995</v>
      </c>
      <c r="DR105" s="20">
        <f t="shared" si="70"/>
        <v>564.0831901579752</v>
      </c>
      <c r="DS105" s="59">
        <f t="shared" si="71"/>
        <v>857.41652349130845</v>
      </c>
      <c r="DT105" s="59">
        <f ca="1">AVERAGE(OFFSET($DS$3,0,0,'Données projet'!$E$14+1,1))-AVERAGE(OFFSET($H$3,0,0,'Données projet'!$E$14+1,1))</f>
        <v>261.22357949323879</v>
      </c>
      <c r="DU105" s="59">
        <f t="shared" si="98"/>
        <v>163.41029152029387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0</v>
      </c>
      <c r="EB105" s="21">
        <f>EXP(-LN(2)/25)*EB104+(1-EXP(-LN(2)/25))/(LN(2)/25)*Calculateur!DW105*Calculateur!DY105*VLOOKUP('Données projet'!$B$14,Paramètres!$A$1:$I$89,3,0)*0.475*44/12</f>
        <v>0.45101409517134944</v>
      </c>
      <c r="EC105" s="21">
        <f>EXP(-LN(2)/2)*EC104+(1-EXP(-LN(2)/2))/(LN(2)/2)*DW105*DZ105*VLOOKUP('Données projet'!$B$14,Paramètres!$A$1:$I$89,3,0)*0.475*44/12</f>
        <v>9.6278373248000626E-11</v>
      </c>
      <c r="ED105" s="22">
        <f t="shared" si="72"/>
        <v>0.45101409526762781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8.6999999999999993</v>
      </c>
      <c r="EJ105" s="12">
        <f>IF('Données projet'!$A$192&gt;35,EJ104+EI105-ER104,IF(A105&lt;'Données projet'!$A$192,$EG$205^A105,IF(A105='Données projet'!$A$192,'Données projet'!$B$192,EJ104+EI105-ER104)))</f>
        <v>379</v>
      </c>
      <c r="EK105" s="17">
        <f>EJ105*VLOOKUP('Données projet'!$B$15,Paramètres!$A$1:$I$89,3,0)*VLOOKUP('Données projet'!$B$15,Paramètres!$A$1:$I$89,5,0)</f>
        <v>177.37200000000001</v>
      </c>
      <c r="EL105" s="13">
        <f t="shared" si="99"/>
        <v>44.737005048641883</v>
      </c>
      <c r="EM105" s="20">
        <f t="shared" si="73"/>
        <v>386.83985045971798</v>
      </c>
      <c r="EN105" s="59">
        <f t="shared" si="74"/>
        <v>680.17318379305129</v>
      </c>
      <c r="EO105" s="59">
        <f ca="1">AVERAGE(OFFSET($EN$3,0,0,'Données projet'!$E$15+1,1))-AVERAGE(OFFSET($H$3,0,0,'Données projet'!$E$15+1,1))</f>
        <v>123.60520571614535</v>
      </c>
      <c r="EP105" s="59">
        <f t="shared" si="100"/>
        <v>119.00926870519527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0.20840537239145285</v>
      </c>
      <c r="EW105" s="21">
        <f>EXP(-LN(2)/25)*EW104+(1-EXP(-LN(2)/25))/(LN(2)/25)*Calculateur!ER105*Calculateur!ET105*VLOOKUP('Données projet'!$B$15,Paramètres!$A$1:$I$89,3,0)*0.475*44/12</f>
        <v>0.64888370866443734</v>
      </c>
      <c r="EX105" s="21">
        <f>EXP(-LN(2)/2)*EX104+(1-EXP(-LN(2)/2))/(LN(2)/2)*ER105*EU105*VLOOKUP('Données projet'!$B$15,Paramètres!$A$1:$I$89,3,0)*0.475*44/12</f>
        <v>8.8966196797010278E-11</v>
      </c>
      <c r="EY105" s="22">
        <f t="shared" si="75"/>
        <v>0.85728908114485636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-8.5265128291212022E-14</v>
      </c>
      <c r="FF105" s="17">
        <f>FE105*VLOOKUP('Données projet'!$B$16,Paramètres!$A$1:$I$89,3,0)*VLOOKUP('Données projet'!$B$16,Paramètres!$A$1:$I$89,5,0)</f>
        <v>-6.2516392063116648E-14</v>
      </c>
      <c r="FG105" s="13" t="e">
        <f t="shared" si="101"/>
        <v>#NUM!</v>
      </c>
      <c r="FH105" s="20" t="e">
        <f t="shared" si="76"/>
        <v>#NUM!</v>
      </c>
      <c r="FI105" s="59" t="e">
        <f t="shared" si="77"/>
        <v>#NUM!</v>
      </c>
      <c r="FJ105" s="59">
        <f ca="1">AVERAGE(OFFSET($FI$3,0,0,'Données projet'!$E$16+1,1))-AVERAGE(OFFSET($H$3,0,0,'Données projet'!$E$16+1,1))</f>
        <v>124.15919323713428</v>
      </c>
      <c r="FK105" s="59">
        <f t="shared" si="102"/>
        <v>157.85954678210715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0</v>
      </c>
      <c r="FR105" s="21">
        <f>EXP(-LN(2)/25)*FR104+(1-EXP(-LN(2)/25))/(LN(2)/25)*Calculateur!FM105*Calculateur!FO105*VLOOKUP('Données projet'!$B$16,Paramètres!$A$1:$I$89,3,0)*0.475*44/12</f>
        <v>0.68279373179984648</v>
      </c>
      <c r="FS105" s="21">
        <f>EXP(-LN(2)/2)*FS104+(1-EXP(-LN(2)/2))/(LN(2)/2)*FM105*FP105*VLOOKUP('Données projet'!$B$16,Paramètres!$A$1:$I$89,3,0)*0.475*44/12</f>
        <v>1.0735433529834331E-10</v>
      </c>
      <c r="FT105" s="22">
        <f t="shared" si="78"/>
        <v>0.68279373190720083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4.4000000000000004</v>
      </c>
      <c r="N106" s="13">
        <f>IF('Données projet'!$A$36&gt;35,N105+M106-V105,IF(A106&lt;'Données projet'!$A$36,$K$205^A106,IF(A106='Données projet'!$A$36,'Données projet'!$B$36,N105+M106-V105)))</f>
        <v>274.20000000000016</v>
      </c>
      <c r="O106" s="13">
        <f>N106*VLOOKUP('Données projet'!$B$9,Paramètres!$A$1:$I$89,3,0)*VLOOKUP('Données projet'!$B$9,Paramètres!$A$1:$I$89,5,0)</f>
        <v>248.09616000000014</v>
      </c>
      <c r="P106" s="13">
        <f t="shared" si="87"/>
        <v>60.178080967364686</v>
      </c>
      <c r="Q106" s="20">
        <f t="shared" si="107"/>
        <v>536.91096968482714</v>
      </c>
      <c r="R106" s="59">
        <f t="shared" si="55"/>
        <v>830.24430301816051</v>
      </c>
      <c r="S106" s="59">
        <f ca="1">AVERAGE(OFFSET($R$3,0,0,'Données projet'!$E$9+1,1))-AVERAGE(OFFSET($H$3,0,0,'Données projet'!$E$9+1,1))</f>
        <v>237.22177246688199</v>
      </c>
      <c r="T106" s="59">
        <f t="shared" si="88"/>
        <v>149.27472147904302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</v>
      </c>
      <c r="AA106" s="21">
        <f>EXP(-LN(2)/25)*AA105+(1-EXP(-LN(2)/25))/(LN(2)/25)*Calculateur!V106*Calculateur!X106*VLOOKUP('Données projet'!$B$9,Paramètres!$A$1:$I$89,3,0)*0.475*44/12</f>
        <v>0.41037908514876031</v>
      </c>
      <c r="AB106" s="21">
        <f>EXP(-LN(2)/2)*AB105+(1-EXP(-LN(2)/2))/(LN(2)/2)*V106*Y106*VLOOKUP('Données projet'!$B$9,Paramètres!$A$1:$I$89,3,0)*0.475*44/12</f>
        <v>6.3686891211382306E-11</v>
      </c>
      <c r="AC106" s="22">
        <f t="shared" si="57"/>
        <v>0.4103790852124472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-8.5265128291212022E-14</v>
      </c>
      <c r="AJ106" s="13">
        <f>AI106*VLOOKUP('Données projet'!$B$10,Paramètres!$A$1:$I$89,3,0)*VLOOKUP('Données projet'!$B$10,Paramètres!$A$1:$I$89,5,0)</f>
        <v>-7.4487616075202836E-14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191.94797389630673</v>
      </c>
      <c r="AO106" s="59">
        <f t="shared" si="90"/>
        <v>273.52540822767878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0.60653702734528714</v>
      </c>
      <c r="AV106" s="21">
        <f>EXP(-LN(2)/25)*AV105+(1-EXP(-LN(2)/25))/(LN(2)/25)*Calculateur!AQ106*Calculateur!AS106*VLOOKUP('Données projet'!$B$10,Paramètres!$A$1:$I$89,3,0)*0.475*44/12</f>
        <v>1.8561436368326245</v>
      </c>
      <c r="AW106" s="21">
        <f>EXP(-LN(2)/2)*AW105+(1-EXP(-LN(2)/2))/(LN(2)/2)*AQ106*AT106*VLOOKUP('Données projet'!$B$10,Paramètres!$A$1:$I$89,3,0)*0.475*44/12</f>
        <v>2.3875390084571476E-10</v>
      </c>
      <c r="AX106" s="21">
        <f t="shared" si="60"/>
        <v>2.4626806644166654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72.647148358003676</v>
      </c>
      <c r="BJ106" s="59">
        <f t="shared" si="92"/>
        <v>87.231299224620898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0.29977033393745672</v>
      </c>
      <c r="BQ106" s="21">
        <f>EXP(-LN(2)/25)*BQ105+(1-EXP(-LN(2)/25))/(LN(2)/25)*Calculateur!BL106*Calculateur!BN106*VLOOKUP('Données projet'!$B$11,Paramètres!$A$1:$I$89,3,0)*0.475*44/12</f>
        <v>0.59868549813083027</v>
      </c>
      <c r="BR106" s="21">
        <f>EXP(-LN(2)/2)*BR105+(1-EXP(-LN(2)/2))/(LN(2)/2)*BL106*BO106*VLOOKUP('Données projet'!$B$11,Paramètres!$A$1:$I$89,3,0)*0.475*44/12</f>
        <v>2.3469868916394367E-11</v>
      </c>
      <c r="BS106" s="22">
        <f t="shared" si="63"/>
        <v>0.89845583209175683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5.6843418860808015E-14</v>
      </c>
      <c r="BZ106" s="13">
        <f>BY106*VLOOKUP('Données projet'!$B$12,Paramètres!$A$1:$I$89,3,0)*VLOOKUP('Données projet'!$B$12,Paramètres!$A$1:$I$89,5,0)</f>
        <v>3.3992364478763198E-14</v>
      </c>
      <c r="CA106" s="13">
        <f t="shared" si="93"/>
        <v>5.790027782444094E-13</v>
      </c>
      <c r="CB106" s="20">
        <f t="shared" si="64"/>
        <v>1.0676332069095257E-12</v>
      </c>
      <c r="CC106" s="59">
        <f t="shared" si="65"/>
        <v>293.33333333333439</v>
      </c>
      <c r="CD106" s="59">
        <f ca="1">AVERAGE(OFFSET($CC$3,0,0,'Données projet'!$E$12+1,1))-AVERAGE(OFFSET($H$3,0,0,'Données projet'!$E$12+1,1))</f>
        <v>165.39579887388538</v>
      </c>
      <c r="CE106" s="59">
        <f t="shared" si="94"/>
        <v>155.89639262545802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</v>
      </c>
      <c r="CL106" s="21">
        <f>EXP(-LN(2)/25)*CL105+(1-EXP(-LN(2)/25))/(LN(2)/25)*Calculateur!CG106*Calculateur!CI106*VLOOKUP('Données projet'!$B$12,Paramètres!$A$1:$I$89,3,0)*0.475*44/12</f>
        <v>0.96310795444446606</v>
      </c>
      <c r="CM106" s="21">
        <f>EXP(-LN(2)/2)*CM105+(1-EXP(-LN(2)/2))/(LN(2)/2)*CG106*CJ106*VLOOKUP('Données projet'!$B$12,Paramètres!$A$1:$I$89,3,0)*0.475*44/12</f>
        <v>1.4282220787713086E-10</v>
      </c>
      <c r="CN106" s="22">
        <f t="shared" si="66"/>
        <v>0.96310795458728826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3.4106051316484809E-13</v>
      </c>
      <c r="CU106" s="17">
        <f>CT106*VLOOKUP('Données projet'!$B$13,Paramètres!$A$1:$I$89,3,0)*VLOOKUP('Données projet'!$B$13,Paramètres!$A$1:$I$89,5,0)</f>
        <v>2.6602720026858149E-13</v>
      </c>
      <c r="CV106" s="13">
        <f t="shared" si="95"/>
        <v>3.5662905043956649E-12</v>
      </c>
      <c r="CW106" s="20">
        <f t="shared" si="67"/>
        <v>6.6746200022902298E-12</v>
      </c>
      <c r="CX106" s="59">
        <f t="shared" si="68"/>
        <v>293.33333333333997</v>
      </c>
      <c r="CY106" s="59">
        <f ca="1">AVERAGE(OFFSET($CX$3,0,0,'Données projet'!$E$13+1,1))-AVERAGE(OFFSET($H$3,0,0,'Données projet'!$E$13+1,1))</f>
        <v>190.06335940156185</v>
      </c>
      <c r="CZ106" s="59">
        <f t="shared" si="96"/>
        <v>166.43663896839928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0</v>
      </c>
      <c r="DG106" s="21">
        <f>EXP(-LN(2)/25)*DG105+(1-EXP(-LN(2)/25))/(LN(2)/25)*Calculateur!DB106*Calculateur!DD106*VLOOKUP('Données projet'!$B$13,Paramètres!$A$1:$I$89,3,0)*0.475*44/12</f>
        <v>0.59013849192401568</v>
      </c>
      <c r="DH106" s="21">
        <f>EXP(-LN(2)/2)*DH105+(1-EXP(-LN(2)/2))/(LN(2)/2)*DB106*DE106*VLOOKUP('Données projet'!$B$13,Paramètres!$A$1:$I$89,3,0)*0.475*44/12</f>
        <v>5.480735486358478E-11</v>
      </c>
      <c r="DI106" s="22">
        <f t="shared" si="69"/>
        <v>0.59013849197882307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4.4000000000000004</v>
      </c>
      <c r="DO106" s="12">
        <f>IF('Données projet'!$A$166&gt;35,DO105+DN106-DW105,IF(A106&lt;'Données projet'!$A$166,$DL$205^A106,IF(A106='Données projet'!$A$166,'Données projet'!$B$166,DO105+DN106-DW105)))</f>
        <v>274.20000000000016</v>
      </c>
      <c r="DP106" s="17">
        <f>DO106*VLOOKUP('Données projet'!$B$14,Paramètres!$A$1:$I$89,3,0)*VLOOKUP('Données projet'!$B$14,Paramètres!$A$1:$I$89,5,0)</f>
        <v>265.20624000000015</v>
      </c>
      <c r="DQ106" s="13">
        <f t="shared" si="97"/>
        <v>63.8308541608965</v>
      </c>
      <c r="DR106" s="20">
        <f t="shared" si="70"/>
        <v>573.072938996895</v>
      </c>
      <c r="DS106" s="59">
        <f t="shared" si="71"/>
        <v>866.40627233022838</v>
      </c>
      <c r="DT106" s="59">
        <f ca="1">AVERAGE(OFFSET($DS$3,0,0,'Données projet'!$E$14+1,1))-AVERAGE(OFFSET($H$3,0,0,'Données projet'!$E$14+1,1))</f>
        <v>261.22357949323879</v>
      </c>
      <c r="DU106" s="59">
        <f t="shared" si="98"/>
        <v>163.41029152029387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0</v>
      </c>
      <c r="EB106" s="21">
        <f>EXP(-LN(2)/25)*EB105+(1-EXP(-LN(2)/25))/(LN(2)/25)*Calculateur!DW106*Calculateur!DY106*VLOOKUP('Données projet'!$B$14,Paramètres!$A$1:$I$89,3,0)*0.475*44/12</f>
        <v>0.43868109102108843</v>
      </c>
      <c r="EC106" s="21">
        <f>EXP(-LN(2)/2)*EC105+(1-EXP(-LN(2)/2))/(LN(2)/2)*DW106*DZ106*VLOOKUP('Données projet'!$B$14,Paramètres!$A$1:$I$89,3,0)*0.475*44/12</f>
        <v>6.8079090605270728E-11</v>
      </c>
      <c r="ED106" s="22">
        <f t="shared" si="72"/>
        <v>0.43868109108916753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8.6999999999999993</v>
      </c>
      <c r="EJ106" s="12">
        <f>IF('Données projet'!$A$192&gt;35,EJ105+EI106-ER105,IF(A106&lt;'Données projet'!$A$192,$EG$205^A106,IF(A106='Données projet'!$A$192,'Données projet'!$B$192,EJ105+EI106-ER105)))</f>
        <v>387.7</v>
      </c>
      <c r="EK106" s="17">
        <f>EJ106*VLOOKUP('Données projet'!$B$15,Paramètres!$A$1:$I$89,3,0)*VLOOKUP('Données projet'!$B$15,Paramètres!$A$1:$I$89,5,0)</f>
        <v>181.4436</v>
      </c>
      <c r="EL106" s="13">
        <f t="shared" si="99"/>
        <v>45.64321110268957</v>
      </c>
      <c r="EM106" s="20">
        <f t="shared" si="73"/>
        <v>395.50952933718435</v>
      </c>
      <c r="EN106" s="59">
        <f t="shared" si="74"/>
        <v>688.84286267051766</v>
      </c>
      <c r="EO106" s="59">
        <f ca="1">AVERAGE(OFFSET($EN$3,0,0,'Données projet'!$E$15+1,1))-AVERAGE(OFFSET($H$3,0,0,'Données projet'!$E$15+1,1))</f>
        <v>123.60520571614535</v>
      </c>
      <c r="EP106" s="59">
        <f t="shared" si="100"/>
        <v>119.00926870519527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0.20431867015358207</v>
      </c>
      <c r="EW106" s="21">
        <f>EXP(-LN(2)/25)*EW105+(1-EXP(-LN(2)/25))/(LN(2)/25)*Calculateur!ER106*Calculateur!ET106*VLOOKUP('Données projet'!$B$15,Paramètres!$A$1:$I$89,3,0)*0.475*44/12</f>
        <v>0.63113994952769714</v>
      </c>
      <c r="EX106" s="21">
        <f>EXP(-LN(2)/2)*EX105+(1-EXP(-LN(2)/2))/(LN(2)/2)*ER106*EU106*VLOOKUP('Données projet'!$B$15,Paramètres!$A$1:$I$89,3,0)*0.475*44/12</f>
        <v>6.2908601051542871E-11</v>
      </c>
      <c r="EY106" s="22">
        <f t="shared" si="75"/>
        <v>0.83545861974418778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-8.5265128291212022E-14</v>
      </c>
      <c r="FF106" s="17">
        <f>FE106*VLOOKUP('Données projet'!$B$16,Paramètres!$A$1:$I$89,3,0)*VLOOKUP('Données projet'!$B$16,Paramètres!$A$1:$I$89,5,0)</f>
        <v>-6.2516392063116648E-14</v>
      </c>
      <c r="FG106" s="13" t="e">
        <f t="shared" si="101"/>
        <v>#NUM!</v>
      </c>
      <c r="FH106" s="20" t="e">
        <f t="shared" si="76"/>
        <v>#NUM!</v>
      </c>
      <c r="FI106" s="59" t="e">
        <f t="shared" si="77"/>
        <v>#NUM!</v>
      </c>
      <c r="FJ106" s="59">
        <f ca="1">AVERAGE(OFFSET($FI$3,0,0,'Données projet'!$E$16+1,1))-AVERAGE(OFFSET($H$3,0,0,'Données projet'!$E$16+1,1))</f>
        <v>124.15919323713428</v>
      </c>
      <c r="FK106" s="59">
        <f t="shared" si="102"/>
        <v>157.85954678210715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0</v>
      </c>
      <c r="FR106" s="21">
        <f>EXP(-LN(2)/25)*FR105+(1-EXP(-LN(2)/25))/(LN(2)/25)*Calculateur!FM106*Calculateur!FO106*VLOOKUP('Données projet'!$B$16,Paramètres!$A$1:$I$89,3,0)*0.475*44/12</f>
        <v>0.66412270129721784</v>
      </c>
      <c r="FS106" s="21">
        <f>EXP(-LN(2)/2)*FS105+(1-EXP(-LN(2)/2))/(LN(2)/2)*FM106*FP106*VLOOKUP('Données projet'!$B$16,Paramètres!$A$1:$I$89,3,0)*0.475*44/12</f>
        <v>7.5910978479232899E-11</v>
      </c>
      <c r="FT106" s="22">
        <f t="shared" si="78"/>
        <v>0.66412270137312879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4.4000000000000004</v>
      </c>
      <c r="N107" s="13">
        <f>IF('Données projet'!$A$36&gt;35,N106+M107-V106,IF(A107&lt;'Données projet'!$A$36,$K$205^A107,IF(A107='Données projet'!$A$36,'Données projet'!$B$36,N106+M107-V106)))</f>
        <v>278.60000000000014</v>
      </c>
      <c r="O107" s="13">
        <f>N107*VLOOKUP('Données projet'!$B$9,Paramètres!$A$1:$I$89,3,0)*VLOOKUP('Données projet'!$B$9,Paramètres!$A$1:$I$89,5,0)</f>
        <v>252.07728000000014</v>
      </c>
      <c r="P107" s="13">
        <f t="shared" si="87"/>
        <v>61.030544652155044</v>
      </c>
      <c r="Q107" s="20">
        <f t="shared" si="107"/>
        <v>545.32946126917022</v>
      </c>
      <c r="R107" s="59">
        <f t="shared" si="55"/>
        <v>838.66279460250348</v>
      </c>
      <c r="S107" s="59">
        <f ca="1">AVERAGE(OFFSET($R$3,0,0,'Données projet'!$E$9+1,1))-AVERAGE(OFFSET($H$3,0,0,'Données projet'!$E$9+1,1))</f>
        <v>237.22177246688199</v>
      </c>
      <c r="T107" s="59">
        <f t="shared" si="88"/>
        <v>149.27472147904302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</v>
      </c>
      <c r="AA107" s="21">
        <f>EXP(-LN(2)/25)*AA106+(1-EXP(-LN(2)/25))/(LN(2)/25)*Calculateur!V107*Calculateur!X107*VLOOKUP('Données projet'!$B$9,Paramètres!$A$1:$I$89,3,0)*0.475*44/12</f>
        <v>0.39915724748446929</v>
      </c>
      <c r="AB107" s="21">
        <f>EXP(-LN(2)/2)*AB106+(1-EXP(-LN(2)/2))/(LN(2)/2)*V107*Y107*VLOOKUP('Données projet'!$B$9,Paramètres!$A$1:$I$89,3,0)*0.475*44/12</f>
        <v>4.5033432648258366E-11</v>
      </c>
      <c r="AC107" s="22">
        <f t="shared" si="57"/>
        <v>0.39915724752950271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-8.5265128291212022E-14</v>
      </c>
      <c r="AJ107" s="13">
        <f>AI107*VLOOKUP('Données projet'!$B$10,Paramètres!$A$1:$I$89,3,0)*VLOOKUP('Données projet'!$B$10,Paramètres!$A$1:$I$89,5,0)</f>
        <v>-7.4487616075202836E-14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191.94797389630673</v>
      </c>
      <c r="AO107" s="59">
        <f t="shared" si="90"/>
        <v>273.52540822767878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0.59464320619010314</v>
      </c>
      <c r="AV107" s="21">
        <f>EXP(-LN(2)/25)*AV106+(1-EXP(-LN(2)/25))/(LN(2)/25)*Calculateur!AQ107*Calculateur!AS107*VLOOKUP('Données projet'!$B$10,Paramètres!$A$1:$I$89,3,0)*0.475*44/12</f>
        <v>1.8053872914730849</v>
      </c>
      <c r="AW107" s="21">
        <f>EXP(-LN(2)/2)*AW106+(1-EXP(-LN(2)/2))/(LN(2)/2)*AQ107*AT107*VLOOKUP('Données projet'!$B$10,Paramètres!$A$1:$I$89,3,0)*0.475*44/12</f>
        <v>1.688245023227455E-10</v>
      </c>
      <c r="AX107" s="21">
        <f t="shared" si="60"/>
        <v>2.4000304978320126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72.647148358003676</v>
      </c>
      <c r="BJ107" s="59">
        <f t="shared" si="92"/>
        <v>87.231299224620898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0.29389202053079277</v>
      </c>
      <c r="BQ107" s="21">
        <f>EXP(-LN(2)/25)*BQ106+(1-EXP(-LN(2)/25))/(LN(2)/25)*Calculateur!BL107*Calculateur!BN107*VLOOKUP('Données projet'!$B$11,Paramètres!$A$1:$I$89,3,0)*0.475*44/12</f>
        <v>0.58231441170094067</v>
      </c>
      <c r="BR107" s="21">
        <f>EXP(-LN(2)/2)*BR106+(1-EXP(-LN(2)/2))/(LN(2)/2)*BL107*BO107*VLOOKUP('Données projet'!$B$11,Paramètres!$A$1:$I$89,3,0)*0.475*44/12</f>
        <v>1.6595703464341825E-11</v>
      </c>
      <c r="BS107" s="22">
        <f t="shared" si="63"/>
        <v>0.87620643224832917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5.6843418860808015E-14</v>
      </c>
      <c r="BZ107" s="13">
        <f>BY107*VLOOKUP('Données projet'!$B$12,Paramètres!$A$1:$I$89,3,0)*VLOOKUP('Données projet'!$B$12,Paramètres!$A$1:$I$89,5,0)</f>
        <v>3.3992364478763198E-14</v>
      </c>
      <c r="CA107" s="13">
        <f t="shared" si="93"/>
        <v>5.790027782444094E-13</v>
      </c>
      <c r="CB107" s="20">
        <f t="shared" si="64"/>
        <v>1.0676332069095257E-12</v>
      </c>
      <c r="CC107" s="59">
        <f t="shared" si="65"/>
        <v>293.33333333333439</v>
      </c>
      <c r="CD107" s="59">
        <f ca="1">AVERAGE(OFFSET($CC$3,0,0,'Données projet'!$E$12+1,1))-AVERAGE(OFFSET($H$3,0,0,'Données projet'!$E$12+1,1))</f>
        <v>165.39579887388538</v>
      </c>
      <c r="CE107" s="59">
        <f t="shared" si="94"/>
        <v>155.89639262545802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</v>
      </c>
      <c r="CL107" s="21">
        <f>EXP(-LN(2)/25)*CL106+(1-EXP(-LN(2)/25))/(LN(2)/25)*Calculateur!CG107*Calculateur!CI107*VLOOKUP('Données projet'!$B$12,Paramètres!$A$1:$I$89,3,0)*0.475*44/12</f>
        <v>0.93677171678253601</v>
      </c>
      <c r="CM107" s="21">
        <f>EXP(-LN(2)/2)*CM106+(1-EXP(-LN(2)/2))/(LN(2)/2)*CG107*CJ107*VLOOKUP('Données projet'!$B$12,Paramètres!$A$1:$I$89,3,0)*0.475*44/12</f>
        <v>1.0099055169395398E-10</v>
      </c>
      <c r="CN107" s="22">
        <f t="shared" si="66"/>
        <v>0.93677171688352656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3.4106051316484809E-13</v>
      </c>
      <c r="CU107" s="17">
        <f>CT107*VLOOKUP('Données projet'!$B$13,Paramètres!$A$1:$I$89,3,0)*VLOOKUP('Données projet'!$B$13,Paramètres!$A$1:$I$89,5,0)</f>
        <v>2.6602720026858149E-13</v>
      </c>
      <c r="CV107" s="13">
        <f t="shared" si="95"/>
        <v>3.5662905043956649E-12</v>
      </c>
      <c r="CW107" s="20">
        <f t="shared" si="67"/>
        <v>6.6746200022902298E-12</v>
      </c>
      <c r="CX107" s="59">
        <f t="shared" si="68"/>
        <v>293.33333333333997</v>
      </c>
      <c r="CY107" s="59">
        <f ca="1">AVERAGE(OFFSET($CX$3,0,0,'Données projet'!$E$13+1,1))-AVERAGE(OFFSET($H$3,0,0,'Données projet'!$E$13+1,1))</f>
        <v>190.06335940156185</v>
      </c>
      <c r="CZ107" s="59">
        <f t="shared" si="96"/>
        <v>166.43663896839928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0</v>
      </c>
      <c r="DG107" s="21">
        <f>EXP(-LN(2)/25)*DG106+(1-EXP(-LN(2)/25))/(LN(2)/25)*Calculateur!DB107*Calculateur!DD107*VLOOKUP('Données projet'!$B$13,Paramètres!$A$1:$I$89,3,0)*0.475*44/12</f>
        <v>0.57400112382831892</v>
      </c>
      <c r="DH107" s="21">
        <f>EXP(-LN(2)/2)*DH106+(1-EXP(-LN(2)/2))/(LN(2)/2)*DB107*DE107*VLOOKUP('Données projet'!$B$13,Paramètres!$A$1:$I$89,3,0)*0.475*44/12</f>
        <v>3.8754652282938304E-11</v>
      </c>
      <c r="DI107" s="22">
        <f t="shared" si="69"/>
        <v>0.57400112386707358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4.4000000000000004</v>
      </c>
      <c r="DO107" s="12">
        <f>IF('Données projet'!$A$166&gt;35,DO106+DN107-DW106,IF(A107&lt;'Données projet'!$A$166,$DL$205^A107,IF(A107='Données projet'!$A$166,'Données projet'!$B$166,DO106+DN107-DW106)))</f>
        <v>278.60000000000014</v>
      </c>
      <c r="DP107" s="17">
        <f>DO107*VLOOKUP('Données projet'!$B$14,Paramètres!$A$1:$I$89,3,0)*VLOOKUP('Données projet'!$B$14,Paramètres!$A$1:$I$89,5,0)</f>
        <v>269.46192000000013</v>
      </c>
      <c r="DQ107" s="13">
        <f t="shared" si="97"/>
        <v>64.735061876839112</v>
      </c>
      <c r="DR107" s="20">
        <f t="shared" si="70"/>
        <v>582.05974343549497</v>
      </c>
      <c r="DS107" s="59">
        <f t="shared" si="71"/>
        <v>875.39307676882822</v>
      </c>
      <c r="DT107" s="59">
        <f ca="1">AVERAGE(OFFSET($DS$3,0,0,'Données projet'!$E$14+1,1))-AVERAGE(OFFSET($H$3,0,0,'Données projet'!$E$14+1,1))</f>
        <v>261.22357949323879</v>
      </c>
      <c r="DU107" s="59">
        <f t="shared" si="98"/>
        <v>163.41029152029387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0</v>
      </c>
      <c r="EB107" s="21">
        <f>EXP(-LN(2)/25)*EB106+(1-EXP(-LN(2)/25))/(LN(2)/25)*Calculateur!DW107*Calculateur!DY107*VLOOKUP('Données projet'!$B$14,Paramètres!$A$1:$I$89,3,0)*0.475*44/12</f>
        <v>0.42668533351788079</v>
      </c>
      <c r="EC107" s="21">
        <f>EXP(-LN(2)/2)*EC106+(1-EXP(-LN(2)/2))/(LN(2)/2)*DW107*DZ107*VLOOKUP('Données projet'!$B$14,Paramètres!$A$1:$I$89,3,0)*0.475*44/12</f>
        <v>4.8139186624000313E-11</v>
      </c>
      <c r="ED107" s="22">
        <f t="shared" si="72"/>
        <v>0.42668533356601995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8.6999999999999993</v>
      </c>
      <c r="EJ107" s="12">
        <f>IF('Données projet'!$A$192&gt;35,EJ106+EI107-ER106,IF(A107&lt;'Données projet'!$A$192,$EG$205^A107,IF(A107='Données projet'!$A$192,'Données projet'!$B$192,EJ106+EI107-ER106)))</f>
        <v>396.4</v>
      </c>
      <c r="EK107" s="17">
        <f>EJ107*VLOOKUP('Données projet'!$B$15,Paramètres!$A$1:$I$89,3,0)*VLOOKUP('Données projet'!$B$15,Paramètres!$A$1:$I$89,5,0)</f>
        <v>185.51519999999999</v>
      </c>
      <c r="EL107" s="13">
        <f t="shared" si="99"/>
        <v>46.547053007719569</v>
      </c>
      <c r="EM107" s="20">
        <f t="shared" si="73"/>
        <v>404.17509065511155</v>
      </c>
      <c r="EN107" s="59">
        <f t="shared" si="74"/>
        <v>697.50842398844486</v>
      </c>
      <c r="EO107" s="59">
        <f ca="1">AVERAGE(OFFSET($EN$3,0,0,'Données projet'!$E$15+1,1))-AVERAGE(OFFSET($H$3,0,0,'Données projet'!$E$15+1,1))</f>
        <v>123.60520571614535</v>
      </c>
      <c r="EP107" s="59">
        <f t="shared" si="100"/>
        <v>119.00926870519527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0.20031210565395371</v>
      </c>
      <c r="EW107" s="21">
        <f>EXP(-LN(2)/25)*EW106+(1-EXP(-LN(2)/25))/(LN(2)/25)*Calculateur!ER107*Calculateur!ET107*VLOOKUP('Données projet'!$B$15,Paramètres!$A$1:$I$89,3,0)*0.475*44/12</f>
        <v>0.61388139441765477</v>
      </c>
      <c r="EX107" s="21">
        <f>EXP(-LN(2)/2)*EX106+(1-EXP(-LN(2)/2))/(LN(2)/2)*ER107*EU107*VLOOKUP('Données projet'!$B$15,Paramètres!$A$1:$I$89,3,0)*0.475*44/12</f>
        <v>4.4483098398505139E-11</v>
      </c>
      <c r="EY107" s="22">
        <f t="shared" si="75"/>
        <v>0.8141935001160916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-8.5265128291212022E-14</v>
      </c>
      <c r="FF107" s="17">
        <f>FE107*VLOOKUP('Données projet'!$B$16,Paramètres!$A$1:$I$89,3,0)*VLOOKUP('Données projet'!$B$16,Paramètres!$A$1:$I$89,5,0)</f>
        <v>-6.2516392063116648E-14</v>
      </c>
      <c r="FG107" s="13" t="e">
        <f t="shared" si="101"/>
        <v>#NUM!</v>
      </c>
      <c r="FH107" s="20" t="e">
        <f t="shared" si="76"/>
        <v>#NUM!</v>
      </c>
      <c r="FI107" s="59" t="e">
        <f t="shared" si="77"/>
        <v>#NUM!</v>
      </c>
      <c r="FJ107" s="59">
        <f ca="1">AVERAGE(OFFSET($FI$3,0,0,'Données projet'!$E$16+1,1))-AVERAGE(OFFSET($H$3,0,0,'Données projet'!$E$16+1,1))</f>
        <v>124.15919323713428</v>
      </c>
      <c r="FK107" s="59">
        <f t="shared" si="102"/>
        <v>157.85954678210715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0</v>
      </c>
      <c r="FR107" s="21">
        <f>EXP(-LN(2)/25)*FR106+(1-EXP(-LN(2)/25))/(LN(2)/25)*Calculateur!FM107*Calculateur!FO107*VLOOKUP('Données projet'!$B$16,Paramètres!$A$1:$I$89,3,0)*0.475*44/12</f>
        <v>0.6459622311055504</v>
      </c>
      <c r="FS107" s="21">
        <f>EXP(-LN(2)/2)*FS106+(1-EXP(-LN(2)/2))/(LN(2)/2)*FM107*FP107*VLOOKUP('Données projet'!$B$16,Paramètres!$A$1:$I$89,3,0)*0.475*44/12</f>
        <v>5.3677167649171657E-11</v>
      </c>
      <c r="FT107" s="22">
        <f t="shared" si="78"/>
        <v>0.64596223115922757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4.4000000000000004</v>
      </c>
      <c r="N108" s="13">
        <f>IF('Données projet'!$A$36&gt;35,N107+M108-V107,IF(A108&lt;'Données projet'!$A$36,$K$205^A108,IF(A108='Données projet'!$A$36,'Données projet'!$B$36,N107+M108-V107)))</f>
        <v>283.00000000000011</v>
      </c>
      <c r="O108" s="13">
        <f>N108*VLOOKUP('Données projet'!$B$9,Paramètres!$A$1:$I$89,3,0)*VLOOKUP('Données projet'!$B$9,Paramètres!$A$1:$I$89,5,0)</f>
        <v>256.05840000000006</v>
      </c>
      <c r="P108" s="13">
        <f t="shared" si="87"/>
        <v>61.881442594256484</v>
      </c>
      <c r="Q108" s="20">
        <f t="shared" si="107"/>
        <v>553.74522585166358</v>
      </c>
      <c r="R108" s="59">
        <f t="shared" si="55"/>
        <v>847.07855918499695</v>
      </c>
      <c r="S108" s="59">
        <f ca="1">AVERAGE(OFFSET($R$3,0,0,'Données projet'!$E$9+1,1))-AVERAGE(OFFSET($H$3,0,0,'Données projet'!$E$9+1,1))</f>
        <v>237.22177246688199</v>
      </c>
      <c r="T108" s="59">
        <f t="shared" si="88"/>
        <v>149.27472147904302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</v>
      </c>
      <c r="AA108" s="21">
        <f>EXP(-LN(2)/25)*AA107+(1-EXP(-LN(2)/25))/(LN(2)/25)*Calculateur!V108*Calculateur!X108*VLOOKUP('Données projet'!$B$9,Paramètres!$A$1:$I$89,3,0)*0.475*44/12</f>
        <v>0.38824227156123914</v>
      </c>
      <c r="AB108" s="21">
        <f>EXP(-LN(2)/2)*AB107+(1-EXP(-LN(2)/2))/(LN(2)/2)*V108*Y108*VLOOKUP('Données projet'!$B$9,Paramètres!$A$1:$I$89,3,0)*0.475*44/12</f>
        <v>3.1843445605691153E-11</v>
      </c>
      <c r="AC108" s="22">
        <f t="shared" si="57"/>
        <v>0.38824227159308261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-8.5265128291212022E-14</v>
      </c>
      <c r="AJ108" s="13">
        <f>AI108*VLOOKUP('Données projet'!$B$10,Paramètres!$A$1:$I$89,3,0)*VLOOKUP('Données projet'!$B$10,Paramètres!$A$1:$I$89,5,0)</f>
        <v>-7.4487616075202836E-14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191.94797389630673</v>
      </c>
      <c r="AO108" s="59">
        <f t="shared" si="90"/>
        <v>273.52540822767878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0.5829826156132577</v>
      </c>
      <c r="AV108" s="21">
        <f>EXP(-LN(2)/25)*AV107+(1-EXP(-LN(2)/25))/(LN(2)/25)*Calculateur!AQ108*Calculateur!AS108*VLOOKUP('Données projet'!$B$10,Paramètres!$A$1:$I$89,3,0)*0.475*44/12</f>
        <v>1.756018881046562</v>
      </c>
      <c r="AW108" s="21">
        <f>EXP(-LN(2)/2)*AW107+(1-EXP(-LN(2)/2))/(LN(2)/2)*AQ108*AT108*VLOOKUP('Données projet'!$B$10,Paramètres!$A$1:$I$89,3,0)*0.475*44/12</f>
        <v>1.1937695042285738E-10</v>
      </c>
      <c r="AX108" s="21">
        <f t="shared" si="60"/>
        <v>2.3390014967791966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72.647148358003676</v>
      </c>
      <c r="BJ108" s="59">
        <f t="shared" si="92"/>
        <v>87.231299224620898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0.28812897726461634</v>
      </c>
      <c r="BQ108" s="21">
        <f>EXP(-LN(2)/25)*BQ107+(1-EXP(-LN(2)/25))/(LN(2)/25)*Calculateur!BL108*Calculateur!BN108*VLOOKUP('Données projet'!$B$11,Paramètres!$A$1:$I$89,3,0)*0.475*44/12</f>
        <v>0.56639099349039446</v>
      </c>
      <c r="BR108" s="21">
        <f>EXP(-LN(2)/2)*BR107+(1-EXP(-LN(2)/2))/(LN(2)/2)*BL108*BO108*VLOOKUP('Données projet'!$B$11,Paramètres!$A$1:$I$89,3,0)*0.475*44/12</f>
        <v>1.1734934458197183E-11</v>
      </c>
      <c r="BS108" s="22">
        <f t="shared" si="63"/>
        <v>0.8545199707667458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5.6843418860808015E-14</v>
      </c>
      <c r="BZ108" s="13">
        <f>BY108*VLOOKUP('Données projet'!$B$12,Paramètres!$A$1:$I$89,3,0)*VLOOKUP('Données projet'!$B$12,Paramètres!$A$1:$I$89,5,0)</f>
        <v>3.3992364478763198E-14</v>
      </c>
      <c r="CA108" s="13">
        <f t="shared" si="93"/>
        <v>5.790027782444094E-13</v>
      </c>
      <c r="CB108" s="20">
        <f t="shared" si="64"/>
        <v>1.0676332069095257E-12</v>
      </c>
      <c r="CC108" s="59">
        <f t="shared" si="65"/>
        <v>293.33333333333439</v>
      </c>
      <c r="CD108" s="59">
        <f ca="1">AVERAGE(OFFSET($CC$3,0,0,'Données projet'!$E$12+1,1))-AVERAGE(OFFSET($H$3,0,0,'Données projet'!$E$12+1,1))</f>
        <v>165.39579887388538</v>
      </c>
      <c r="CE108" s="59">
        <f t="shared" si="94"/>
        <v>155.89639262545802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</v>
      </c>
      <c r="CL108" s="21">
        <f>EXP(-LN(2)/25)*CL107+(1-EXP(-LN(2)/25))/(LN(2)/25)*Calculateur!CG108*Calculateur!CI108*VLOOKUP('Données projet'!$B$12,Paramètres!$A$1:$I$89,3,0)*0.475*44/12</f>
        <v>0.91115564492443402</v>
      </c>
      <c r="CM108" s="21">
        <f>EXP(-LN(2)/2)*CM107+(1-EXP(-LN(2)/2))/(LN(2)/2)*CG108*CJ108*VLOOKUP('Données projet'!$B$12,Paramètres!$A$1:$I$89,3,0)*0.475*44/12</f>
        <v>7.1411103938565431E-11</v>
      </c>
      <c r="CN108" s="22">
        <f t="shared" si="66"/>
        <v>0.91115564499584512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3.4106051316484809E-13</v>
      </c>
      <c r="CU108" s="17">
        <f>CT108*VLOOKUP('Données projet'!$B$13,Paramètres!$A$1:$I$89,3,0)*VLOOKUP('Données projet'!$B$13,Paramètres!$A$1:$I$89,5,0)</f>
        <v>2.6602720026858149E-13</v>
      </c>
      <c r="CV108" s="13">
        <f t="shared" si="95"/>
        <v>3.5662905043956649E-12</v>
      </c>
      <c r="CW108" s="20">
        <f t="shared" si="67"/>
        <v>6.6746200022902298E-12</v>
      </c>
      <c r="CX108" s="59">
        <f t="shared" si="68"/>
        <v>293.33333333333997</v>
      </c>
      <c r="CY108" s="59">
        <f ca="1">AVERAGE(OFFSET($CX$3,0,0,'Données projet'!$E$13+1,1))-AVERAGE(OFFSET($H$3,0,0,'Données projet'!$E$13+1,1))</f>
        <v>190.06335940156185</v>
      </c>
      <c r="CZ108" s="59">
        <f t="shared" si="96"/>
        <v>166.43663896839928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0</v>
      </c>
      <c r="DG108" s="21">
        <f>EXP(-LN(2)/25)*DG107+(1-EXP(-LN(2)/25))/(LN(2)/25)*Calculateur!DB108*Calculateur!DD108*VLOOKUP('Données projet'!$B$13,Paramètres!$A$1:$I$89,3,0)*0.475*44/12</f>
        <v>0.55830503291182632</v>
      </c>
      <c r="DH108" s="21">
        <f>EXP(-LN(2)/2)*DH107+(1-EXP(-LN(2)/2))/(LN(2)/2)*DB108*DE108*VLOOKUP('Données projet'!$B$13,Paramètres!$A$1:$I$89,3,0)*0.475*44/12</f>
        <v>2.740367743179239E-11</v>
      </c>
      <c r="DI108" s="22">
        <f t="shared" si="69"/>
        <v>0.55830503293922995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4.4000000000000004</v>
      </c>
      <c r="DO108" s="12">
        <f>IF('Données projet'!$A$166&gt;35,DO107+DN108-DW107,IF(A108&lt;'Données projet'!$A$166,$DL$205^A108,IF(A108='Données projet'!$A$166,'Données projet'!$B$166,DO107+DN108-DW107)))</f>
        <v>283.00000000000011</v>
      </c>
      <c r="DP108" s="17">
        <f>DO108*VLOOKUP('Données projet'!$B$14,Paramètres!$A$1:$I$89,3,0)*VLOOKUP('Données projet'!$B$14,Paramètres!$A$1:$I$89,5,0)</f>
        <v>273.71760000000012</v>
      </c>
      <c r="DQ108" s="13">
        <f t="shared" si="97"/>
        <v>65.637608810456669</v>
      </c>
      <c r="DR108" s="20">
        <f t="shared" si="70"/>
        <v>591.04365534487897</v>
      </c>
      <c r="DS108" s="59">
        <f t="shared" si="71"/>
        <v>884.37698867821223</v>
      </c>
      <c r="DT108" s="59">
        <f ca="1">AVERAGE(OFFSET($DS$3,0,0,'Données projet'!$E$14+1,1))-AVERAGE(OFFSET($H$3,0,0,'Données projet'!$E$14+1,1))</f>
        <v>261.22357949323879</v>
      </c>
      <c r="DU108" s="59">
        <f t="shared" si="98"/>
        <v>163.41029152029387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0</v>
      </c>
      <c r="EB108" s="21">
        <f>EXP(-LN(2)/25)*EB107+(1-EXP(-LN(2)/25))/(LN(2)/25)*Calculateur!DW108*Calculateur!DY108*VLOOKUP('Données projet'!$B$14,Paramètres!$A$1:$I$89,3,0)*0.475*44/12</f>
        <v>0.41501760063442783</v>
      </c>
      <c r="EC108" s="21">
        <f>EXP(-LN(2)/2)*EC107+(1-EXP(-LN(2)/2))/(LN(2)/2)*DW108*DZ108*VLOOKUP('Données projet'!$B$14,Paramètres!$A$1:$I$89,3,0)*0.475*44/12</f>
        <v>3.4039545302635364E-11</v>
      </c>
      <c r="ED108" s="22">
        <f t="shared" si="72"/>
        <v>0.41501760066846738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8.6999999999999993</v>
      </c>
      <c r="EJ108" s="12">
        <f>IF('Données projet'!$A$192&gt;35,EJ107+EI108-ER107,IF(A108&lt;'Données projet'!$A$192,$EG$205^A108,IF(A108='Données projet'!$A$192,'Données projet'!$B$192,EJ107+EI108-ER107)))</f>
        <v>405.09999999999997</v>
      </c>
      <c r="EK108" s="17">
        <f>EJ108*VLOOKUP('Données projet'!$B$15,Paramètres!$A$1:$I$89,3,0)*VLOOKUP('Données projet'!$B$15,Paramètres!$A$1:$I$89,5,0)</f>
        <v>189.58679999999998</v>
      </c>
      <c r="EL108" s="13">
        <f t="shared" si="99"/>
        <v>47.448588626085396</v>
      </c>
      <c r="EM108" s="20">
        <f t="shared" si="73"/>
        <v>412.83663519043193</v>
      </c>
      <c r="EN108" s="59">
        <f t="shared" si="74"/>
        <v>706.16996852376519</v>
      </c>
      <c r="EO108" s="59">
        <f ca="1">AVERAGE(OFFSET($EN$3,0,0,'Données projet'!$E$15+1,1))-AVERAGE(OFFSET($H$3,0,0,'Données projet'!$E$15+1,1))</f>
        <v>123.60520571614535</v>
      </c>
      <c r="EP108" s="59">
        <f t="shared" si="100"/>
        <v>119.00926870519527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0.19638410744040002</v>
      </c>
      <c r="EW108" s="21">
        <f>EXP(-LN(2)/25)*EW107+(1-EXP(-LN(2)/25))/(LN(2)/25)*Calculateur!ER108*Calculateur!ET108*VLOOKUP('Données projet'!$B$15,Paramètres!$A$1:$I$89,3,0)*0.475*44/12</f>
        <v>0.59709477540468447</v>
      </c>
      <c r="EX108" s="21">
        <f>EXP(-LN(2)/2)*EX107+(1-EXP(-LN(2)/2))/(LN(2)/2)*ER108*EU108*VLOOKUP('Données projet'!$B$15,Paramètres!$A$1:$I$89,3,0)*0.475*44/12</f>
        <v>3.1454300525771435E-11</v>
      </c>
      <c r="EY108" s="22">
        <f t="shared" si="75"/>
        <v>0.79347888287653878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-8.5265128291212022E-14</v>
      </c>
      <c r="FF108" s="17">
        <f>FE108*VLOOKUP('Données projet'!$B$16,Paramètres!$A$1:$I$89,3,0)*VLOOKUP('Données projet'!$B$16,Paramètres!$A$1:$I$89,5,0)</f>
        <v>-6.2516392063116648E-14</v>
      </c>
      <c r="FG108" s="13" t="e">
        <f t="shared" si="101"/>
        <v>#NUM!</v>
      </c>
      <c r="FH108" s="20" t="e">
        <f t="shared" si="76"/>
        <v>#NUM!</v>
      </c>
      <c r="FI108" s="59" t="e">
        <f t="shared" si="77"/>
        <v>#NUM!</v>
      </c>
      <c r="FJ108" s="59">
        <f ca="1">AVERAGE(OFFSET($FI$3,0,0,'Données projet'!$E$16+1,1))-AVERAGE(OFFSET($H$3,0,0,'Données projet'!$E$16+1,1))</f>
        <v>124.15919323713428</v>
      </c>
      <c r="FK108" s="59">
        <f t="shared" si="102"/>
        <v>157.85954678210715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0</v>
      </c>
      <c r="FR108" s="21">
        <f>EXP(-LN(2)/25)*FR107+(1-EXP(-LN(2)/25))/(LN(2)/25)*Calculateur!FM108*Calculateur!FO108*VLOOKUP('Données projet'!$B$16,Paramètres!$A$1:$I$89,3,0)*0.475*44/12</f>
        <v>0.62829835992629179</v>
      </c>
      <c r="FS108" s="21">
        <f>EXP(-LN(2)/2)*FS107+(1-EXP(-LN(2)/2))/(LN(2)/2)*FM108*FP108*VLOOKUP('Données projet'!$B$16,Paramètres!$A$1:$I$89,3,0)*0.475*44/12</f>
        <v>3.795548923961645E-11</v>
      </c>
      <c r="FT108" s="22">
        <f t="shared" si="78"/>
        <v>0.62829835996424732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4.4000000000000004</v>
      </c>
      <c r="N109" s="13">
        <f>IF('Données projet'!$A$36&gt;35,N108+M109-V108,IF(A109&lt;'Données projet'!$A$36,$K$205^A109,IF(A109='Données projet'!$A$36,'Données projet'!$B$36,N108+M109-V108)))</f>
        <v>287.40000000000009</v>
      </c>
      <c r="O109" s="13">
        <f>N109*VLOOKUP('Données projet'!$B$9,Paramètres!$A$1:$I$89,3,0)*VLOOKUP('Données projet'!$B$9,Paramètres!$A$1:$I$89,5,0)</f>
        <v>260.03952000000004</v>
      </c>
      <c r="P109" s="13">
        <f t="shared" si="87"/>
        <v>62.730801948604871</v>
      </c>
      <c r="Q109" s="20">
        <f t="shared" si="107"/>
        <v>562.15831072715355</v>
      </c>
      <c r="R109" s="59">
        <f t="shared" si="55"/>
        <v>855.49164406048681</v>
      </c>
      <c r="S109" s="59">
        <f ca="1">AVERAGE(OFFSET($R$3,0,0,'Données projet'!$E$9+1,1))-AVERAGE(OFFSET($H$3,0,0,'Données projet'!$E$9+1,1))</f>
        <v>237.22177246688199</v>
      </c>
      <c r="T109" s="59">
        <f t="shared" si="88"/>
        <v>149.27472147904302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</v>
      </c>
      <c r="AA109" s="21">
        <f>EXP(-LN(2)/25)*AA108+(1-EXP(-LN(2)/25))/(LN(2)/25)*Calculateur!V109*Calculateur!X109*VLOOKUP('Données projet'!$B$9,Paramètres!$A$1:$I$89,3,0)*0.475*44/12</f>
        <v>0.37762576622862332</v>
      </c>
      <c r="AB109" s="21">
        <f>EXP(-LN(2)/2)*AB108+(1-EXP(-LN(2)/2))/(LN(2)/2)*V109*Y109*VLOOKUP('Données projet'!$B$9,Paramètres!$A$1:$I$89,3,0)*0.475*44/12</f>
        <v>2.2516716324129183E-11</v>
      </c>
      <c r="AC109" s="22">
        <f t="shared" si="57"/>
        <v>0.37762576625114003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-8.5265128291212022E-14</v>
      </c>
      <c r="AJ109" s="13">
        <f>AI109*VLOOKUP('Données projet'!$B$10,Paramètres!$A$1:$I$89,3,0)*VLOOKUP('Données projet'!$B$10,Paramètres!$A$1:$I$89,5,0)</f>
        <v>-7.4487616075202836E-14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191.94797389630673</v>
      </c>
      <c r="AO109" s="59">
        <f t="shared" si="90"/>
        <v>273.52540822767878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0.57155068210536619</v>
      </c>
      <c r="AV109" s="21">
        <f>EXP(-LN(2)/25)*AV108+(1-EXP(-LN(2)/25))/(LN(2)/25)*Calculateur!AQ109*Calculateur!AS109*VLOOKUP('Données projet'!$B$10,Paramètres!$A$1:$I$89,3,0)*0.475*44/12</f>
        <v>1.7080004523993242</v>
      </c>
      <c r="AW109" s="21">
        <f>EXP(-LN(2)/2)*AW108+(1-EXP(-LN(2)/2))/(LN(2)/2)*AQ109*AT109*VLOOKUP('Données projet'!$B$10,Paramètres!$A$1:$I$89,3,0)*0.475*44/12</f>
        <v>8.4412251161372749E-11</v>
      </c>
      <c r="AX109" s="21">
        <f t="shared" si="60"/>
        <v>2.2795511345891026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72.647148358003676</v>
      </c>
      <c r="BJ109" s="59">
        <f t="shared" si="92"/>
        <v>87.231299224620898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0.28247894376178034</v>
      </c>
      <c r="BQ109" s="21">
        <f>EXP(-LN(2)/25)*BQ108+(1-EXP(-LN(2)/25))/(LN(2)/25)*Calculateur!BL109*Calculateur!BN109*VLOOKUP('Données projet'!$B$11,Paramètres!$A$1:$I$89,3,0)*0.475*44/12</f>
        <v>0.55090300198819175</v>
      </c>
      <c r="BR109" s="21">
        <f>EXP(-LN(2)/2)*BR108+(1-EXP(-LN(2)/2))/(LN(2)/2)*BL109*BO109*VLOOKUP('Données projet'!$B$11,Paramètres!$A$1:$I$89,3,0)*0.475*44/12</f>
        <v>8.2978517321709124E-12</v>
      </c>
      <c r="BS109" s="22">
        <f t="shared" si="63"/>
        <v>0.83338194575826985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5.6843418860808015E-14</v>
      </c>
      <c r="BZ109" s="13">
        <f>BY109*VLOOKUP('Données projet'!$B$12,Paramètres!$A$1:$I$89,3,0)*VLOOKUP('Données projet'!$B$12,Paramètres!$A$1:$I$89,5,0)</f>
        <v>3.3992364478763198E-14</v>
      </c>
      <c r="CA109" s="13">
        <f t="shared" si="93"/>
        <v>5.790027782444094E-13</v>
      </c>
      <c r="CB109" s="20">
        <f t="shared" si="64"/>
        <v>1.0676332069095257E-12</v>
      </c>
      <c r="CC109" s="59">
        <f t="shared" si="65"/>
        <v>293.33333333333439</v>
      </c>
      <c r="CD109" s="59">
        <f ca="1">AVERAGE(OFFSET($CC$3,0,0,'Données projet'!$E$12+1,1))-AVERAGE(OFFSET($H$3,0,0,'Données projet'!$E$12+1,1))</f>
        <v>165.39579887388538</v>
      </c>
      <c r="CE109" s="59">
        <f t="shared" si="94"/>
        <v>155.89639262545802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</v>
      </c>
      <c r="CL109" s="21">
        <f>EXP(-LN(2)/25)*CL108+(1-EXP(-LN(2)/25))/(LN(2)/25)*Calculateur!CG109*Calculateur!CI109*VLOOKUP('Données projet'!$B$12,Paramètres!$A$1:$I$89,3,0)*0.475*44/12</f>
        <v>0.88624004589838246</v>
      </c>
      <c r="CM109" s="21">
        <f>EXP(-LN(2)/2)*CM108+(1-EXP(-LN(2)/2))/(LN(2)/2)*CG109*CJ109*VLOOKUP('Données projet'!$B$12,Paramètres!$A$1:$I$89,3,0)*0.475*44/12</f>
        <v>5.0495275846976989E-11</v>
      </c>
      <c r="CN109" s="22">
        <f t="shared" si="66"/>
        <v>0.88624004594887773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3.4106051316484809E-13</v>
      </c>
      <c r="CU109" s="17">
        <f>CT109*VLOOKUP('Données projet'!$B$13,Paramètres!$A$1:$I$89,3,0)*VLOOKUP('Données projet'!$B$13,Paramètres!$A$1:$I$89,5,0)</f>
        <v>2.6602720026858149E-13</v>
      </c>
      <c r="CV109" s="13">
        <f t="shared" si="95"/>
        <v>3.5662905043956649E-12</v>
      </c>
      <c r="CW109" s="20">
        <f t="shared" si="67"/>
        <v>6.6746200022902298E-12</v>
      </c>
      <c r="CX109" s="59">
        <f t="shared" si="68"/>
        <v>293.33333333333997</v>
      </c>
      <c r="CY109" s="59">
        <f ca="1">AVERAGE(OFFSET($CX$3,0,0,'Données projet'!$E$13+1,1))-AVERAGE(OFFSET($H$3,0,0,'Données projet'!$E$13+1,1))</f>
        <v>190.06335940156185</v>
      </c>
      <c r="CZ109" s="59">
        <f t="shared" si="96"/>
        <v>166.43663896839928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0</v>
      </c>
      <c r="DG109" s="21">
        <f>EXP(-LN(2)/25)*DG108+(1-EXP(-LN(2)/25))/(LN(2)/25)*Calculateur!DB109*Calculateur!DD109*VLOOKUP('Données projet'!$B$13,Paramètres!$A$1:$I$89,3,0)*0.475*44/12</f>
        <v>0.54303815242686682</v>
      </c>
      <c r="DH109" s="21">
        <f>EXP(-LN(2)/2)*DH108+(1-EXP(-LN(2)/2))/(LN(2)/2)*DB109*DE109*VLOOKUP('Données projet'!$B$13,Paramètres!$A$1:$I$89,3,0)*0.475*44/12</f>
        <v>1.9377326141469152E-11</v>
      </c>
      <c r="DI109" s="22">
        <f t="shared" si="69"/>
        <v>0.54303815244624409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4.4000000000000004</v>
      </c>
      <c r="DO109" s="12">
        <f>IF('Données projet'!$A$166&gt;35,DO108+DN109-DW108,IF(A109&lt;'Données projet'!$A$166,$DL$205^A109,IF(A109='Données projet'!$A$166,'Données projet'!$B$166,DO108+DN109-DW108)))</f>
        <v>287.40000000000009</v>
      </c>
      <c r="DP109" s="17">
        <f>DO109*VLOOKUP('Données projet'!$B$14,Paramètres!$A$1:$I$89,3,0)*VLOOKUP('Données projet'!$B$14,Paramètres!$A$1:$I$89,5,0)</f>
        <v>277.9732800000001</v>
      </c>
      <c r="DQ109" s="13">
        <f t="shared" si="97"/>
        <v>66.538523764973192</v>
      </c>
      <c r="DR109" s="20">
        <f t="shared" si="70"/>
        <v>600.02472489066179</v>
      </c>
      <c r="DS109" s="59">
        <f t="shared" si="71"/>
        <v>893.35805822399516</v>
      </c>
      <c r="DT109" s="59">
        <f ca="1">AVERAGE(OFFSET($DS$3,0,0,'Données projet'!$E$14+1,1))-AVERAGE(OFFSET($H$3,0,0,'Données projet'!$E$14+1,1))</f>
        <v>261.22357949323879</v>
      </c>
      <c r="DU109" s="59">
        <f t="shared" si="98"/>
        <v>163.41029152029387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0</v>
      </c>
      <c r="EB109" s="21">
        <f>EXP(-LN(2)/25)*EB108+(1-EXP(-LN(2)/25))/(LN(2)/25)*Calculateur!DW109*Calculateur!DY109*VLOOKUP('Données projet'!$B$14,Paramètres!$A$1:$I$89,3,0)*0.475*44/12</f>
        <v>0.40366892252025233</v>
      </c>
      <c r="EC109" s="21">
        <f>EXP(-LN(2)/2)*EC108+(1-EXP(-LN(2)/2))/(LN(2)/2)*DW109*DZ109*VLOOKUP('Données projet'!$B$14,Paramètres!$A$1:$I$89,3,0)*0.475*44/12</f>
        <v>2.4069593312000156E-11</v>
      </c>
      <c r="ED109" s="22">
        <f t="shared" si="72"/>
        <v>0.40366892254432191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8.6999999999999993</v>
      </c>
      <c r="EJ109" s="12">
        <f>IF('Données projet'!$A$192&gt;35,EJ108+EI109-ER108,IF(A109&lt;'Données projet'!$A$192,$EG$205^A109,IF(A109='Données projet'!$A$192,'Données projet'!$B$192,EJ108+EI109-ER108)))</f>
        <v>413.79999999999995</v>
      </c>
      <c r="EK109" s="17">
        <f>EJ109*VLOOKUP('Données projet'!$B$15,Paramètres!$A$1:$I$89,3,0)*VLOOKUP('Données projet'!$B$15,Paramètres!$A$1:$I$89,5,0)</f>
        <v>193.6584</v>
      </c>
      <c r="EL109" s="13">
        <f t="shared" si="99"/>
        <v>48.347873192848013</v>
      </c>
      <c r="EM109" s="20">
        <f t="shared" si="73"/>
        <v>421.49425914421028</v>
      </c>
      <c r="EN109" s="59">
        <f t="shared" si="74"/>
        <v>714.82759247754359</v>
      </c>
      <c r="EO109" s="59">
        <f ca="1">AVERAGE(OFFSET($EN$3,0,0,'Données projet'!$E$15+1,1))-AVERAGE(OFFSET($H$3,0,0,'Données projet'!$E$15+1,1))</f>
        <v>123.60520571614535</v>
      </c>
      <c r="EP109" s="59">
        <f t="shared" si="100"/>
        <v>119.00926870519527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0.19253313487597179</v>
      </c>
      <c r="EW109" s="21">
        <f>EXP(-LN(2)/25)*EW108+(1-EXP(-LN(2)/25))/(LN(2)/25)*Calculateur!ER109*Calculateur!ET109*VLOOKUP('Données projet'!$B$15,Paramètres!$A$1:$I$89,3,0)*0.475*44/12</f>
        <v>0.58076718737139377</v>
      </c>
      <c r="EX109" s="21">
        <f>EXP(-LN(2)/2)*EX108+(1-EXP(-LN(2)/2))/(LN(2)/2)*ER109*EU109*VLOOKUP('Données projet'!$B$15,Paramètres!$A$1:$I$89,3,0)*0.475*44/12</f>
        <v>2.2241549199252569E-11</v>
      </c>
      <c r="EY109" s="22">
        <f t="shared" si="75"/>
        <v>0.7733003222696071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-8.5265128291212022E-14</v>
      </c>
      <c r="FF109" s="17">
        <f>FE109*VLOOKUP('Données projet'!$B$16,Paramètres!$A$1:$I$89,3,0)*VLOOKUP('Données projet'!$B$16,Paramètres!$A$1:$I$89,5,0)</f>
        <v>-6.2516392063116648E-14</v>
      </c>
      <c r="FG109" s="13" t="e">
        <f t="shared" si="101"/>
        <v>#NUM!</v>
      </c>
      <c r="FH109" s="20" t="e">
        <f t="shared" si="76"/>
        <v>#NUM!</v>
      </c>
      <c r="FI109" s="59" t="e">
        <f t="shared" si="77"/>
        <v>#NUM!</v>
      </c>
      <c r="FJ109" s="59">
        <f ca="1">AVERAGE(OFFSET($FI$3,0,0,'Données projet'!$E$16+1,1))-AVERAGE(OFFSET($H$3,0,0,'Données projet'!$E$16+1,1))</f>
        <v>124.15919323713428</v>
      </c>
      <c r="FK109" s="59">
        <f t="shared" si="102"/>
        <v>157.85954678210715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0</v>
      </c>
      <c r="FR109" s="21">
        <f>EXP(-LN(2)/25)*FR108+(1-EXP(-LN(2)/25))/(LN(2)/25)*Calculateur!FM109*Calculateur!FO109*VLOOKUP('Données projet'!$B$16,Paramètres!$A$1:$I$89,3,0)*0.475*44/12</f>
        <v>0.61111750823333255</v>
      </c>
      <c r="FS109" s="21">
        <f>EXP(-LN(2)/2)*FS108+(1-EXP(-LN(2)/2))/(LN(2)/2)*FM109*FP109*VLOOKUP('Données projet'!$B$16,Paramètres!$A$1:$I$89,3,0)*0.475*44/12</f>
        <v>2.6838583824585828E-11</v>
      </c>
      <c r="FT109" s="22">
        <f t="shared" si="78"/>
        <v>0.61111750826017108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4.4000000000000004</v>
      </c>
      <c r="N110" s="13">
        <f>IF('Données projet'!$A$36&gt;35,N109+M110-V109,IF(A110&lt;'Données projet'!$A$36,$K$205^A110,IF(A110='Données projet'!$A$36,'Données projet'!$B$36,N109+M110-V109)))</f>
        <v>291.80000000000007</v>
      </c>
      <c r="O110" s="13">
        <f>N110*VLOOKUP('Données projet'!$B$9,Paramètres!$A$1:$I$89,3,0)*VLOOKUP('Données projet'!$B$9,Paramètres!$A$1:$I$89,5,0)</f>
        <v>264.02064000000007</v>
      </c>
      <c r="P110" s="13">
        <f t="shared" si="87"/>
        <v>63.578648990959174</v>
      </c>
      <c r="Q110" s="20">
        <f t="shared" si="107"/>
        <v>570.56876165925394</v>
      </c>
      <c r="R110" s="59">
        <f t="shared" si="55"/>
        <v>863.90209499258731</v>
      </c>
      <c r="S110" s="59">
        <f ca="1">AVERAGE(OFFSET($R$3,0,0,'Données projet'!$E$9+1,1))-AVERAGE(OFFSET($H$3,0,0,'Données projet'!$E$9+1,1))</f>
        <v>237.22177246688199</v>
      </c>
      <c r="T110" s="59">
        <f t="shared" si="88"/>
        <v>149.27472147904302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</v>
      </c>
      <c r="AA110" s="21">
        <f>EXP(-LN(2)/25)*AA109+(1-EXP(-LN(2)/25))/(LN(2)/25)*Calculateur!V110*Calculateur!X110*VLOOKUP('Données projet'!$B$9,Paramètres!$A$1:$I$89,3,0)*0.475*44/12</f>
        <v>0.36729956979262562</v>
      </c>
      <c r="AB110" s="21">
        <f>EXP(-LN(2)/2)*AB109+(1-EXP(-LN(2)/2))/(LN(2)/2)*V110*Y110*VLOOKUP('Données projet'!$B$9,Paramètres!$A$1:$I$89,3,0)*0.475*44/12</f>
        <v>1.5921722802845577E-11</v>
      </c>
      <c r="AC110" s="22">
        <f t="shared" si="57"/>
        <v>0.36729956980854733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-8.5265128291212022E-14</v>
      </c>
      <c r="AJ110" s="13">
        <f>AI110*VLOOKUP('Données projet'!$B$10,Paramètres!$A$1:$I$89,3,0)*VLOOKUP('Données projet'!$B$10,Paramètres!$A$1:$I$89,5,0)</f>
        <v>-7.4487616075202836E-14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191.94797389630673</v>
      </c>
      <c r="AO110" s="59">
        <f t="shared" si="90"/>
        <v>273.52540822767878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0.5603429218407735</v>
      </c>
      <c r="AV110" s="21">
        <f>EXP(-LN(2)/25)*AV109+(1-EXP(-LN(2)/25))/(LN(2)/25)*Calculateur!AQ110*Calculateur!AS110*VLOOKUP('Données projet'!$B$10,Paramètres!$A$1:$I$89,3,0)*0.475*44/12</f>
        <v>1.6612950902086245</v>
      </c>
      <c r="AW110" s="21">
        <f>EXP(-LN(2)/2)*AW109+(1-EXP(-LN(2)/2))/(LN(2)/2)*AQ110*AT110*VLOOKUP('Données projet'!$B$10,Paramètres!$A$1:$I$89,3,0)*0.475*44/12</f>
        <v>5.9688475211428691E-11</v>
      </c>
      <c r="AX110" s="21">
        <f t="shared" si="60"/>
        <v>2.2216380121090862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72.647148358003676</v>
      </c>
      <c r="BJ110" s="59">
        <f t="shared" si="92"/>
        <v>87.231299224620898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0.27693970396975481</v>
      </c>
      <c r="BQ110" s="21">
        <f>EXP(-LN(2)/25)*BQ109+(1-EXP(-LN(2)/25))/(LN(2)/25)*Calculateur!BL110*Calculateur!BN110*VLOOKUP('Données projet'!$B$11,Paramètres!$A$1:$I$89,3,0)*0.475*44/12</f>
        <v>0.53583853042809493</v>
      </c>
      <c r="BR110" s="21">
        <f>EXP(-LN(2)/2)*BR109+(1-EXP(-LN(2)/2))/(LN(2)/2)*BL110*BO110*VLOOKUP('Données projet'!$B$11,Paramètres!$A$1:$I$89,3,0)*0.475*44/12</f>
        <v>5.8674672290985917E-12</v>
      </c>
      <c r="BS110" s="22">
        <f t="shared" si="63"/>
        <v>0.81277823440371721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5.6843418860808015E-14</v>
      </c>
      <c r="BZ110" s="13">
        <f>BY110*VLOOKUP('Données projet'!$B$12,Paramètres!$A$1:$I$89,3,0)*VLOOKUP('Données projet'!$B$12,Paramètres!$A$1:$I$89,5,0)</f>
        <v>3.3992364478763198E-14</v>
      </c>
      <c r="CA110" s="13">
        <f t="shared" si="93"/>
        <v>5.790027782444094E-13</v>
      </c>
      <c r="CB110" s="20">
        <f t="shared" si="64"/>
        <v>1.0676332069095257E-12</v>
      </c>
      <c r="CC110" s="59">
        <f t="shared" si="65"/>
        <v>293.33333333333439</v>
      </c>
      <c r="CD110" s="59">
        <f ca="1">AVERAGE(OFFSET($CC$3,0,0,'Données projet'!$E$12+1,1))-AVERAGE(OFFSET($H$3,0,0,'Données projet'!$E$12+1,1))</f>
        <v>165.39579887388538</v>
      </c>
      <c r="CE110" s="59">
        <f t="shared" si="94"/>
        <v>155.89639262545802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</v>
      </c>
      <c r="CL110" s="21">
        <f>EXP(-LN(2)/25)*CL109+(1-EXP(-LN(2)/25))/(LN(2)/25)*Calculateur!CG110*Calculateur!CI110*VLOOKUP('Données projet'!$B$12,Paramètres!$A$1:$I$89,3,0)*0.475*44/12</f>
        <v>0.86200576523795269</v>
      </c>
      <c r="CM110" s="21">
        <f>EXP(-LN(2)/2)*CM109+(1-EXP(-LN(2)/2))/(LN(2)/2)*CG110*CJ110*VLOOKUP('Données projet'!$B$12,Paramètres!$A$1:$I$89,3,0)*0.475*44/12</f>
        <v>3.5705551969282716E-11</v>
      </c>
      <c r="CN110" s="22">
        <f t="shared" si="66"/>
        <v>0.86200576527365824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3.4106051316484809E-13</v>
      </c>
      <c r="CU110" s="17">
        <f>CT110*VLOOKUP('Données projet'!$B$13,Paramètres!$A$1:$I$89,3,0)*VLOOKUP('Données projet'!$B$13,Paramètres!$A$1:$I$89,5,0)</f>
        <v>2.6602720026858149E-13</v>
      </c>
      <c r="CV110" s="13">
        <f t="shared" si="95"/>
        <v>3.5662905043956649E-12</v>
      </c>
      <c r="CW110" s="20">
        <f t="shared" si="67"/>
        <v>6.6746200022902298E-12</v>
      </c>
      <c r="CX110" s="59">
        <f t="shared" si="68"/>
        <v>293.33333333333997</v>
      </c>
      <c r="CY110" s="59">
        <f ca="1">AVERAGE(OFFSET($CX$3,0,0,'Données projet'!$E$13+1,1))-AVERAGE(OFFSET($H$3,0,0,'Données projet'!$E$13+1,1))</f>
        <v>190.06335940156185</v>
      </c>
      <c r="CZ110" s="59">
        <f t="shared" si="96"/>
        <v>166.43663896839928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0</v>
      </c>
      <c r="DG110" s="21">
        <f>EXP(-LN(2)/25)*DG109+(1-EXP(-LN(2)/25))/(LN(2)/25)*Calculateur!DB110*Calculateur!DD110*VLOOKUP('Données projet'!$B$13,Paramètres!$A$1:$I$89,3,0)*0.475*44/12</f>
        <v>0.52818874559161888</v>
      </c>
      <c r="DH110" s="21">
        <f>EXP(-LN(2)/2)*DH109+(1-EXP(-LN(2)/2))/(LN(2)/2)*DB110*DE110*VLOOKUP('Données projet'!$B$13,Paramètres!$A$1:$I$89,3,0)*0.475*44/12</f>
        <v>1.3701838715896195E-11</v>
      </c>
      <c r="DI110" s="22">
        <f t="shared" si="69"/>
        <v>0.5281887456053207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4.4000000000000004</v>
      </c>
      <c r="DO110" s="12">
        <f>IF('Données projet'!$A$166&gt;35,DO109+DN110-DW109,IF(A110&lt;'Données projet'!$A$166,$DL$205^A110,IF(A110='Données projet'!$A$166,'Données projet'!$B$166,DO109+DN110-DW109)))</f>
        <v>291.80000000000007</v>
      </c>
      <c r="DP110" s="17">
        <f>DO110*VLOOKUP('Données projet'!$B$14,Paramètres!$A$1:$I$89,3,0)*VLOOKUP('Données projet'!$B$14,Paramètres!$A$1:$I$89,5,0)</f>
        <v>282.22896000000009</v>
      </c>
      <c r="DQ110" s="13">
        <f t="shared" si="97"/>
        <v>67.437834611070414</v>
      </c>
      <c r="DR110" s="20">
        <f t="shared" si="70"/>
        <v>609.00300061428106</v>
      </c>
      <c r="DS110" s="59">
        <f t="shared" si="71"/>
        <v>902.33633394761432</v>
      </c>
      <c r="DT110" s="59">
        <f ca="1">AVERAGE(OFFSET($DS$3,0,0,'Données projet'!$E$14+1,1))-AVERAGE(OFFSET($H$3,0,0,'Données projet'!$E$14+1,1))</f>
        <v>261.22357949323879</v>
      </c>
      <c r="DU110" s="59">
        <f t="shared" si="98"/>
        <v>163.41029152029387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0</v>
      </c>
      <c r="EB110" s="21">
        <f>EXP(-LN(2)/25)*EB109+(1-EXP(-LN(2)/25))/(LN(2)/25)*Calculateur!DW110*Calculateur!DY110*VLOOKUP('Données projet'!$B$14,Paramètres!$A$1:$I$89,3,0)*0.475*44/12</f>
        <v>0.39263057460591</v>
      </c>
      <c r="EC110" s="21">
        <f>EXP(-LN(2)/2)*EC109+(1-EXP(-LN(2)/2))/(LN(2)/2)*DW110*DZ110*VLOOKUP('Données projet'!$B$14,Paramètres!$A$1:$I$89,3,0)*0.475*44/12</f>
        <v>1.7019772651317682E-11</v>
      </c>
      <c r="ED110" s="22">
        <f t="shared" si="72"/>
        <v>0.39263057462292977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8.6999999999999993</v>
      </c>
      <c r="EJ110" s="12">
        <f>IF('Données projet'!$A$192&gt;35,EJ109+EI110-ER109,IF(A110&lt;'Données projet'!$A$192,$EG$205^A110,IF(A110='Données projet'!$A$192,'Données projet'!$B$192,EJ109+EI110-ER109)))</f>
        <v>422.49999999999994</v>
      </c>
      <c r="EK110" s="17">
        <f>EJ110*VLOOKUP('Données projet'!$B$15,Paramètres!$A$1:$I$89,3,0)*VLOOKUP('Données projet'!$B$15,Paramètres!$A$1:$I$89,5,0)</f>
        <v>197.72999999999996</v>
      </c>
      <c r="EL110" s="13">
        <f t="shared" si="99"/>
        <v>49.244959487759665</v>
      </c>
      <c r="EM110" s="20">
        <f t="shared" si="73"/>
        <v>430.14805444118133</v>
      </c>
      <c r="EN110" s="59">
        <f t="shared" si="74"/>
        <v>723.48138777451459</v>
      </c>
      <c r="EO110" s="59">
        <f ca="1">AVERAGE(OFFSET($EN$3,0,0,'Données projet'!$E$15+1,1))-AVERAGE(OFFSET($H$3,0,0,'Données projet'!$E$15+1,1))</f>
        <v>123.60520571614535</v>
      </c>
      <c r="EP110" s="59">
        <f t="shared" si="100"/>
        <v>119.00926870519527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0.18875767753467065</v>
      </c>
      <c r="EW110" s="21">
        <f>EXP(-LN(2)/25)*EW109+(1-EXP(-LN(2)/25))/(LN(2)/25)*Calculateur!ER110*Calculateur!ET110*VLOOKUP('Données projet'!$B$15,Paramètres!$A$1:$I$89,3,0)*0.475*44/12</f>
        <v>0.56488607809150393</v>
      </c>
      <c r="EX110" s="21">
        <f>EXP(-LN(2)/2)*EX109+(1-EXP(-LN(2)/2))/(LN(2)/2)*ER110*EU110*VLOOKUP('Données projet'!$B$15,Paramètres!$A$1:$I$89,3,0)*0.475*44/12</f>
        <v>1.5727150262885718E-11</v>
      </c>
      <c r="EY110" s="22">
        <f t="shared" si="75"/>
        <v>0.75364375564190178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-8.5265128291212022E-14</v>
      </c>
      <c r="FF110" s="17">
        <f>FE110*VLOOKUP('Données projet'!$B$16,Paramètres!$A$1:$I$89,3,0)*VLOOKUP('Données projet'!$B$16,Paramètres!$A$1:$I$89,5,0)</f>
        <v>-6.2516392063116648E-14</v>
      </c>
      <c r="FG110" s="13" t="e">
        <f t="shared" si="101"/>
        <v>#NUM!</v>
      </c>
      <c r="FH110" s="20" t="e">
        <f t="shared" si="76"/>
        <v>#NUM!</v>
      </c>
      <c r="FI110" s="59" t="e">
        <f t="shared" si="77"/>
        <v>#NUM!</v>
      </c>
      <c r="FJ110" s="59">
        <f ca="1">AVERAGE(OFFSET($FI$3,0,0,'Données projet'!$E$16+1,1))-AVERAGE(OFFSET($H$3,0,0,'Données projet'!$E$16+1,1))</f>
        <v>124.15919323713428</v>
      </c>
      <c r="FK110" s="59">
        <f t="shared" si="102"/>
        <v>157.85954678210715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0</v>
      </c>
      <c r="FR110" s="21">
        <f>EXP(-LN(2)/25)*FR109+(1-EXP(-LN(2)/25))/(LN(2)/25)*Calculateur!FM110*Calculateur!FO110*VLOOKUP('Données projet'!$B$16,Paramètres!$A$1:$I$89,3,0)*0.475*44/12</f>
        <v>0.59440646783341899</v>
      </c>
      <c r="FS110" s="21">
        <f>EXP(-LN(2)/2)*FS109+(1-EXP(-LN(2)/2))/(LN(2)/2)*FM110*FP110*VLOOKUP('Données projet'!$B$16,Paramètres!$A$1:$I$89,3,0)*0.475*44/12</f>
        <v>1.8977744619808225E-11</v>
      </c>
      <c r="FT110" s="22">
        <f t="shared" si="78"/>
        <v>0.5944064678523967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4.4000000000000004</v>
      </c>
      <c r="N111" s="13">
        <f>IF('Données projet'!$A$36&gt;35,N110+M111-V110,IF(A111&lt;'Données projet'!$A$36,$K$205^A111,IF(A111='Données projet'!$A$36,'Données projet'!$B$36,N110+M111-V110)))</f>
        <v>296.20000000000005</v>
      </c>
      <c r="O111" s="13">
        <f>N111*VLOOKUP('Données projet'!$B$9,Paramètres!$A$1:$I$89,3,0)*VLOOKUP('Données projet'!$B$9,Paramètres!$A$1:$I$89,5,0)</f>
        <v>268.00176000000005</v>
      </c>
      <c r="P111" s="13">
        <f t="shared" si="87"/>
        <v>64.425009159185578</v>
      </c>
      <c r="Q111" s="20">
        <f t="shared" si="107"/>
        <v>578.97662295224825</v>
      </c>
      <c r="R111" s="59">
        <f t="shared" si="55"/>
        <v>872.30995628558162</v>
      </c>
      <c r="S111" s="59">
        <f ca="1">AVERAGE(OFFSET($R$3,0,0,'Données projet'!$E$9+1,1))-AVERAGE(OFFSET($H$3,0,0,'Données projet'!$E$9+1,1))</f>
        <v>237.22177246688199</v>
      </c>
      <c r="T111" s="59">
        <f t="shared" si="88"/>
        <v>149.27472147904302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</v>
      </c>
      <c r="AA111" s="21">
        <f>EXP(-LN(2)/25)*AA110+(1-EXP(-LN(2)/25))/(LN(2)/25)*Calculateur!V111*Calculateur!X111*VLOOKUP('Données projet'!$B$9,Paramètres!$A$1:$I$89,3,0)*0.475*44/12</f>
        <v>0.35725574374120139</v>
      </c>
      <c r="AB111" s="21">
        <f>EXP(-LN(2)/2)*AB110+(1-EXP(-LN(2)/2))/(LN(2)/2)*V111*Y111*VLOOKUP('Données projet'!$B$9,Paramètres!$A$1:$I$89,3,0)*0.475*44/12</f>
        <v>1.1258358162064591E-11</v>
      </c>
      <c r="AC111" s="22">
        <f t="shared" si="57"/>
        <v>0.35725574375245978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-8.5265128291212022E-14</v>
      </c>
      <c r="AJ111" s="13">
        <f>AI111*VLOOKUP('Données projet'!$B$10,Paramètres!$A$1:$I$89,3,0)*VLOOKUP('Données projet'!$B$10,Paramètres!$A$1:$I$89,5,0)</f>
        <v>-7.4487616075202836E-14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191.94797389630673</v>
      </c>
      <c r="AO111" s="59">
        <f t="shared" si="90"/>
        <v>273.52540822767878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0.54935493891891074</v>
      </c>
      <c r="AV111" s="21">
        <f>EXP(-LN(2)/25)*AV110+(1-EXP(-LN(2)/25))/(LN(2)/25)*Calculateur!AQ111*Calculateur!AS111*VLOOKUP('Données projet'!$B$10,Paramètres!$A$1:$I$89,3,0)*0.475*44/12</f>
        <v>1.6158668886031577</v>
      </c>
      <c r="AW111" s="21">
        <f>EXP(-LN(2)/2)*AW110+(1-EXP(-LN(2)/2))/(LN(2)/2)*AQ111*AT111*VLOOKUP('Données projet'!$B$10,Paramètres!$A$1:$I$89,3,0)*0.475*44/12</f>
        <v>4.2206125580686375E-11</v>
      </c>
      <c r="AX111" s="21">
        <f t="shared" si="60"/>
        <v>2.1652218275642747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72.647148358003676</v>
      </c>
      <c r="BJ111" s="59">
        <f t="shared" si="92"/>
        <v>87.231299224620898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0.27150908529144824</v>
      </c>
      <c r="BQ111" s="21">
        <f>EXP(-LN(2)/25)*BQ110+(1-EXP(-LN(2)/25))/(LN(2)/25)*Calculateur!BL111*Calculateur!BN111*VLOOKUP('Données projet'!$B$11,Paramètres!$A$1:$I$89,3,0)*0.475*44/12</f>
        <v>0.52118599763501505</v>
      </c>
      <c r="BR111" s="21">
        <f>EXP(-LN(2)/2)*BR110+(1-EXP(-LN(2)/2))/(LN(2)/2)*BL111*BO111*VLOOKUP('Données projet'!$B$11,Paramètres!$A$1:$I$89,3,0)*0.475*44/12</f>
        <v>4.1489258660854562E-12</v>
      </c>
      <c r="BS111" s="22">
        <f t="shared" si="63"/>
        <v>0.79269508293061219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5.6843418860808015E-14</v>
      </c>
      <c r="BZ111" s="13">
        <f>BY111*VLOOKUP('Données projet'!$B$12,Paramètres!$A$1:$I$89,3,0)*VLOOKUP('Données projet'!$B$12,Paramètres!$A$1:$I$89,5,0)</f>
        <v>3.3992364478763198E-14</v>
      </c>
      <c r="CA111" s="13">
        <f t="shared" si="93"/>
        <v>5.790027782444094E-13</v>
      </c>
      <c r="CB111" s="20">
        <f t="shared" si="64"/>
        <v>1.0676332069095257E-12</v>
      </c>
      <c r="CC111" s="59">
        <f t="shared" si="65"/>
        <v>293.33333333333439</v>
      </c>
      <c r="CD111" s="59">
        <f ca="1">AVERAGE(OFFSET($CC$3,0,0,'Données projet'!$E$12+1,1))-AVERAGE(OFFSET($H$3,0,0,'Données projet'!$E$12+1,1))</f>
        <v>165.39579887388538</v>
      </c>
      <c r="CE111" s="59">
        <f t="shared" si="94"/>
        <v>155.89639262545802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</v>
      </c>
      <c r="CL111" s="21">
        <f>EXP(-LN(2)/25)*CL110+(1-EXP(-LN(2)/25))/(LN(2)/25)*Calculateur!CG111*Calculateur!CI111*VLOOKUP('Données projet'!$B$12,Paramètres!$A$1:$I$89,3,0)*0.475*44/12</f>
        <v>0.83843417225660777</v>
      </c>
      <c r="CM111" s="21">
        <f>EXP(-LN(2)/2)*CM110+(1-EXP(-LN(2)/2))/(LN(2)/2)*CG111*CJ111*VLOOKUP('Données projet'!$B$12,Paramètres!$A$1:$I$89,3,0)*0.475*44/12</f>
        <v>2.5247637923488495E-11</v>
      </c>
      <c r="CN111" s="22">
        <f t="shared" si="66"/>
        <v>0.83843417228185546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3.4106051316484809E-13</v>
      </c>
      <c r="CU111" s="17">
        <f>CT111*VLOOKUP('Données projet'!$B$13,Paramètres!$A$1:$I$89,3,0)*VLOOKUP('Données projet'!$B$13,Paramètres!$A$1:$I$89,5,0)</f>
        <v>2.6602720026858149E-13</v>
      </c>
      <c r="CV111" s="13">
        <f t="shared" si="95"/>
        <v>3.5662905043956649E-12</v>
      </c>
      <c r="CW111" s="20">
        <f t="shared" si="67"/>
        <v>6.6746200022902298E-12</v>
      </c>
      <c r="CX111" s="59">
        <f t="shared" si="68"/>
        <v>293.33333333333997</v>
      </c>
      <c r="CY111" s="59">
        <f ca="1">AVERAGE(OFFSET($CX$3,0,0,'Données projet'!$E$13+1,1))-AVERAGE(OFFSET($H$3,0,0,'Données projet'!$E$13+1,1))</f>
        <v>190.06335940156185</v>
      </c>
      <c r="CZ111" s="59">
        <f t="shared" si="96"/>
        <v>166.43663896839928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0</v>
      </c>
      <c r="DG111" s="21">
        <f>EXP(-LN(2)/25)*DG110+(1-EXP(-LN(2)/25))/(LN(2)/25)*Calculateur!DB111*Calculateur!DD111*VLOOKUP('Données projet'!$B$13,Paramètres!$A$1:$I$89,3,0)*0.475*44/12</f>
        <v>0.5137453965671771</v>
      </c>
      <c r="DH111" s="21">
        <f>EXP(-LN(2)/2)*DH110+(1-EXP(-LN(2)/2))/(LN(2)/2)*DB111*DE111*VLOOKUP('Données projet'!$B$13,Paramètres!$A$1:$I$89,3,0)*0.475*44/12</f>
        <v>9.6886630707345759E-12</v>
      </c>
      <c r="DI111" s="22">
        <f t="shared" si="69"/>
        <v>0.5137453965768658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4.4000000000000004</v>
      </c>
      <c r="DO111" s="12">
        <f>IF('Données projet'!$A$166&gt;35,DO110+DN111-DW110,IF(A111&lt;'Données projet'!$A$166,$DL$205^A111,IF(A111='Données projet'!$A$166,'Données projet'!$B$166,DO110+DN111-DW110)))</f>
        <v>296.20000000000005</v>
      </c>
      <c r="DP111" s="17">
        <f>DO111*VLOOKUP('Données projet'!$B$14,Paramètres!$A$1:$I$89,3,0)*VLOOKUP('Données projet'!$B$14,Paramètres!$A$1:$I$89,5,0)</f>
        <v>286.48464000000007</v>
      </c>
      <c r="DQ111" s="13">
        <f t="shared" si="97"/>
        <v>68.33556833067756</v>
      </c>
      <c r="DR111" s="20">
        <f t="shared" si="70"/>
        <v>617.97852950926347</v>
      </c>
      <c r="DS111" s="59">
        <f t="shared" si="71"/>
        <v>911.31186284259684</v>
      </c>
      <c r="DT111" s="59">
        <f ca="1">AVERAGE(OFFSET($DS$3,0,0,'Données projet'!$E$14+1,1))-AVERAGE(OFFSET($H$3,0,0,'Données projet'!$E$14+1,1))</f>
        <v>261.22357949323879</v>
      </c>
      <c r="DU111" s="59">
        <f t="shared" si="98"/>
        <v>163.41029152029387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0</v>
      </c>
      <c r="EB111" s="21">
        <f>EXP(-LN(2)/25)*EB110+(1-EXP(-LN(2)/25))/(LN(2)/25)*Calculateur!DW111*Calculateur!DY111*VLOOKUP('Données projet'!$B$14,Paramètres!$A$1:$I$89,3,0)*0.475*44/12</f>
        <v>0.38189407089576682</v>
      </c>
      <c r="EC111" s="21">
        <f>EXP(-LN(2)/2)*EC110+(1-EXP(-LN(2)/2))/(LN(2)/2)*DW111*DZ111*VLOOKUP('Données projet'!$B$14,Paramètres!$A$1:$I$89,3,0)*0.475*44/12</f>
        <v>1.2034796656000078E-11</v>
      </c>
      <c r="ED111" s="22">
        <f t="shared" si="72"/>
        <v>0.38189407090780164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8.6999999999999993</v>
      </c>
      <c r="EJ111" s="12">
        <f>IF('Données projet'!$A$192&gt;35,EJ110+EI111-ER110,IF(A111&lt;'Données projet'!$A$192,$EG$205^A111,IF(A111='Données projet'!$A$192,'Données projet'!$B$192,EJ110+EI111-ER110)))</f>
        <v>431.19999999999993</v>
      </c>
      <c r="EK111" s="17">
        <f>EJ111*VLOOKUP('Données projet'!$B$15,Paramètres!$A$1:$I$89,3,0)*VLOOKUP('Données projet'!$B$15,Paramètres!$A$1:$I$89,5,0)</f>
        <v>201.80159999999998</v>
      </c>
      <c r="EL111" s="13">
        <f t="shared" si="99"/>
        <v>50.139897992681668</v>
      </c>
      <c r="EM111" s="20">
        <f t="shared" si="73"/>
        <v>438.7981090039205</v>
      </c>
      <c r="EN111" s="59">
        <f t="shared" si="74"/>
        <v>732.13144233725382</v>
      </c>
      <c r="EO111" s="59">
        <f ca="1">AVERAGE(OFFSET($EN$3,0,0,'Données projet'!$E$15+1,1))-AVERAGE(OFFSET($H$3,0,0,'Données projet'!$E$15+1,1))</f>
        <v>123.60520571614535</v>
      </c>
      <c r="EP111" s="59">
        <f t="shared" si="100"/>
        <v>119.00926870519527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0.18505625460903083</v>
      </c>
      <c r="EW111" s="21">
        <f>EXP(-LN(2)/25)*EW110+(1-EXP(-LN(2)/25))/(LN(2)/25)*Calculateur!ER111*Calculateur!ET111*VLOOKUP('Données projet'!$B$15,Paramètres!$A$1:$I$89,3,0)*0.475*44/12</f>
        <v>0.54943923858002397</v>
      </c>
      <c r="EX111" s="21">
        <f>EXP(-LN(2)/2)*EX110+(1-EXP(-LN(2)/2))/(LN(2)/2)*ER111*EU111*VLOOKUP('Données projet'!$B$15,Paramètres!$A$1:$I$89,3,0)*0.475*44/12</f>
        <v>1.1120774599626285E-11</v>
      </c>
      <c r="EY111" s="22">
        <f t="shared" si="75"/>
        <v>0.7344954932001756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-8.5265128291212022E-14</v>
      </c>
      <c r="FF111" s="17">
        <f>FE111*VLOOKUP('Données projet'!$B$16,Paramètres!$A$1:$I$89,3,0)*VLOOKUP('Données projet'!$B$16,Paramètres!$A$1:$I$89,5,0)</f>
        <v>-6.2516392063116648E-14</v>
      </c>
      <c r="FG111" s="13" t="e">
        <f t="shared" si="101"/>
        <v>#NUM!</v>
      </c>
      <c r="FH111" s="20" t="e">
        <f t="shared" si="76"/>
        <v>#NUM!</v>
      </c>
      <c r="FI111" s="59" t="e">
        <f t="shared" si="77"/>
        <v>#NUM!</v>
      </c>
      <c r="FJ111" s="59">
        <f ca="1">AVERAGE(OFFSET($FI$3,0,0,'Données projet'!$E$16+1,1))-AVERAGE(OFFSET($H$3,0,0,'Données projet'!$E$16+1,1))</f>
        <v>124.15919323713428</v>
      </c>
      <c r="FK111" s="59">
        <f t="shared" si="102"/>
        <v>157.85954678210715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0</v>
      </c>
      <c r="FR111" s="21">
        <f>EXP(-LN(2)/25)*FR110+(1-EXP(-LN(2)/25))/(LN(2)/25)*Calculateur!FM111*Calculateur!FO111*VLOOKUP('Données projet'!$B$16,Paramètres!$A$1:$I$89,3,0)*0.475*44/12</f>
        <v>0.57815239171203658</v>
      </c>
      <c r="FS111" s="21">
        <f>EXP(-LN(2)/2)*FS110+(1-EXP(-LN(2)/2))/(LN(2)/2)*FM111*FP111*VLOOKUP('Données projet'!$B$16,Paramètres!$A$1:$I$89,3,0)*0.475*44/12</f>
        <v>1.3419291912292914E-11</v>
      </c>
      <c r="FT111" s="22">
        <f t="shared" si="78"/>
        <v>0.57815239172545585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4.4000000000000004</v>
      </c>
      <c r="N112" s="13">
        <f>IF('Données projet'!$A$36&gt;35,N111+M112-V111,IF(A112&lt;'Données projet'!$A$36,$K$205^A112,IF(A112='Données projet'!$A$36,'Données projet'!$B$36,N111+M112-V111)))</f>
        <v>300.60000000000002</v>
      </c>
      <c r="O112" s="13">
        <f>N112*VLOOKUP('Données projet'!$B$9,Paramètres!$A$1:$I$89,3,0)*VLOOKUP('Données projet'!$B$9,Paramètres!$A$1:$I$89,5,0)</f>
        <v>271.98288000000002</v>
      </c>
      <c r="P112" s="13">
        <f t="shared" si="87"/>
        <v>65.269907092018755</v>
      </c>
      <c r="Q112" s="20">
        <f t="shared" si="107"/>
        <v>587.38193751859933</v>
      </c>
      <c r="R112" s="59">
        <f t="shared" si="55"/>
        <v>880.7152708519327</v>
      </c>
      <c r="S112" s="59">
        <f ca="1">AVERAGE(OFFSET($R$3,0,0,'Données projet'!$E$9+1,1))-AVERAGE(OFFSET($H$3,0,0,'Données projet'!$E$9+1,1))</f>
        <v>237.22177246688199</v>
      </c>
      <c r="T112" s="59">
        <f t="shared" si="88"/>
        <v>149.27472147904302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</v>
      </c>
      <c r="AA112" s="21">
        <f>EXP(-LN(2)/25)*AA111+(1-EXP(-LN(2)/25))/(LN(2)/25)*Calculateur!V112*Calculateur!X112*VLOOKUP('Données projet'!$B$9,Paramètres!$A$1:$I$89,3,0)*0.475*44/12</f>
        <v>0.3474865666413352</v>
      </c>
      <c r="AB112" s="21">
        <f>EXP(-LN(2)/2)*AB111+(1-EXP(-LN(2)/2))/(LN(2)/2)*V112*Y112*VLOOKUP('Données projet'!$B$9,Paramètres!$A$1:$I$89,3,0)*0.475*44/12</f>
        <v>7.9608614014227883E-12</v>
      </c>
      <c r="AC112" s="22">
        <f t="shared" si="57"/>
        <v>0.34748656664929606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-8.5265128291212022E-14</v>
      </c>
      <c r="AJ112" s="13">
        <f>AI112*VLOOKUP('Données projet'!$B$10,Paramètres!$A$1:$I$89,3,0)*VLOOKUP('Données projet'!$B$10,Paramètres!$A$1:$I$89,5,0)</f>
        <v>-7.4487616075202836E-14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191.94797389630673</v>
      </c>
      <c r="AO112" s="59">
        <f t="shared" si="90"/>
        <v>273.52540822767878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0.53858242364013786</v>
      </c>
      <c r="AV112" s="21">
        <f>EXP(-LN(2)/25)*AV111+(1-EXP(-LN(2)/25))/(LN(2)/25)*Calculateur!AQ112*Calculateur!AS112*VLOOKUP('Données projet'!$B$10,Paramètres!$A$1:$I$89,3,0)*0.475*44/12</f>
        <v>1.5716809235595579</v>
      </c>
      <c r="AW112" s="21">
        <f>EXP(-LN(2)/2)*AW111+(1-EXP(-LN(2)/2))/(LN(2)/2)*AQ112*AT112*VLOOKUP('Données projet'!$B$10,Paramètres!$A$1:$I$89,3,0)*0.475*44/12</f>
        <v>2.9844237605714345E-11</v>
      </c>
      <c r="AX112" s="21">
        <f t="shared" si="60"/>
        <v>2.11026334722954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72.647148358003676</v>
      </c>
      <c r="BJ112" s="59">
        <f t="shared" si="92"/>
        <v>87.231299224620898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0.26618495773307294</v>
      </c>
      <c r="BQ112" s="21">
        <f>EXP(-LN(2)/25)*BQ111+(1-EXP(-LN(2)/25))/(LN(2)/25)*Calculateur!BL112*Calculateur!BN112*VLOOKUP('Données projet'!$B$11,Paramètres!$A$1:$I$89,3,0)*0.475*44/12</f>
        <v>0.50693413912170515</v>
      </c>
      <c r="BR112" s="21">
        <f>EXP(-LN(2)/2)*BR111+(1-EXP(-LN(2)/2))/(LN(2)/2)*BL112*BO112*VLOOKUP('Données projet'!$B$11,Paramètres!$A$1:$I$89,3,0)*0.475*44/12</f>
        <v>2.9337336145492959E-12</v>
      </c>
      <c r="BS112" s="22">
        <f t="shared" si="63"/>
        <v>0.77311909685771185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5.6843418860808015E-14</v>
      </c>
      <c r="BZ112" s="13">
        <f>BY112*VLOOKUP('Données projet'!$B$12,Paramètres!$A$1:$I$89,3,0)*VLOOKUP('Données projet'!$B$12,Paramètres!$A$1:$I$89,5,0)</f>
        <v>3.3992364478763198E-14</v>
      </c>
      <c r="CA112" s="13">
        <f t="shared" si="93"/>
        <v>5.790027782444094E-13</v>
      </c>
      <c r="CB112" s="20">
        <f t="shared" si="64"/>
        <v>1.0676332069095257E-12</v>
      </c>
      <c r="CC112" s="59">
        <f t="shared" si="65"/>
        <v>293.33333333333439</v>
      </c>
      <c r="CD112" s="59">
        <f ca="1">AVERAGE(OFFSET($CC$3,0,0,'Données projet'!$E$12+1,1))-AVERAGE(OFFSET($H$3,0,0,'Données projet'!$E$12+1,1))</f>
        <v>165.39579887388538</v>
      </c>
      <c r="CE112" s="59">
        <f t="shared" si="94"/>
        <v>155.89639262545802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</v>
      </c>
      <c r="CL112" s="21">
        <f>EXP(-LN(2)/25)*CL111+(1-EXP(-LN(2)/25))/(LN(2)/25)*Calculateur!CG112*Calculateur!CI112*VLOOKUP('Données projet'!$B$12,Paramètres!$A$1:$I$89,3,0)*0.475*44/12</f>
        <v>0.81550714572491401</v>
      </c>
      <c r="CM112" s="21">
        <f>EXP(-LN(2)/2)*CM111+(1-EXP(-LN(2)/2))/(LN(2)/2)*CG112*CJ112*VLOOKUP('Données projet'!$B$12,Paramètres!$A$1:$I$89,3,0)*0.475*44/12</f>
        <v>1.7852775984641358E-11</v>
      </c>
      <c r="CN112" s="22">
        <f t="shared" si="66"/>
        <v>0.81550714574276684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3.4106051316484809E-13</v>
      </c>
      <c r="CU112" s="17">
        <f>CT112*VLOOKUP('Données projet'!$B$13,Paramètres!$A$1:$I$89,3,0)*VLOOKUP('Données projet'!$B$13,Paramètres!$A$1:$I$89,5,0)</f>
        <v>2.6602720026858149E-13</v>
      </c>
      <c r="CV112" s="13">
        <f t="shared" si="95"/>
        <v>3.5662905043956649E-12</v>
      </c>
      <c r="CW112" s="20">
        <f t="shared" si="67"/>
        <v>6.6746200022902298E-12</v>
      </c>
      <c r="CX112" s="59">
        <f t="shared" si="68"/>
        <v>293.33333333333997</v>
      </c>
      <c r="CY112" s="59">
        <f ca="1">AVERAGE(OFFSET($CX$3,0,0,'Données projet'!$E$13+1,1))-AVERAGE(OFFSET($H$3,0,0,'Données projet'!$E$13+1,1))</f>
        <v>190.06335940156185</v>
      </c>
      <c r="CZ112" s="59">
        <f t="shared" si="96"/>
        <v>166.43663896839928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0</v>
      </c>
      <c r="DG112" s="21">
        <f>EXP(-LN(2)/25)*DG111+(1-EXP(-LN(2)/25))/(LN(2)/25)*Calculateur!DB112*Calculateur!DD112*VLOOKUP('Données projet'!$B$13,Paramètres!$A$1:$I$89,3,0)*0.475*44/12</f>
        <v>0.49969700168135145</v>
      </c>
      <c r="DH112" s="21">
        <f>EXP(-LN(2)/2)*DH111+(1-EXP(-LN(2)/2))/(LN(2)/2)*DB112*DE112*VLOOKUP('Données projet'!$B$13,Paramètres!$A$1:$I$89,3,0)*0.475*44/12</f>
        <v>6.8509193579480975E-12</v>
      </c>
      <c r="DI112" s="22">
        <f t="shared" si="69"/>
        <v>0.49969700168820236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4.4000000000000004</v>
      </c>
      <c r="DO112" s="12">
        <f>IF('Données projet'!$A$166&gt;35,DO111+DN112-DW111,IF(A112&lt;'Données projet'!$A$166,$DL$205^A112,IF(A112='Données projet'!$A$166,'Données projet'!$B$166,DO111+DN112-DW111)))</f>
        <v>300.60000000000002</v>
      </c>
      <c r="DP112" s="17">
        <f>DO112*VLOOKUP('Données projet'!$B$14,Paramètres!$A$1:$I$89,3,0)*VLOOKUP('Données projet'!$B$14,Paramètres!$A$1:$I$89,5,0)</f>
        <v>290.74032000000005</v>
      </c>
      <c r="DQ112" s="13">
        <f t="shared" si="97"/>
        <v>69.231751058085564</v>
      </c>
      <c r="DR112" s="20">
        <f t="shared" si="70"/>
        <v>626.95135709283238</v>
      </c>
      <c r="DS112" s="59">
        <f t="shared" si="71"/>
        <v>920.28469042616575</v>
      </c>
      <c r="DT112" s="59">
        <f ca="1">AVERAGE(OFFSET($DS$3,0,0,'Données projet'!$E$14+1,1))-AVERAGE(OFFSET($H$3,0,0,'Données projet'!$E$14+1,1))</f>
        <v>261.22357949323879</v>
      </c>
      <c r="DU112" s="59">
        <f t="shared" si="98"/>
        <v>163.41029152029387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0</v>
      </c>
      <c r="EB112" s="21">
        <f>EXP(-LN(2)/25)*EB111+(1-EXP(-LN(2)/25))/(LN(2)/25)*Calculateur!DW112*Calculateur!DY112*VLOOKUP('Données projet'!$B$14,Paramètres!$A$1:$I$89,3,0)*0.475*44/12</f>
        <v>0.37145115744418572</v>
      </c>
      <c r="EC112" s="21">
        <f>EXP(-LN(2)/2)*EC111+(1-EXP(-LN(2)/2))/(LN(2)/2)*DW112*DZ112*VLOOKUP('Données projet'!$B$14,Paramètres!$A$1:$I$89,3,0)*0.475*44/12</f>
        <v>8.509886325658841E-12</v>
      </c>
      <c r="ED112" s="22">
        <f t="shared" si="72"/>
        <v>0.37145115745269558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8.6999999999999993</v>
      </c>
      <c r="EJ112" s="12">
        <f>IF('Données projet'!$A$192&gt;35,EJ111+EI112-ER111,IF(A112&lt;'Données projet'!$A$192,$EG$205^A112,IF(A112='Données projet'!$A$192,'Données projet'!$B$192,EJ111+EI112-ER111)))</f>
        <v>439.89999999999992</v>
      </c>
      <c r="EK112" s="17">
        <f>EJ112*VLOOKUP('Données projet'!$B$15,Paramètres!$A$1:$I$89,3,0)*VLOOKUP('Données projet'!$B$15,Paramètres!$A$1:$I$89,5,0)</f>
        <v>205.87319999999997</v>
      </c>
      <c r="EL112" s="13">
        <f t="shared" si="99"/>
        <v>51.03273703593927</v>
      </c>
      <c r="EM112" s="20">
        <f t="shared" si="73"/>
        <v>447.44450700426086</v>
      </c>
      <c r="EN112" s="59">
        <f t="shared" si="74"/>
        <v>740.77784033759417</v>
      </c>
      <c r="EO112" s="59">
        <f ca="1">AVERAGE(OFFSET($EN$3,0,0,'Données projet'!$E$15+1,1))-AVERAGE(OFFSET($H$3,0,0,'Données projet'!$E$15+1,1))</f>
        <v>123.60520571614535</v>
      </c>
      <c r="EP112" s="59">
        <f t="shared" si="100"/>
        <v>119.00926870519527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0.18142741432931775</v>
      </c>
      <c r="EW112" s="21">
        <f>EXP(-LN(2)/25)*EW111+(1-EXP(-LN(2)/25))/(LN(2)/25)*Calculateur!ER112*Calculateur!ET112*VLOOKUP('Données projet'!$B$15,Paramètres!$A$1:$I$89,3,0)*0.475*44/12</f>
        <v>0.53441479370729938</v>
      </c>
      <c r="EX112" s="21">
        <f>EXP(-LN(2)/2)*EX111+(1-EXP(-LN(2)/2))/(LN(2)/2)*ER112*EU112*VLOOKUP('Données projet'!$B$15,Paramètres!$A$1:$I$89,3,0)*0.475*44/12</f>
        <v>7.8635751314428588E-12</v>
      </c>
      <c r="EY112" s="22">
        <f t="shared" si="75"/>
        <v>0.71584220804448073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-8.5265128291212022E-14</v>
      </c>
      <c r="FF112" s="17">
        <f>FE112*VLOOKUP('Données projet'!$B$16,Paramètres!$A$1:$I$89,3,0)*VLOOKUP('Données projet'!$B$16,Paramètres!$A$1:$I$89,5,0)</f>
        <v>-6.2516392063116648E-14</v>
      </c>
      <c r="FG112" s="13" t="e">
        <f t="shared" si="101"/>
        <v>#NUM!</v>
      </c>
      <c r="FH112" s="20" t="e">
        <f t="shared" si="76"/>
        <v>#NUM!</v>
      </c>
      <c r="FI112" s="59" t="e">
        <f t="shared" si="77"/>
        <v>#NUM!</v>
      </c>
      <c r="FJ112" s="59">
        <f ca="1">AVERAGE(OFFSET($FI$3,0,0,'Données projet'!$E$16+1,1))-AVERAGE(OFFSET($H$3,0,0,'Données projet'!$E$16+1,1))</f>
        <v>124.15919323713428</v>
      </c>
      <c r="FK112" s="59">
        <f t="shared" si="102"/>
        <v>157.85954678210715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0</v>
      </c>
      <c r="FR112" s="21">
        <f>EXP(-LN(2)/25)*FR111+(1-EXP(-LN(2)/25))/(LN(2)/25)*Calculateur!FM112*Calculateur!FO112*VLOOKUP('Données projet'!$B$16,Paramètres!$A$1:$I$89,3,0)*0.475*44/12</f>
        <v>0.56234278415695804</v>
      </c>
      <c r="FS112" s="21">
        <f>EXP(-LN(2)/2)*FS111+(1-EXP(-LN(2)/2))/(LN(2)/2)*FM112*FP112*VLOOKUP('Données projet'!$B$16,Paramètres!$A$1:$I$89,3,0)*0.475*44/12</f>
        <v>9.4888723099041124E-12</v>
      </c>
      <c r="FT112" s="22">
        <f t="shared" si="78"/>
        <v>0.5623427841664469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305</v>
      </c>
      <c r="L113" s="12">
        <f>VLOOKUP(A113,'Données projet'!$A$35:$I$55,9,0)</f>
        <v>4.4000000000000004</v>
      </c>
      <c r="M113" s="12">
        <f t="array" ref="M113">INDEX(L:L,MIN(IF(ISNUMBER(L113:L309),ROW(L113:L309),"")))</f>
        <v>4.4000000000000004</v>
      </c>
      <c r="N113" s="13">
        <f>IF('Données projet'!$A$36&gt;35,N112+M113-V112,IF(A113&lt;'Données projet'!$A$36,$K$205^A113,IF(A113='Données projet'!$A$36,'Données projet'!$B$36,N112+M113-V112)))</f>
        <v>305</v>
      </c>
      <c r="O113" s="13">
        <f>N113*VLOOKUP('Données projet'!$B$9,Paramètres!$A$1:$I$89,3,0)*VLOOKUP('Données projet'!$B$9,Paramètres!$A$1:$I$89,5,0)</f>
        <v>275.964</v>
      </c>
      <c r="P113" s="13">
        <f t="shared" si="87"/>
        <v>66.113366665488911</v>
      </c>
      <c r="Q113" s="20">
        <f t="shared" si="107"/>
        <v>595.7847469423931</v>
      </c>
      <c r="R113" s="59">
        <f t="shared" si="55"/>
        <v>889.11808027572647</v>
      </c>
      <c r="S113" s="59">
        <f ca="1">AVERAGE(OFFSET($R$3,0,0,'Données projet'!$E$9+1,1))-AVERAGE(OFFSET($H$3,0,0,'Données projet'!$E$9+1,1))</f>
        <v>237.22177246688199</v>
      </c>
      <c r="T113" s="59">
        <f t="shared" si="88"/>
        <v>149.27472147904302</v>
      </c>
      <c r="U113" s="15">
        <f>IF(ISNA(VLOOKUP(A113,'Données projet'!$A$35:$I$55,3,0)),0,VLOOKUP(A113,'Données projet'!$A$35:$I$55,3,0))</f>
        <v>9</v>
      </c>
      <c r="V113" s="15">
        <f>IF(ISNA(VLOOKUP(A113,'Données projet'!$A$35:$I$55,4,0)),0,VLOOKUP(A113,'Données projet'!$A$35:$I$55,4,0))</f>
        <v>39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</v>
      </c>
      <c r="AA113" s="21">
        <f>EXP(-LN(2)/25)*AA112+(1-EXP(-LN(2)/25))/(LN(2)/25)*Calculateur!V113*Calculateur!X113*VLOOKUP('Données projet'!$B$9,Paramètres!$A$1:$I$89,3,0)*0.475*44/12</f>
        <v>0.33798452820300356</v>
      </c>
      <c r="AB113" s="21">
        <f>EXP(-LN(2)/2)*AB112+(1-EXP(-LN(2)/2))/(LN(2)/2)*V113*Y113*VLOOKUP('Données projet'!$B$9,Paramètres!$A$1:$I$89,3,0)*0.475*44/12</f>
        <v>5.6291790810322957E-12</v>
      </c>
      <c r="AC113" s="22">
        <f t="shared" si="57"/>
        <v>0.33798452820863273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-8.5265128291212022E-14</v>
      </c>
      <c r="AJ113" s="13">
        <f>AI113*VLOOKUP('Données projet'!$B$10,Paramètres!$A$1:$I$89,3,0)*VLOOKUP('Données projet'!$B$10,Paramètres!$A$1:$I$89,5,0)</f>
        <v>-7.4487616075202836E-14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191.94797389630673</v>
      </c>
      <c r="AO113" s="59">
        <f t="shared" si="90"/>
        <v>273.52540822767878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0.52802115081539625</v>
      </c>
      <c r="AV113" s="21">
        <f>EXP(-LN(2)/25)*AV112+(1-EXP(-LN(2)/25))/(LN(2)/25)*Calculateur!AQ113*Calculateur!AS113*VLOOKUP('Données projet'!$B$10,Paramètres!$A$1:$I$89,3,0)*0.475*44/12</f>
        <v>1.5287032260537141</v>
      </c>
      <c r="AW113" s="21">
        <f>EXP(-LN(2)/2)*AW112+(1-EXP(-LN(2)/2))/(LN(2)/2)*AQ113*AT113*VLOOKUP('Données projet'!$B$10,Paramètres!$A$1:$I$89,3,0)*0.475*44/12</f>
        <v>2.1103062790343187E-11</v>
      </c>
      <c r="AX113" s="21">
        <f t="shared" si="60"/>
        <v>2.0567243768902133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72.647148358003676</v>
      </c>
      <c r="BJ113" s="59">
        <f t="shared" si="92"/>
        <v>87.231299224620898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0.26096523306872021</v>
      </c>
      <c r="BQ113" s="21">
        <f>EXP(-LN(2)/25)*BQ112+(1-EXP(-LN(2)/25))/(LN(2)/25)*Calculateur!BL113*Calculateur!BN113*VLOOKUP('Données projet'!$B$11,Paramètres!$A$1:$I$89,3,0)*0.475*44/12</f>
        <v>0.49307199842891436</v>
      </c>
      <c r="BR113" s="21">
        <f>EXP(-LN(2)/2)*BR112+(1-EXP(-LN(2)/2))/(LN(2)/2)*BL113*BO113*VLOOKUP('Données projet'!$B$11,Paramètres!$A$1:$I$89,3,0)*0.475*44/12</f>
        <v>2.0744629330427281E-12</v>
      </c>
      <c r="BS113" s="22">
        <f t="shared" si="63"/>
        <v>0.75403723149970903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5.6843418860808015E-14</v>
      </c>
      <c r="BZ113" s="13">
        <f>BY113*VLOOKUP('Données projet'!$B$12,Paramètres!$A$1:$I$89,3,0)*VLOOKUP('Données projet'!$B$12,Paramètres!$A$1:$I$89,5,0)</f>
        <v>3.3992364478763198E-14</v>
      </c>
      <c r="CA113" s="13">
        <f t="shared" si="93"/>
        <v>5.790027782444094E-13</v>
      </c>
      <c r="CB113" s="20">
        <f t="shared" si="64"/>
        <v>1.0676332069095257E-12</v>
      </c>
      <c r="CC113" s="59">
        <f t="shared" si="65"/>
        <v>293.33333333333439</v>
      </c>
      <c r="CD113" s="59">
        <f ca="1">AVERAGE(OFFSET($CC$3,0,0,'Données projet'!$E$12+1,1))-AVERAGE(OFFSET($H$3,0,0,'Données projet'!$E$12+1,1))</f>
        <v>165.39579887388538</v>
      </c>
      <c r="CE113" s="59">
        <f t="shared" si="94"/>
        <v>155.89639262545802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</v>
      </c>
      <c r="CL113" s="21">
        <f>EXP(-LN(2)/25)*CL112+(1-EXP(-LN(2)/25))/(LN(2)/25)*Calculateur!CG113*Calculateur!CI113*VLOOKUP('Données projet'!$B$12,Paramètres!$A$1:$I$89,3,0)*0.475*44/12</f>
        <v>0.79320705993940932</v>
      </c>
      <c r="CM113" s="21">
        <f>EXP(-LN(2)/2)*CM112+(1-EXP(-LN(2)/2))/(LN(2)/2)*CG113*CJ113*VLOOKUP('Données projet'!$B$12,Paramètres!$A$1:$I$89,3,0)*0.475*44/12</f>
        <v>1.2623818961744247E-11</v>
      </c>
      <c r="CN113" s="22">
        <f t="shared" si="66"/>
        <v>0.79320705995203311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3.4106051316484809E-13</v>
      </c>
      <c r="CU113" s="17">
        <f>CT113*VLOOKUP('Données projet'!$B$13,Paramètres!$A$1:$I$89,3,0)*VLOOKUP('Données projet'!$B$13,Paramètres!$A$1:$I$89,5,0)</f>
        <v>2.6602720026858149E-13</v>
      </c>
      <c r="CV113" s="13">
        <f t="shared" si="95"/>
        <v>3.5662905043956649E-12</v>
      </c>
      <c r="CW113" s="20">
        <f t="shared" si="67"/>
        <v>6.6746200022902298E-12</v>
      </c>
      <c r="CX113" s="59">
        <f t="shared" si="68"/>
        <v>293.33333333333997</v>
      </c>
      <c r="CY113" s="59">
        <f ca="1">AVERAGE(OFFSET($CX$3,0,0,'Données projet'!$E$13+1,1))-AVERAGE(OFFSET($H$3,0,0,'Données projet'!$E$13+1,1))</f>
        <v>190.06335940156185</v>
      </c>
      <c r="CZ113" s="59">
        <f t="shared" si="96"/>
        <v>166.43663896839928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0</v>
      </c>
      <c r="DG113" s="21">
        <f>EXP(-LN(2)/25)*DG112+(1-EXP(-LN(2)/25))/(LN(2)/25)*Calculateur!DB113*Calculateur!DD113*VLOOKUP('Données projet'!$B$13,Paramètres!$A$1:$I$89,3,0)*0.475*44/12</f>
        <v>0.48603276089245162</v>
      </c>
      <c r="DH113" s="21">
        <f>EXP(-LN(2)/2)*DH112+(1-EXP(-LN(2)/2))/(LN(2)/2)*DB113*DE113*VLOOKUP('Données projet'!$B$13,Paramètres!$A$1:$I$89,3,0)*0.475*44/12</f>
        <v>4.844331535367288E-12</v>
      </c>
      <c r="DI113" s="22">
        <f t="shared" si="69"/>
        <v>0.48603276089729597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>
        <f>VLOOKUP(A113,'Données projet'!$A$165:$I$185,2,0)</f>
        <v>305</v>
      </c>
      <c r="DM113" s="12">
        <f>VLOOKUP(A113,'Données projet'!$A$165:$I$185,9,0)</f>
        <v>4.4000000000000004</v>
      </c>
      <c r="DN113" s="12">
        <f t="array" ref="DN113">INDEX(DM:DM,MIN(IF(ISNUMBER(DM113:DM309),ROW(DM113:DM309),"")))</f>
        <v>4.4000000000000004</v>
      </c>
      <c r="DO113" s="12">
        <f>IF('Données projet'!$A$166&gt;35,DO112+DN113-DW112,IF(A113&lt;'Données projet'!$A$166,$DL$205^A113,IF(A113='Données projet'!$A$166,'Données projet'!$B$166,DO112+DN113-DW112)))</f>
        <v>305</v>
      </c>
      <c r="DP113" s="17">
        <f>DO113*VLOOKUP('Données projet'!$B$14,Paramètres!$A$1:$I$89,3,0)*VLOOKUP('Données projet'!$B$14,Paramètres!$A$1:$I$89,5,0)</f>
        <v>294.99599999999998</v>
      </c>
      <c r="DQ113" s="13">
        <f t="shared" si="97"/>
        <v>70.126408118585388</v>
      </c>
      <c r="DR113" s="20">
        <f t="shared" si="70"/>
        <v>635.9215274732029</v>
      </c>
      <c r="DS113" s="59">
        <f t="shared" si="71"/>
        <v>929.25486080653627</v>
      </c>
      <c r="DT113" s="59">
        <f ca="1">AVERAGE(OFFSET($DS$3,0,0,'Données projet'!$E$14+1,1))-AVERAGE(OFFSET($H$3,0,0,'Données projet'!$E$14+1,1))</f>
        <v>261.22357949323879</v>
      </c>
      <c r="DU113" s="59">
        <f t="shared" si="98"/>
        <v>163.41029152029387</v>
      </c>
      <c r="DV113" s="15">
        <f>IF(ISNA(VLOOKUP(A113,'Données projet'!$A$165:$I$185,3,0)),0,VLOOKUP(A113,'Données projet'!$A$165:$I$185,3,0))</f>
        <v>9</v>
      </c>
      <c r="DW113" s="15">
        <f>IF(ISNA(VLOOKUP(A113,'Données projet'!$A$165:$I$185,4,0)),0,VLOOKUP(A113,'Données projet'!$A$165:$I$185,4,0))</f>
        <v>39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0</v>
      </c>
      <c r="EB113" s="21">
        <f>EXP(-LN(2)/25)*EB112+(1-EXP(-LN(2)/25))/(LN(2)/25)*Calculateur!DW113*Calculateur!DY113*VLOOKUP('Données projet'!$B$14,Paramètres!$A$1:$I$89,3,0)*0.475*44/12</f>
        <v>0.36129380601010708</v>
      </c>
      <c r="EC113" s="21">
        <f>EXP(-LN(2)/2)*EC112+(1-EXP(-LN(2)/2))/(LN(2)/2)*DW113*DZ113*VLOOKUP('Données projet'!$B$14,Paramètres!$A$1:$I$89,3,0)*0.475*44/12</f>
        <v>6.0173983280000391E-12</v>
      </c>
      <c r="ED113" s="22">
        <f t="shared" si="72"/>
        <v>0.36129380601612449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>
        <f>VLOOKUP(A113,'Données projet'!$A$191:$I$211,2,0)</f>
        <v>448.59999999999997</v>
      </c>
      <c r="EH113" s="12">
        <f>VLOOKUP(A113,'Données projet'!$A$191:$I$211,9,0)</f>
        <v>8.6999999999999993</v>
      </c>
      <c r="EI113" s="12">
        <f t="array" ref="EI113">INDEX(EH:EH,MIN(IF(ISNUMBER(EH113:EH309),ROW(EH113:EH309),"")))</f>
        <v>8.6999999999999993</v>
      </c>
      <c r="EJ113" s="12">
        <f>IF('Données projet'!$A$192&gt;35,EJ112+EI113-ER112,IF(A113&lt;'Données projet'!$A$192,$EG$205^A113,IF(A113='Données projet'!$A$192,'Données projet'!$B$192,EJ112+EI113-ER112)))</f>
        <v>448.59999999999991</v>
      </c>
      <c r="EK113" s="17">
        <f>EJ113*VLOOKUP('Données projet'!$B$15,Paramètres!$A$1:$I$89,3,0)*VLOOKUP('Données projet'!$B$15,Paramètres!$A$1:$I$89,5,0)</f>
        <v>209.94479999999996</v>
      </c>
      <c r="EL113" s="13">
        <f t="shared" si="99"/>
        <v>51.923522924934218</v>
      </c>
      <c r="EM113" s="20">
        <f t="shared" si="73"/>
        <v>456.08732909426044</v>
      </c>
      <c r="EN113" s="59">
        <f t="shared" si="74"/>
        <v>749.4206624275937</v>
      </c>
      <c r="EO113" s="59">
        <f ca="1">AVERAGE(OFFSET($EN$3,0,0,'Données projet'!$E$15+1,1))-AVERAGE(OFFSET($H$3,0,0,'Données projet'!$E$15+1,1))</f>
        <v>123.60520571614535</v>
      </c>
      <c r="EP113" s="59">
        <f t="shared" si="100"/>
        <v>119.00926870519527</v>
      </c>
      <c r="EQ113" s="15">
        <f>IF(ISNA(VLOOKUP(A113,'Données projet'!$A$191:$I$211,3,0)),0,VLOOKUP(A113,'Données projet'!$A$191:$I$211,3,0))</f>
        <v>10</v>
      </c>
      <c r="ER113" s="15">
        <f>IF(ISNA(VLOOKUP(A113,'Données projet'!$A$191:$I$211,4,0)),0,VLOOKUP(A113,'Données projet'!$A$191:$I$211,4,0))</f>
        <v>448.6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0.17786973339411583</v>
      </c>
      <c r="EW113" s="21">
        <f>EXP(-LN(2)/25)*EW112+(1-EXP(-LN(2)/25))/(LN(2)/25)*Calculateur!ER113*Calculateur!ET113*VLOOKUP('Données projet'!$B$15,Paramètres!$A$1:$I$89,3,0)*0.475*44/12</f>
        <v>0.51980119306972072</v>
      </c>
      <c r="EX113" s="21">
        <f>EXP(-LN(2)/2)*EX112+(1-EXP(-LN(2)/2))/(LN(2)/2)*ER113*EU113*VLOOKUP('Données projet'!$B$15,Paramètres!$A$1:$I$89,3,0)*0.475*44/12</f>
        <v>5.5603872998131424E-12</v>
      </c>
      <c r="EY113" s="22">
        <f t="shared" si="75"/>
        <v>0.69767092646939699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-8.5265128291212022E-14</v>
      </c>
      <c r="FF113" s="17">
        <f>FE113*VLOOKUP('Données projet'!$B$16,Paramètres!$A$1:$I$89,3,0)*VLOOKUP('Données projet'!$B$16,Paramètres!$A$1:$I$89,5,0)</f>
        <v>-6.2516392063116648E-14</v>
      </c>
      <c r="FG113" s="13" t="e">
        <f t="shared" si="101"/>
        <v>#NUM!</v>
      </c>
      <c r="FH113" s="20" t="e">
        <f t="shared" si="76"/>
        <v>#NUM!</v>
      </c>
      <c r="FI113" s="59" t="e">
        <f t="shared" si="77"/>
        <v>#NUM!</v>
      </c>
      <c r="FJ113" s="59">
        <f ca="1">AVERAGE(OFFSET($FI$3,0,0,'Données projet'!$E$16+1,1))-AVERAGE(OFFSET($H$3,0,0,'Données projet'!$E$16+1,1))</f>
        <v>124.15919323713428</v>
      </c>
      <c r="FK113" s="59">
        <f t="shared" si="102"/>
        <v>157.85954678210715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0</v>
      </c>
      <c r="FR113" s="21">
        <f>EXP(-LN(2)/25)*FR112+(1-EXP(-LN(2)/25))/(LN(2)/25)*Calculateur!FM113*Calculateur!FO113*VLOOKUP('Données projet'!$B$16,Paramètres!$A$1:$I$89,3,0)*0.475*44/12</f>
        <v>0.54696549115186421</v>
      </c>
      <c r="FS113" s="21">
        <f>EXP(-LN(2)/2)*FS112+(1-EXP(-LN(2)/2))/(LN(2)/2)*FM113*FP113*VLOOKUP('Données projet'!$B$16,Paramètres!$A$1:$I$89,3,0)*0.475*44/12</f>
        <v>6.7096459561464571E-12</v>
      </c>
      <c r="FT113" s="22">
        <f t="shared" si="78"/>
        <v>0.54696549115857385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3.7</v>
      </c>
      <c r="N114" s="13">
        <f>IF('Données projet'!$A$36&gt;35,N113+M114-V113,IF(A114&lt;'Données projet'!$A$36,$K$205^A114,IF(A114='Données projet'!$A$36,'Données projet'!$B$36,N113+M114-V113)))</f>
        <v>269.7</v>
      </c>
      <c r="O114" s="13">
        <f>N114*VLOOKUP('Données projet'!$B$9,Paramètres!$A$1:$I$89,3,0)*VLOOKUP('Données projet'!$B$9,Paramètres!$A$1:$I$89,5,0)</f>
        <v>244.02455999999998</v>
      </c>
      <c r="P114" s="13">
        <f t="shared" si="87"/>
        <v>59.304594314969279</v>
      </c>
      <c r="Q114" s="20">
        <f t="shared" si="107"/>
        <v>528.29827709857148</v>
      </c>
      <c r="R114" s="59">
        <f t="shared" si="55"/>
        <v>821.63161043190485</v>
      </c>
      <c r="S114" s="59">
        <f ca="1">AVERAGE(OFFSET($R$3,0,0,'Données projet'!$E$9+1,1))-AVERAGE(OFFSET($H$3,0,0,'Données projet'!$E$9+1,1))</f>
        <v>237.22177246688199</v>
      </c>
      <c r="T114" s="59">
        <f t="shared" si="88"/>
        <v>149.27472147904302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</v>
      </c>
      <c r="AA114" s="21">
        <f>EXP(-LN(2)/25)*AA113+(1-EXP(-LN(2)/25))/(LN(2)/25)*Calculateur!V114*Calculateur!X114*VLOOKUP('Données projet'!$B$9,Paramètres!$A$1:$I$89,3,0)*0.475*44/12</f>
        <v>0.32874232350545857</v>
      </c>
      <c r="AB114" s="21">
        <f>EXP(-LN(2)/2)*AB113+(1-EXP(-LN(2)/2))/(LN(2)/2)*V114*Y114*VLOOKUP('Données projet'!$B$9,Paramètres!$A$1:$I$89,3,0)*0.475*44/12</f>
        <v>3.9804307007113941E-12</v>
      </c>
      <c r="AC114" s="22">
        <f t="shared" si="57"/>
        <v>0.32874232350943899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-8.5265128291212022E-14</v>
      </c>
      <c r="AJ114" s="13">
        <f>AI114*VLOOKUP('Données projet'!$B$10,Paramètres!$A$1:$I$89,3,0)*VLOOKUP('Données projet'!$B$10,Paramètres!$A$1:$I$89,5,0)</f>
        <v>-7.4487616075202836E-14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191.94797389630673</v>
      </c>
      <c r="AO114" s="59">
        <f t="shared" si="90"/>
        <v>273.52540822767878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0.51766697810900741</v>
      </c>
      <c r="AV114" s="21">
        <f>EXP(-LN(2)/25)*AV113+(1-EXP(-LN(2)/25))/(LN(2)/25)*Calculateur!AQ114*Calculateur!AS114*VLOOKUP('Données projet'!$B$10,Paramètres!$A$1:$I$89,3,0)*0.475*44/12</f>
        <v>1.4869007559462666</v>
      </c>
      <c r="AW114" s="21">
        <f>EXP(-LN(2)/2)*AW113+(1-EXP(-LN(2)/2))/(LN(2)/2)*AQ114*AT114*VLOOKUP('Données projet'!$B$10,Paramètres!$A$1:$I$89,3,0)*0.475*44/12</f>
        <v>1.4922118802857173E-11</v>
      </c>
      <c r="AX114" s="21">
        <f t="shared" si="60"/>
        <v>2.0045677340701964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72.647148358003676</v>
      </c>
      <c r="BJ114" s="59">
        <f t="shared" si="92"/>
        <v>87.231299224620898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0.25584786402131776</v>
      </c>
      <c r="BQ114" s="21">
        <f>EXP(-LN(2)/25)*BQ113+(1-EXP(-LN(2)/25))/(LN(2)/25)*Calculateur!BL114*Calculateur!BN114*VLOOKUP('Données projet'!$B$11,Paramètres!$A$1:$I$89,3,0)*0.475*44/12</f>
        <v>0.47958891870234621</v>
      </c>
      <c r="BR114" s="21">
        <f>EXP(-LN(2)/2)*BR113+(1-EXP(-LN(2)/2))/(LN(2)/2)*BL114*BO114*VLOOKUP('Données projet'!$B$11,Paramètres!$A$1:$I$89,3,0)*0.475*44/12</f>
        <v>1.4668668072746479E-12</v>
      </c>
      <c r="BS114" s="22">
        <f t="shared" si="63"/>
        <v>0.7354367827251308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5.6843418860808015E-14</v>
      </c>
      <c r="BZ114" s="13">
        <f>BY114*VLOOKUP('Données projet'!$B$12,Paramètres!$A$1:$I$89,3,0)*VLOOKUP('Données projet'!$B$12,Paramètres!$A$1:$I$89,5,0)</f>
        <v>3.3992364478763198E-14</v>
      </c>
      <c r="CA114" s="13">
        <f t="shared" si="93"/>
        <v>5.790027782444094E-13</v>
      </c>
      <c r="CB114" s="20">
        <f t="shared" si="64"/>
        <v>1.0676332069095257E-12</v>
      </c>
      <c r="CC114" s="59">
        <f t="shared" si="65"/>
        <v>293.33333333333439</v>
      </c>
      <c r="CD114" s="59">
        <f ca="1">AVERAGE(OFFSET($CC$3,0,0,'Données projet'!$E$12+1,1))-AVERAGE(OFFSET($H$3,0,0,'Données projet'!$E$12+1,1))</f>
        <v>165.39579887388538</v>
      </c>
      <c r="CE114" s="59">
        <f t="shared" si="94"/>
        <v>155.89639262545802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</v>
      </c>
      <c r="CL114" s="21">
        <f>EXP(-LN(2)/25)*CL113+(1-EXP(-LN(2)/25))/(LN(2)/25)*Calculateur!CG114*Calculateur!CI114*VLOOKUP('Données projet'!$B$12,Paramètres!$A$1:$I$89,3,0)*0.475*44/12</f>
        <v>0.77151677117241979</v>
      </c>
      <c r="CM114" s="21">
        <f>EXP(-LN(2)/2)*CM113+(1-EXP(-LN(2)/2))/(LN(2)/2)*CG114*CJ114*VLOOKUP('Données projet'!$B$12,Paramètres!$A$1:$I$89,3,0)*0.475*44/12</f>
        <v>8.9263879923206789E-12</v>
      </c>
      <c r="CN114" s="22">
        <f t="shared" si="66"/>
        <v>0.77151677118134621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3.4106051316484809E-13</v>
      </c>
      <c r="CU114" s="17">
        <f>CT114*VLOOKUP('Données projet'!$B$13,Paramètres!$A$1:$I$89,3,0)*VLOOKUP('Données projet'!$B$13,Paramètres!$A$1:$I$89,5,0)</f>
        <v>2.6602720026858149E-13</v>
      </c>
      <c r="CV114" s="13">
        <f t="shared" si="95"/>
        <v>3.5662905043956649E-12</v>
      </c>
      <c r="CW114" s="20">
        <f t="shared" si="67"/>
        <v>6.6746200022902298E-12</v>
      </c>
      <c r="CX114" s="59">
        <f t="shared" si="68"/>
        <v>293.33333333333997</v>
      </c>
      <c r="CY114" s="59">
        <f ca="1">AVERAGE(OFFSET($CX$3,0,0,'Données projet'!$E$13+1,1))-AVERAGE(OFFSET($H$3,0,0,'Données projet'!$E$13+1,1))</f>
        <v>190.06335940156185</v>
      </c>
      <c r="CZ114" s="59">
        <f t="shared" si="96"/>
        <v>166.43663896839928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0</v>
      </c>
      <c r="DG114" s="21">
        <f>EXP(-LN(2)/25)*DG113+(1-EXP(-LN(2)/25))/(LN(2)/25)*Calculateur!DB114*Calculateur!DD114*VLOOKUP('Données projet'!$B$13,Paramètres!$A$1:$I$89,3,0)*0.475*44/12</f>
        <v>0.4727421694864955</v>
      </c>
      <c r="DH114" s="21">
        <f>EXP(-LN(2)/2)*DH113+(1-EXP(-LN(2)/2))/(LN(2)/2)*DB114*DE114*VLOOKUP('Données projet'!$B$13,Paramètres!$A$1:$I$89,3,0)*0.475*44/12</f>
        <v>3.4254596789740487E-12</v>
      </c>
      <c r="DI114" s="22">
        <f t="shared" si="69"/>
        <v>0.47274216948992098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3.7</v>
      </c>
      <c r="DO114" s="12">
        <f>IF('Données projet'!$A$166&gt;35,DO113+DN114-DW113,IF(A114&lt;'Données projet'!$A$166,$DL$205^A114,IF(A114='Données projet'!$A$166,'Données projet'!$B$166,DO113+DN114-DW113)))</f>
        <v>269.7</v>
      </c>
      <c r="DP114" s="17">
        <f>DO114*VLOOKUP('Données projet'!$B$14,Paramètres!$A$1:$I$89,3,0)*VLOOKUP('Données projet'!$B$14,Paramètres!$A$1:$I$89,5,0)</f>
        <v>260.85383999999999</v>
      </c>
      <c r="DQ114" s="13">
        <f t="shared" si="97"/>
        <v>62.904347395903763</v>
      </c>
      <c r="DR114" s="20">
        <f t="shared" si="70"/>
        <v>563.87884304786564</v>
      </c>
      <c r="DS114" s="59">
        <f t="shared" si="71"/>
        <v>857.21217638119901</v>
      </c>
      <c r="DT114" s="59">
        <f ca="1">AVERAGE(OFFSET($DS$3,0,0,'Données projet'!$E$14+1,1))-AVERAGE(OFFSET($H$3,0,0,'Données projet'!$E$14+1,1))</f>
        <v>261.22357949323879</v>
      </c>
      <c r="DU114" s="59">
        <f t="shared" si="98"/>
        <v>163.41029152029387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0</v>
      </c>
      <c r="EB114" s="21">
        <f>EXP(-LN(2)/25)*EB113+(1-EXP(-LN(2)/25))/(LN(2)/25)*Calculateur!DW114*Calculateur!DY114*VLOOKUP('Données projet'!$B$14,Paramètres!$A$1:$I$89,3,0)*0.475*44/12</f>
        <v>0.35141420788514521</v>
      </c>
      <c r="EC114" s="21">
        <f>EXP(-LN(2)/2)*EC113+(1-EXP(-LN(2)/2))/(LN(2)/2)*DW114*DZ114*VLOOKUP('Données projet'!$B$14,Paramètres!$A$1:$I$89,3,0)*0.475*44/12</f>
        <v>4.2549431628294205E-12</v>
      </c>
      <c r="ED114" s="22">
        <f t="shared" si="72"/>
        <v>0.35141420788940014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-1.1368683772161603E-13</v>
      </c>
      <c r="EK114" s="17">
        <f>EJ114*VLOOKUP('Données projet'!$B$15,Paramètres!$A$1:$I$89,3,0)*VLOOKUP('Données projet'!$B$15,Paramètres!$A$1:$I$89,5,0)</f>
        <v>-5.3205440053716299E-14</v>
      </c>
      <c r="EL114" s="13" t="e">
        <f t="shared" si="99"/>
        <v>#NUM!</v>
      </c>
      <c r="EM114" s="20" t="e">
        <f t="shared" si="73"/>
        <v>#NUM!</v>
      </c>
      <c r="EN114" s="59" t="e">
        <f t="shared" si="74"/>
        <v>#NUM!</v>
      </c>
      <c r="EO114" s="59">
        <f ca="1">AVERAGE(OFFSET($EN$3,0,0,'Données projet'!$E$15+1,1))-AVERAGE(OFFSET($H$3,0,0,'Données projet'!$E$15+1,1))</f>
        <v>123.60520571614535</v>
      </c>
      <c r="EP114" s="59">
        <f t="shared" si="100"/>
        <v>119.00926870519527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0.17438181641208211</v>
      </c>
      <c r="EW114" s="21">
        <f>EXP(-LN(2)/25)*EW113+(1-EXP(-LN(2)/25))/(LN(2)/25)*Calculateur!ER114*Calculateur!ET114*VLOOKUP('Données projet'!$B$15,Paramètres!$A$1:$I$89,3,0)*0.475*44/12</f>
        <v>0.50558720211007246</v>
      </c>
      <c r="EX114" s="21">
        <f>EXP(-LN(2)/2)*EX113+(1-EXP(-LN(2)/2))/(LN(2)/2)*ER114*EU114*VLOOKUP('Données projet'!$B$15,Paramètres!$A$1:$I$89,3,0)*0.475*44/12</f>
        <v>3.9317875657214294E-12</v>
      </c>
      <c r="EY114" s="22">
        <f t="shared" si="75"/>
        <v>0.67996901852608627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-8.5265128291212022E-14</v>
      </c>
      <c r="FF114" s="17">
        <f>FE114*VLOOKUP('Données projet'!$B$16,Paramètres!$A$1:$I$89,3,0)*VLOOKUP('Données projet'!$B$16,Paramètres!$A$1:$I$89,5,0)</f>
        <v>-6.2516392063116648E-14</v>
      </c>
      <c r="FG114" s="13" t="e">
        <f t="shared" si="101"/>
        <v>#NUM!</v>
      </c>
      <c r="FH114" s="20" t="e">
        <f t="shared" si="76"/>
        <v>#NUM!</v>
      </c>
      <c r="FI114" s="59" t="e">
        <f t="shared" si="77"/>
        <v>#NUM!</v>
      </c>
      <c r="FJ114" s="59">
        <f ca="1">AVERAGE(OFFSET($FI$3,0,0,'Données projet'!$E$16+1,1))-AVERAGE(OFFSET($H$3,0,0,'Données projet'!$E$16+1,1))</f>
        <v>124.15919323713428</v>
      </c>
      <c r="FK114" s="59">
        <f t="shared" si="102"/>
        <v>157.85954678210715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0</v>
      </c>
      <c r="FR114" s="21">
        <f>EXP(-LN(2)/25)*FR113+(1-EXP(-LN(2)/25))/(LN(2)/25)*Calculateur!FM114*Calculateur!FO114*VLOOKUP('Données projet'!$B$16,Paramètres!$A$1:$I$89,3,0)*0.475*44/12</f>
        <v>0.53200869103265136</v>
      </c>
      <c r="FS114" s="21">
        <f>EXP(-LN(2)/2)*FS113+(1-EXP(-LN(2)/2))/(LN(2)/2)*FM114*FP114*VLOOKUP('Données projet'!$B$16,Paramètres!$A$1:$I$89,3,0)*0.475*44/12</f>
        <v>4.7444361549520562E-12</v>
      </c>
      <c r="FT114" s="22">
        <f t="shared" si="78"/>
        <v>0.53200869103739579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3.7</v>
      </c>
      <c r="N115" s="13">
        <f>IF('Données projet'!$A$36&gt;35,N114+M115-V114,IF(A115&lt;'Données projet'!$A$36,$K$205^A115,IF(A115='Données projet'!$A$36,'Données projet'!$B$36,N114+M115-V114)))</f>
        <v>273.39999999999998</v>
      </c>
      <c r="O115" s="13">
        <f>N115*VLOOKUP('Données projet'!$B$9,Paramètres!$A$1:$I$89,3,0)*VLOOKUP('Données projet'!$B$9,Paramètres!$A$1:$I$89,5,0)</f>
        <v>247.37231999999997</v>
      </c>
      <c r="P115" s="13">
        <f t="shared" si="87"/>
        <v>60.022917171131049</v>
      </c>
      <c r="Q115" s="20">
        <f t="shared" si="107"/>
        <v>535.38003807305324</v>
      </c>
      <c r="R115" s="59">
        <f t="shared" si="55"/>
        <v>828.71337140638661</v>
      </c>
      <c r="S115" s="59">
        <f ca="1">AVERAGE(OFFSET($R$3,0,0,'Données projet'!$E$9+1,1))-AVERAGE(OFFSET($H$3,0,0,'Données projet'!$E$9+1,1))</f>
        <v>237.22177246688199</v>
      </c>
      <c r="T115" s="59">
        <f t="shared" si="88"/>
        <v>149.27472147904302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</v>
      </c>
      <c r="AA115" s="21">
        <f>EXP(-LN(2)/25)*AA114+(1-EXP(-LN(2)/25))/(LN(2)/25)*Calculateur!V115*Calculateur!X115*VLOOKUP('Données projet'!$B$9,Paramètres!$A$1:$I$89,3,0)*0.475*44/12</f>
        <v>0.31975284738139437</v>
      </c>
      <c r="AB115" s="21">
        <f>EXP(-LN(2)/2)*AB114+(1-EXP(-LN(2)/2))/(LN(2)/2)*V115*Y115*VLOOKUP('Données projet'!$B$9,Paramètres!$A$1:$I$89,3,0)*0.475*44/12</f>
        <v>2.8145895405161479E-12</v>
      </c>
      <c r="AC115" s="22">
        <f t="shared" si="57"/>
        <v>0.31975284738420895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-8.5265128291212022E-14</v>
      </c>
      <c r="AJ115" s="13">
        <f>AI115*VLOOKUP('Données projet'!$B$10,Paramètres!$A$1:$I$89,3,0)*VLOOKUP('Données projet'!$B$10,Paramètres!$A$1:$I$89,5,0)</f>
        <v>-7.4487616075202836E-14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191.94797389630673</v>
      </c>
      <c r="AO115" s="59">
        <f t="shared" si="90"/>
        <v>273.52540822767878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0.50751584441396913</v>
      </c>
      <c r="AV115" s="21">
        <f>EXP(-LN(2)/25)*AV114+(1-EXP(-LN(2)/25))/(LN(2)/25)*Calculateur!AQ115*Calculateur!AS115*VLOOKUP('Données projet'!$B$10,Paramètres!$A$1:$I$89,3,0)*0.475*44/12</f>
        <v>1.4462413765822035</v>
      </c>
      <c r="AW115" s="21">
        <f>EXP(-LN(2)/2)*AW114+(1-EXP(-LN(2)/2))/(LN(2)/2)*AQ115*AT115*VLOOKUP('Données projet'!$B$10,Paramètres!$A$1:$I$89,3,0)*0.475*44/12</f>
        <v>1.0551531395171594E-11</v>
      </c>
      <c r="AX115" s="21">
        <f t="shared" si="60"/>
        <v>1.9537572210067242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72.647148358003676</v>
      </c>
      <c r="BJ115" s="59">
        <f t="shared" si="92"/>
        <v>87.231299224620898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0.25083084345964796</v>
      </c>
      <c r="BQ115" s="21">
        <f>EXP(-LN(2)/25)*BQ114+(1-EXP(-LN(2)/25))/(LN(2)/25)*Calculateur!BL115*Calculateur!BN115*VLOOKUP('Données projet'!$B$11,Paramètres!$A$1:$I$89,3,0)*0.475*44/12</f>
        <v>0.46647453449994541</v>
      </c>
      <c r="BR115" s="21">
        <f>EXP(-LN(2)/2)*BR114+(1-EXP(-LN(2)/2))/(LN(2)/2)*BL115*BO115*VLOOKUP('Données projet'!$B$11,Paramètres!$A$1:$I$89,3,0)*0.475*44/12</f>
        <v>1.037231466521364E-12</v>
      </c>
      <c r="BS115" s="22">
        <f t="shared" si="63"/>
        <v>0.71730537796063065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5.6843418860808015E-14</v>
      </c>
      <c r="BZ115" s="13">
        <f>BY115*VLOOKUP('Données projet'!$B$12,Paramètres!$A$1:$I$89,3,0)*VLOOKUP('Données projet'!$B$12,Paramètres!$A$1:$I$89,5,0)</f>
        <v>3.3992364478763198E-14</v>
      </c>
      <c r="CA115" s="13">
        <f t="shared" si="93"/>
        <v>5.790027782444094E-13</v>
      </c>
      <c r="CB115" s="20">
        <f t="shared" si="64"/>
        <v>1.0676332069095257E-12</v>
      </c>
      <c r="CC115" s="59">
        <f t="shared" si="65"/>
        <v>293.33333333333439</v>
      </c>
      <c r="CD115" s="59">
        <f ca="1">AVERAGE(OFFSET($CC$3,0,0,'Données projet'!$E$12+1,1))-AVERAGE(OFFSET($H$3,0,0,'Données projet'!$E$12+1,1))</f>
        <v>165.39579887388538</v>
      </c>
      <c r="CE115" s="59">
        <f t="shared" si="94"/>
        <v>155.89639262545802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</v>
      </c>
      <c r="CL115" s="21">
        <f>EXP(-LN(2)/25)*CL114+(1-EXP(-LN(2)/25))/(LN(2)/25)*Calculateur!CG115*Calculateur!CI115*VLOOKUP('Données projet'!$B$12,Paramètres!$A$1:$I$89,3,0)*0.475*44/12</f>
        <v>0.7504196044924063</v>
      </c>
      <c r="CM115" s="21">
        <f>EXP(-LN(2)/2)*CM114+(1-EXP(-LN(2)/2))/(LN(2)/2)*CG115*CJ115*VLOOKUP('Données projet'!$B$12,Paramètres!$A$1:$I$89,3,0)*0.475*44/12</f>
        <v>6.3119094808721237E-12</v>
      </c>
      <c r="CN115" s="22">
        <f t="shared" si="66"/>
        <v>0.75041960449871825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3.4106051316484809E-13</v>
      </c>
      <c r="CU115" s="17">
        <f>CT115*VLOOKUP('Données projet'!$B$13,Paramètres!$A$1:$I$89,3,0)*VLOOKUP('Données projet'!$B$13,Paramètres!$A$1:$I$89,5,0)</f>
        <v>2.6602720026858149E-13</v>
      </c>
      <c r="CV115" s="13">
        <f t="shared" si="95"/>
        <v>3.5662905043956649E-12</v>
      </c>
      <c r="CW115" s="20">
        <f t="shared" si="67"/>
        <v>6.6746200022902298E-12</v>
      </c>
      <c r="CX115" s="59">
        <f t="shared" si="68"/>
        <v>293.33333333333997</v>
      </c>
      <c r="CY115" s="59">
        <f ca="1">AVERAGE(OFFSET($CX$3,0,0,'Données projet'!$E$13+1,1))-AVERAGE(OFFSET($H$3,0,0,'Données projet'!$E$13+1,1))</f>
        <v>190.06335940156185</v>
      </c>
      <c r="CZ115" s="59">
        <f t="shared" si="96"/>
        <v>166.43663896839928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0</v>
      </c>
      <c r="DG115" s="21">
        <f>EXP(-LN(2)/25)*DG114+(1-EXP(-LN(2)/25))/(LN(2)/25)*Calculateur!DB115*Calculateur!DD115*VLOOKUP('Données projet'!$B$13,Paramètres!$A$1:$I$89,3,0)*0.475*44/12</f>
        <v>0.45981501000145708</v>
      </c>
      <c r="DH115" s="21">
        <f>EXP(-LN(2)/2)*DH114+(1-EXP(-LN(2)/2))/(LN(2)/2)*DB115*DE115*VLOOKUP('Données projet'!$B$13,Paramètres!$A$1:$I$89,3,0)*0.475*44/12</f>
        <v>2.422165767683644E-12</v>
      </c>
      <c r="DI115" s="22">
        <f t="shared" si="69"/>
        <v>0.45981501000387925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3.7</v>
      </c>
      <c r="DO115" s="12">
        <f>IF('Données projet'!$A$166&gt;35,DO114+DN115-DW114,IF(A115&lt;'Données projet'!$A$166,$DL$205^A115,IF(A115='Données projet'!$A$166,'Données projet'!$B$166,DO114+DN115-DW114)))</f>
        <v>273.39999999999998</v>
      </c>
      <c r="DP115" s="17">
        <f>DO115*VLOOKUP('Données projet'!$B$14,Paramètres!$A$1:$I$89,3,0)*VLOOKUP('Données projet'!$B$14,Paramètres!$A$1:$I$89,5,0)</f>
        <v>264.43248</v>
      </c>
      <c r="DQ115" s="13">
        <f t="shared" si="97"/>
        <v>63.666272015882349</v>
      </c>
      <c r="DR115" s="20">
        <f t="shared" si="70"/>
        <v>571.43865976099494</v>
      </c>
      <c r="DS115" s="59">
        <f t="shared" si="71"/>
        <v>864.77199309432831</v>
      </c>
      <c r="DT115" s="59">
        <f ca="1">AVERAGE(OFFSET($DS$3,0,0,'Données projet'!$E$14+1,1))-AVERAGE(OFFSET($H$3,0,0,'Données projet'!$E$14+1,1))</f>
        <v>261.22357949323879</v>
      </c>
      <c r="DU115" s="59">
        <f t="shared" si="98"/>
        <v>163.41029152029387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0</v>
      </c>
      <c r="EB115" s="21">
        <f>EXP(-LN(2)/25)*EB114+(1-EXP(-LN(2)/25))/(LN(2)/25)*Calculateur!DW115*Calculateur!DY115*VLOOKUP('Données projet'!$B$14,Paramètres!$A$1:$I$89,3,0)*0.475*44/12</f>
        <v>0.34180476789045589</v>
      </c>
      <c r="EC115" s="21">
        <f>EXP(-LN(2)/2)*EC114+(1-EXP(-LN(2)/2))/(LN(2)/2)*DW115*DZ115*VLOOKUP('Données projet'!$B$14,Paramètres!$A$1:$I$89,3,0)*0.475*44/12</f>
        <v>3.0086991640000196E-12</v>
      </c>
      <c r="ED115" s="22">
        <f t="shared" si="72"/>
        <v>0.34180476789346459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-1.1368683772161603E-13</v>
      </c>
      <c r="EK115" s="17">
        <f>EJ115*VLOOKUP('Données projet'!$B$15,Paramètres!$A$1:$I$89,3,0)*VLOOKUP('Données projet'!$B$15,Paramètres!$A$1:$I$89,5,0)</f>
        <v>-5.3205440053716299E-14</v>
      </c>
      <c r="EL115" s="13" t="e">
        <f t="shared" si="99"/>
        <v>#NUM!</v>
      </c>
      <c r="EM115" s="20" t="e">
        <f t="shared" si="73"/>
        <v>#NUM!</v>
      </c>
      <c r="EN115" s="59" t="e">
        <f t="shared" si="74"/>
        <v>#NUM!</v>
      </c>
      <c r="EO115" s="59">
        <f ca="1">AVERAGE(OFFSET($EN$3,0,0,'Données projet'!$E$15+1,1))-AVERAGE(OFFSET($H$3,0,0,'Données projet'!$E$15+1,1))</f>
        <v>123.60520571614535</v>
      </c>
      <c r="EP115" s="59">
        <f t="shared" si="100"/>
        <v>119.00926870519527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0.17096229535464677</v>
      </c>
      <c r="EW115" s="21">
        <f>EXP(-LN(2)/25)*EW114+(1-EXP(-LN(2)/25))/(LN(2)/25)*Calculateur!ER115*Calculateur!ET115*VLOOKUP('Données projet'!$B$15,Paramètres!$A$1:$I$89,3,0)*0.475*44/12</f>
        <v>0.4917618934806971</v>
      </c>
      <c r="EX115" s="21">
        <f>EXP(-LN(2)/2)*EX114+(1-EXP(-LN(2)/2))/(LN(2)/2)*ER115*EU115*VLOOKUP('Données projet'!$B$15,Paramètres!$A$1:$I$89,3,0)*0.475*44/12</f>
        <v>2.7801936499065712E-12</v>
      </c>
      <c r="EY115" s="22">
        <f t="shared" si="75"/>
        <v>0.66272418883812412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-8.5265128291212022E-14</v>
      </c>
      <c r="FF115" s="17">
        <f>FE115*VLOOKUP('Données projet'!$B$16,Paramètres!$A$1:$I$89,3,0)*VLOOKUP('Données projet'!$B$16,Paramètres!$A$1:$I$89,5,0)</f>
        <v>-6.2516392063116648E-14</v>
      </c>
      <c r="FG115" s="13" t="e">
        <f t="shared" si="101"/>
        <v>#NUM!</v>
      </c>
      <c r="FH115" s="20" t="e">
        <f t="shared" si="76"/>
        <v>#NUM!</v>
      </c>
      <c r="FI115" s="59" t="e">
        <f t="shared" si="77"/>
        <v>#NUM!</v>
      </c>
      <c r="FJ115" s="59">
        <f ca="1">AVERAGE(OFFSET($FI$3,0,0,'Données projet'!$E$16+1,1))-AVERAGE(OFFSET($H$3,0,0,'Données projet'!$E$16+1,1))</f>
        <v>124.15919323713428</v>
      </c>
      <c r="FK115" s="59">
        <f t="shared" si="102"/>
        <v>157.85954678210715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0</v>
      </c>
      <c r="FR115" s="21">
        <f>EXP(-LN(2)/25)*FR114+(1-EXP(-LN(2)/25))/(LN(2)/25)*Calculateur!FM115*Calculateur!FO115*VLOOKUP('Données projet'!$B$16,Paramètres!$A$1:$I$89,3,0)*0.475*44/12</f>
        <v>0.5174608853992424</v>
      </c>
      <c r="FS115" s="21">
        <f>EXP(-LN(2)/2)*FS114+(1-EXP(-LN(2)/2))/(LN(2)/2)*FM115*FP115*VLOOKUP('Données projet'!$B$16,Paramètres!$A$1:$I$89,3,0)*0.475*44/12</f>
        <v>3.3548229780732286E-12</v>
      </c>
      <c r="FT115" s="22">
        <f t="shared" si="78"/>
        <v>0.51746088540259727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3.7</v>
      </c>
      <c r="N116" s="13">
        <f>IF('Données projet'!$A$36&gt;35,N115+M116-V115,IF(A116&lt;'Données projet'!$A$36,$K$205^A116,IF(A116='Données projet'!$A$36,'Données projet'!$B$36,N115+M116-V115)))</f>
        <v>277.09999999999997</v>
      </c>
      <c r="O116" s="13">
        <f>N116*VLOOKUP('Données projet'!$B$9,Paramètres!$A$1:$I$89,3,0)*VLOOKUP('Données projet'!$B$9,Paramètres!$A$1:$I$89,5,0)</f>
        <v>250.72007999999994</v>
      </c>
      <c r="P116" s="13">
        <f t="shared" si="87"/>
        <v>60.740109326032758</v>
      </c>
      <c r="Q116" s="20">
        <f t="shared" si="107"/>
        <v>542.45982974284027</v>
      </c>
      <c r="R116" s="59">
        <f t="shared" si="55"/>
        <v>835.79316307617364</v>
      </c>
      <c r="S116" s="59">
        <f ca="1">AVERAGE(OFFSET($R$3,0,0,'Données projet'!$E$9+1,1))-AVERAGE(OFFSET($H$3,0,0,'Données projet'!$E$9+1,1))</f>
        <v>237.22177246688199</v>
      </c>
      <c r="T116" s="59">
        <f t="shared" si="88"/>
        <v>149.27472147904302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</v>
      </c>
      <c r="AA116" s="21">
        <f>EXP(-LN(2)/25)*AA115+(1-EXP(-LN(2)/25))/(LN(2)/25)*Calculateur!V116*Calculateur!X116*VLOOKUP('Données projet'!$B$9,Paramètres!$A$1:$I$89,3,0)*0.475*44/12</f>
        <v>0.31100918895467872</v>
      </c>
      <c r="AB116" s="21">
        <f>EXP(-LN(2)/2)*AB115+(1-EXP(-LN(2)/2))/(LN(2)/2)*V116*Y116*VLOOKUP('Données projet'!$B$9,Paramètres!$A$1:$I$89,3,0)*0.475*44/12</f>
        <v>1.9902153503556971E-12</v>
      </c>
      <c r="AC116" s="22">
        <f t="shared" si="57"/>
        <v>0.31100918895666896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-8.5265128291212022E-14</v>
      </c>
      <c r="AJ116" s="13">
        <f>AI116*VLOOKUP('Données projet'!$B$10,Paramètres!$A$1:$I$89,3,0)*VLOOKUP('Données projet'!$B$10,Paramètres!$A$1:$I$89,5,0)</f>
        <v>-7.4487616075202836E-14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191.94797389630673</v>
      </c>
      <c r="AO116" s="59">
        <f t="shared" si="90"/>
        <v>273.52540822767878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0.49756376825911036</v>
      </c>
      <c r="AV116" s="21">
        <f>EXP(-LN(2)/25)*AV115+(1-EXP(-LN(2)/25))/(LN(2)/25)*Calculateur!AQ116*Calculateur!AS116*VLOOKUP('Données projet'!$B$10,Paramètres!$A$1:$I$89,3,0)*0.475*44/12</f>
        <v>1.4066938300850347</v>
      </c>
      <c r="AW116" s="21">
        <f>EXP(-LN(2)/2)*AW115+(1-EXP(-LN(2)/2))/(LN(2)/2)*AQ116*AT116*VLOOKUP('Données projet'!$B$10,Paramètres!$A$1:$I$89,3,0)*0.475*44/12</f>
        <v>7.4610594014285863E-12</v>
      </c>
      <c r="AX116" s="21">
        <f t="shared" si="60"/>
        <v>1.9042575983516061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72.647148358003676</v>
      </c>
      <c r="BJ116" s="59">
        <f t="shared" si="92"/>
        <v>87.231299224620898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0.2459122036111121</v>
      </c>
      <c r="BQ116" s="21">
        <f>EXP(-LN(2)/25)*BQ115+(1-EXP(-LN(2)/25))/(LN(2)/25)*Calculateur!BL116*Calculateur!BN116*VLOOKUP('Données projet'!$B$11,Paramètres!$A$1:$I$89,3,0)*0.475*44/12</f>
        <v>0.4537187638232148</v>
      </c>
      <c r="BR116" s="21">
        <f>EXP(-LN(2)/2)*BR115+(1-EXP(-LN(2)/2))/(LN(2)/2)*BL116*BO116*VLOOKUP('Données projet'!$B$11,Paramètres!$A$1:$I$89,3,0)*0.475*44/12</f>
        <v>7.3343340363732397E-13</v>
      </c>
      <c r="BS116" s="22">
        <f t="shared" si="63"/>
        <v>0.69963096743506026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5.6843418860808015E-14</v>
      </c>
      <c r="BZ116" s="13">
        <f>BY116*VLOOKUP('Données projet'!$B$12,Paramètres!$A$1:$I$89,3,0)*VLOOKUP('Données projet'!$B$12,Paramètres!$A$1:$I$89,5,0)</f>
        <v>3.3992364478763198E-14</v>
      </c>
      <c r="CA116" s="13">
        <f t="shared" si="93"/>
        <v>5.790027782444094E-13</v>
      </c>
      <c r="CB116" s="20">
        <f t="shared" si="64"/>
        <v>1.0676332069095257E-12</v>
      </c>
      <c r="CC116" s="59">
        <f t="shared" si="65"/>
        <v>293.33333333333439</v>
      </c>
      <c r="CD116" s="59">
        <f ca="1">AVERAGE(OFFSET($CC$3,0,0,'Données projet'!$E$12+1,1))-AVERAGE(OFFSET($H$3,0,0,'Données projet'!$E$12+1,1))</f>
        <v>165.39579887388538</v>
      </c>
      <c r="CE116" s="59">
        <f t="shared" si="94"/>
        <v>155.89639262545802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</v>
      </c>
      <c r="CL116" s="21">
        <f>EXP(-LN(2)/25)*CL115+(1-EXP(-LN(2)/25))/(LN(2)/25)*Calculateur!CG116*Calculateur!CI116*VLOOKUP('Données projet'!$B$12,Paramètres!$A$1:$I$89,3,0)*0.475*44/12</f>
        <v>0.72989934094470954</v>
      </c>
      <c r="CM116" s="21">
        <f>EXP(-LN(2)/2)*CM115+(1-EXP(-LN(2)/2))/(LN(2)/2)*CG116*CJ116*VLOOKUP('Données projet'!$B$12,Paramètres!$A$1:$I$89,3,0)*0.475*44/12</f>
        <v>4.4631939961603395E-12</v>
      </c>
      <c r="CN116" s="22">
        <f t="shared" si="66"/>
        <v>0.72989934094917275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3.4106051316484809E-13</v>
      </c>
      <c r="CU116" s="17">
        <f>CT116*VLOOKUP('Données projet'!$B$13,Paramètres!$A$1:$I$89,3,0)*VLOOKUP('Données projet'!$B$13,Paramètres!$A$1:$I$89,5,0)</f>
        <v>2.6602720026858149E-13</v>
      </c>
      <c r="CV116" s="13">
        <f t="shared" si="95"/>
        <v>3.5662905043956649E-12</v>
      </c>
      <c r="CW116" s="20">
        <f t="shared" si="67"/>
        <v>6.6746200022902298E-12</v>
      </c>
      <c r="CX116" s="59">
        <f t="shared" si="68"/>
        <v>293.33333333333997</v>
      </c>
      <c r="CY116" s="59">
        <f ca="1">AVERAGE(OFFSET($CX$3,0,0,'Données projet'!$E$13+1,1))-AVERAGE(OFFSET($H$3,0,0,'Données projet'!$E$13+1,1))</f>
        <v>190.06335940156185</v>
      </c>
      <c r="CZ116" s="59">
        <f t="shared" si="96"/>
        <v>166.43663896839928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0</v>
      </c>
      <c r="DG116" s="21">
        <f>EXP(-LN(2)/25)*DG115+(1-EXP(-LN(2)/25))/(LN(2)/25)*Calculateur!DB116*Calculateur!DD116*VLOOKUP('Données projet'!$B$13,Paramètres!$A$1:$I$89,3,0)*0.475*44/12</f>
        <v>0.44724134437234681</v>
      </c>
      <c r="DH116" s="21">
        <f>EXP(-LN(2)/2)*DH115+(1-EXP(-LN(2)/2))/(LN(2)/2)*DB116*DE116*VLOOKUP('Données projet'!$B$13,Paramètres!$A$1:$I$89,3,0)*0.475*44/12</f>
        <v>1.7127298394870244E-12</v>
      </c>
      <c r="DI116" s="22">
        <f t="shared" si="69"/>
        <v>0.44724134437405955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3.7</v>
      </c>
      <c r="DO116" s="12">
        <f>IF('Données projet'!$A$166&gt;35,DO115+DN116-DW115,IF(A116&lt;'Données projet'!$A$166,$DL$205^A116,IF(A116='Données projet'!$A$166,'Données projet'!$B$166,DO115+DN116-DW115)))</f>
        <v>277.09999999999997</v>
      </c>
      <c r="DP116" s="17">
        <f>DO116*VLOOKUP('Données projet'!$B$14,Paramètres!$A$1:$I$89,3,0)*VLOOKUP('Données projet'!$B$14,Paramètres!$A$1:$I$89,5,0)</f>
        <v>268.01111999999995</v>
      </c>
      <c r="DQ116" s="13">
        <f t="shared" si="97"/>
        <v>64.426997301716909</v>
      </c>
      <c r="DR116" s="20">
        <f t="shared" si="70"/>
        <v>578.99638763382347</v>
      </c>
      <c r="DS116" s="59">
        <f t="shared" si="71"/>
        <v>872.32972096715685</v>
      </c>
      <c r="DT116" s="59">
        <f ca="1">AVERAGE(OFFSET($DS$3,0,0,'Données projet'!$E$14+1,1))-AVERAGE(OFFSET($H$3,0,0,'Données projet'!$E$14+1,1))</f>
        <v>261.22357949323879</v>
      </c>
      <c r="DU116" s="59">
        <f t="shared" si="98"/>
        <v>163.41029152029387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0</v>
      </c>
      <c r="EB116" s="21">
        <f>EXP(-LN(2)/25)*EB115+(1-EXP(-LN(2)/25))/(LN(2)/25)*Calculateur!DW116*Calculateur!DY116*VLOOKUP('Données projet'!$B$14,Paramètres!$A$1:$I$89,3,0)*0.475*44/12</f>
        <v>0.33245809853775982</v>
      </c>
      <c r="EC116" s="21">
        <f>EXP(-LN(2)/2)*EC115+(1-EXP(-LN(2)/2))/(LN(2)/2)*DW116*DZ116*VLOOKUP('Données projet'!$B$14,Paramètres!$A$1:$I$89,3,0)*0.475*44/12</f>
        <v>2.1274715814147102E-12</v>
      </c>
      <c r="ED116" s="22">
        <f t="shared" si="72"/>
        <v>0.33245809853988728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-1.1368683772161603E-13</v>
      </c>
      <c r="EK116" s="17">
        <f>EJ116*VLOOKUP('Données projet'!$B$15,Paramètres!$A$1:$I$89,3,0)*VLOOKUP('Données projet'!$B$15,Paramètres!$A$1:$I$89,5,0)</f>
        <v>-5.3205440053716299E-14</v>
      </c>
      <c r="EL116" s="13" t="e">
        <f t="shared" si="99"/>
        <v>#NUM!</v>
      </c>
      <c r="EM116" s="20" t="e">
        <f t="shared" si="73"/>
        <v>#NUM!</v>
      </c>
      <c r="EN116" s="59" t="e">
        <f t="shared" si="74"/>
        <v>#NUM!</v>
      </c>
      <c r="EO116" s="59">
        <f ca="1">AVERAGE(OFFSET($EN$3,0,0,'Données projet'!$E$15+1,1))-AVERAGE(OFFSET($H$3,0,0,'Données projet'!$E$15+1,1))</f>
        <v>123.60520571614535</v>
      </c>
      <c r="EP116" s="59">
        <f t="shared" si="100"/>
        <v>119.00926870519527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0.16760982901944585</v>
      </c>
      <c r="EW116" s="21">
        <f>EXP(-LN(2)/25)*EW115+(1-EXP(-LN(2)/25))/(LN(2)/25)*Calculateur!ER116*Calculateur!ET116*VLOOKUP('Données projet'!$B$15,Paramètres!$A$1:$I$89,3,0)*0.475*44/12</f>
        <v>0.47831463864283341</v>
      </c>
      <c r="EX116" s="21">
        <f>EXP(-LN(2)/2)*EX115+(1-EXP(-LN(2)/2))/(LN(2)/2)*ER116*EU116*VLOOKUP('Données projet'!$B$15,Paramètres!$A$1:$I$89,3,0)*0.475*44/12</f>
        <v>1.9658937828607147E-12</v>
      </c>
      <c r="EY116" s="22">
        <f t="shared" si="75"/>
        <v>0.64592446766424516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-8.5265128291212022E-14</v>
      </c>
      <c r="FF116" s="17">
        <f>FE116*VLOOKUP('Données projet'!$B$16,Paramètres!$A$1:$I$89,3,0)*VLOOKUP('Données projet'!$B$16,Paramètres!$A$1:$I$89,5,0)</f>
        <v>-6.2516392063116648E-14</v>
      </c>
      <c r="FG116" s="13" t="e">
        <f t="shared" si="101"/>
        <v>#NUM!</v>
      </c>
      <c r="FH116" s="20" t="e">
        <f t="shared" si="76"/>
        <v>#NUM!</v>
      </c>
      <c r="FI116" s="59" t="e">
        <f t="shared" si="77"/>
        <v>#NUM!</v>
      </c>
      <c r="FJ116" s="59">
        <f ca="1">AVERAGE(OFFSET($FI$3,0,0,'Données projet'!$E$16+1,1))-AVERAGE(OFFSET($H$3,0,0,'Données projet'!$E$16+1,1))</f>
        <v>124.15919323713428</v>
      </c>
      <c r="FK116" s="59">
        <f t="shared" si="102"/>
        <v>157.85954678210715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0</v>
      </c>
      <c r="FR116" s="21">
        <f>EXP(-LN(2)/25)*FR115+(1-EXP(-LN(2)/25))/(LN(2)/25)*Calculateur!FM116*Calculateur!FO116*VLOOKUP('Données projet'!$B$16,Paramètres!$A$1:$I$89,3,0)*0.475*44/12</f>
        <v>0.5033108902759148</v>
      </c>
      <c r="FS116" s="21">
        <f>EXP(-LN(2)/2)*FS115+(1-EXP(-LN(2)/2))/(LN(2)/2)*FM116*FP116*VLOOKUP('Données projet'!$B$16,Paramètres!$A$1:$I$89,3,0)*0.475*44/12</f>
        <v>2.3722180774760281E-12</v>
      </c>
      <c r="FT116" s="22">
        <f t="shared" si="78"/>
        <v>0.50331089027828702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3.7</v>
      </c>
      <c r="N117" s="13">
        <f>IF('Données projet'!$A$36&gt;35,N116+M117-V116,IF(A117&lt;'Données projet'!$A$36,$K$205^A117,IF(A117='Données projet'!$A$36,'Données projet'!$B$36,N116+M117-V116)))</f>
        <v>280.79999999999995</v>
      </c>
      <c r="O117" s="13">
        <f>N117*VLOOKUP('Données projet'!$B$9,Paramètres!$A$1:$I$89,3,0)*VLOOKUP('Données projet'!$B$9,Paramètres!$A$1:$I$89,5,0)</f>
        <v>254.06783999999996</v>
      </c>
      <c r="P117" s="13">
        <f t="shared" si="87"/>
        <v>61.456187622750718</v>
      </c>
      <c r="Q117" s="20">
        <f t="shared" si="107"/>
        <v>549.53768144295748</v>
      </c>
      <c r="R117" s="59">
        <f t="shared" si="55"/>
        <v>842.87101477629085</v>
      </c>
      <c r="S117" s="59">
        <f ca="1">AVERAGE(OFFSET($R$3,0,0,'Données projet'!$E$9+1,1))-AVERAGE(OFFSET($H$3,0,0,'Données projet'!$E$9+1,1))</f>
        <v>237.22177246688199</v>
      </c>
      <c r="T117" s="59">
        <f t="shared" si="88"/>
        <v>149.27472147904302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</v>
      </c>
      <c r="AA117" s="21">
        <f>EXP(-LN(2)/25)*AA116+(1-EXP(-LN(2)/25))/(LN(2)/25)*Calculateur!V117*Calculateur!X117*VLOOKUP('Données projet'!$B$9,Paramètres!$A$1:$I$89,3,0)*0.475*44/12</f>
        <v>0.30250462632745062</v>
      </c>
      <c r="AB117" s="21">
        <f>EXP(-LN(2)/2)*AB116+(1-EXP(-LN(2)/2))/(LN(2)/2)*V117*Y117*VLOOKUP('Données projet'!$B$9,Paramètres!$A$1:$I$89,3,0)*0.475*44/12</f>
        <v>1.4072947702580739E-12</v>
      </c>
      <c r="AC117" s="22">
        <f t="shared" si="57"/>
        <v>0.30250462632885794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-8.5265128291212022E-14</v>
      </c>
      <c r="AJ117" s="13">
        <f>AI117*VLOOKUP('Données projet'!$B$10,Paramètres!$A$1:$I$89,3,0)*VLOOKUP('Données projet'!$B$10,Paramètres!$A$1:$I$89,5,0)</f>
        <v>-7.4487616075202836E-14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191.94797389630673</v>
      </c>
      <c r="AO117" s="59">
        <f t="shared" si="90"/>
        <v>273.52540822767878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0.48780684624748127</v>
      </c>
      <c r="AV117" s="21">
        <f>EXP(-LN(2)/25)*AV116+(1-EXP(-LN(2)/25))/(LN(2)/25)*Calculateur!AQ117*Calculateur!AS117*VLOOKUP('Données projet'!$B$10,Paramètres!$A$1:$I$89,3,0)*0.475*44/12</f>
        <v>1.3682277133265459</v>
      </c>
      <c r="AW117" s="21">
        <f>EXP(-LN(2)/2)*AW116+(1-EXP(-LN(2)/2))/(LN(2)/2)*AQ117*AT117*VLOOKUP('Données projet'!$B$10,Paramètres!$A$1:$I$89,3,0)*0.475*44/12</f>
        <v>5.2757656975857968E-12</v>
      </c>
      <c r="AX117" s="21">
        <f t="shared" si="60"/>
        <v>1.8560345595793031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72.647148358003676</v>
      </c>
      <c r="BJ117" s="59">
        <f t="shared" si="92"/>
        <v>87.231299224620898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0.24109001528993196</v>
      </c>
      <c r="BQ117" s="21">
        <f>EXP(-LN(2)/25)*BQ116+(1-EXP(-LN(2)/25))/(LN(2)/25)*Calculateur!BL117*Calculateur!BN117*VLOOKUP('Données projet'!$B$11,Paramètres!$A$1:$I$89,3,0)*0.475*44/12</f>
        <v>0.44131180036643619</v>
      </c>
      <c r="BR117" s="21">
        <f>EXP(-LN(2)/2)*BR116+(1-EXP(-LN(2)/2))/(LN(2)/2)*BL117*BO117*VLOOKUP('Données projet'!$B$11,Paramètres!$A$1:$I$89,3,0)*0.475*44/12</f>
        <v>5.1861573326068202E-13</v>
      </c>
      <c r="BS117" s="22">
        <f t="shared" si="63"/>
        <v>0.68240181565688673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5.6843418860808015E-14</v>
      </c>
      <c r="BZ117" s="13">
        <f>BY117*VLOOKUP('Données projet'!$B$12,Paramètres!$A$1:$I$89,3,0)*VLOOKUP('Données projet'!$B$12,Paramètres!$A$1:$I$89,5,0)</f>
        <v>3.3992364478763198E-14</v>
      </c>
      <c r="CA117" s="13">
        <f t="shared" si="93"/>
        <v>5.790027782444094E-13</v>
      </c>
      <c r="CB117" s="20">
        <f t="shared" si="64"/>
        <v>1.0676332069095257E-12</v>
      </c>
      <c r="CC117" s="59">
        <f t="shared" si="65"/>
        <v>293.33333333333439</v>
      </c>
      <c r="CD117" s="59">
        <f ca="1">AVERAGE(OFFSET($CC$3,0,0,'Données projet'!$E$12+1,1))-AVERAGE(OFFSET($H$3,0,0,'Données projet'!$E$12+1,1))</f>
        <v>165.39579887388538</v>
      </c>
      <c r="CE117" s="59">
        <f t="shared" si="94"/>
        <v>155.89639262545802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</v>
      </c>
      <c r="CL117" s="21">
        <f>EXP(-LN(2)/25)*CL116+(1-EXP(-LN(2)/25))/(LN(2)/25)*Calculateur!CG117*Calculateur!CI117*VLOOKUP('Données projet'!$B$12,Paramètres!$A$1:$I$89,3,0)*0.475*44/12</f>
        <v>0.70994020508283828</v>
      </c>
      <c r="CM117" s="21">
        <f>EXP(-LN(2)/2)*CM116+(1-EXP(-LN(2)/2))/(LN(2)/2)*CG117*CJ117*VLOOKUP('Données projet'!$B$12,Paramètres!$A$1:$I$89,3,0)*0.475*44/12</f>
        <v>3.1559547404360618E-12</v>
      </c>
      <c r="CN117" s="22">
        <f t="shared" si="66"/>
        <v>0.7099402050859942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3.4106051316484809E-13</v>
      </c>
      <c r="CU117" s="17">
        <f>CT117*VLOOKUP('Données projet'!$B$13,Paramètres!$A$1:$I$89,3,0)*VLOOKUP('Données projet'!$B$13,Paramètres!$A$1:$I$89,5,0)</f>
        <v>2.6602720026858149E-13</v>
      </c>
      <c r="CV117" s="13">
        <f t="shared" si="95"/>
        <v>3.5662905043956649E-12</v>
      </c>
      <c r="CW117" s="20">
        <f t="shared" si="67"/>
        <v>6.6746200022902298E-12</v>
      </c>
      <c r="CX117" s="59">
        <f t="shared" si="68"/>
        <v>293.33333333333997</v>
      </c>
      <c r="CY117" s="59">
        <f ca="1">AVERAGE(OFFSET($CX$3,0,0,'Données projet'!$E$13+1,1))-AVERAGE(OFFSET($H$3,0,0,'Données projet'!$E$13+1,1))</f>
        <v>190.06335940156185</v>
      </c>
      <c r="CZ117" s="59">
        <f t="shared" si="96"/>
        <v>166.43663896839928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0</v>
      </c>
      <c r="DG117" s="21">
        <f>EXP(-LN(2)/25)*DG116+(1-EXP(-LN(2)/25))/(LN(2)/25)*Calculateur!DB117*Calculateur!DD117*VLOOKUP('Données projet'!$B$13,Paramètres!$A$1:$I$89,3,0)*0.475*44/12</f>
        <v>0.43501150629108487</v>
      </c>
      <c r="DH117" s="21">
        <f>EXP(-LN(2)/2)*DH116+(1-EXP(-LN(2)/2))/(LN(2)/2)*DB117*DE117*VLOOKUP('Données projet'!$B$13,Paramètres!$A$1:$I$89,3,0)*0.475*44/12</f>
        <v>1.211082883841822E-12</v>
      </c>
      <c r="DI117" s="22">
        <f t="shared" si="69"/>
        <v>0.43501150629229596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3.7</v>
      </c>
      <c r="DO117" s="12">
        <f>IF('Données projet'!$A$166&gt;35,DO116+DN117-DW116,IF(A117&lt;'Données projet'!$A$166,$DL$205^A117,IF(A117='Données projet'!$A$166,'Données projet'!$B$166,DO116+DN117-DW116)))</f>
        <v>280.79999999999995</v>
      </c>
      <c r="DP117" s="17">
        <f>DO117*VLOOKUP('Données projet'!$B$14,Paramètres!$A$1:$I$89,3,0)*VLOOKUP('Données projet'!$B$14,Paramètres!$A$1:$I$89,5,0)</f>
        <v>271.58975999999996</v>
      </c>
      <c r="DQ117" s="13">
        <f t="shared" si="97"/>
        <v>65.186541118848126</v>
      </c>
      <c r="DR117" s="20">
        <f t="shared" si="70"/>
        <v>586.55205778199377</v>
      </c>
      <c r="DS117" s="59">
        <f t="shared" si="71"/>
        <v>879.88539111532714</v>
      </c>
      <c r="DT117" s="59">
        <f ca="1">AVERAGE(OFFSET($DS$3,0,0,'Données projet'!$E$14+1,1))-AVERAGE(OFFSET($H$3,0,0,'Données projet'!$E$14+1,1))</f>
        <v>261.22357949323879</v>
      </c>
      <c r="DU117" s="59">
        <f t="shared" si="98"/>
        <v>163.41029152029387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0</v>
      </c>
      <c r="EB117" s="21">
        <f>EXP(-LN(2)/25)*EB116+(1-EXP(-LN(2)/25))/(LN(2)/25)*Calculateur!DW117*Calculateur!DY117*VLOOKUP('Données projet'!$B$14,Paramètres!$A$1:$I$89,3,0)*0.475*44/12</f>
        <v>0.32336701435003323</v>
      </c>
      <c r="EC117" s="21">
        <f>EXP(-LN(2)/2)*EC116+(1-EXP(-LN(2)/2))/(LN(2)/2)*DW117*DZ117*VLOOKUP('Données projet'!$B$14,Paramètres!$A$1:$I$89,3,0)*0.475*44/12</f>
        <v>1.5043495820000098E-12</v>
      </c>
      <c r="ED117" s="22">
        <f t="shared" si="72"/>
        <v>0.32336701435153758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-1.1368683772161603E-13</v>
      </c>
      <c r="EK117" s="17">
        <f>EJ117*VLOOKUP('Données projet'!$B$15,Paramètres!$A$1:$I$89,3,0)*VLOOKUP('Données projet'!$B$15,Paramètres!$A$1:$I$89,5,0)</f>
        <v>-5.3205440053716299E-14</v>
      </c>
      <c r="EL117" s="13" t="e">
        <f t="shared" si="99"/>
        <v>#NUM!</v>
      </c>
      <c r="EM117" s="20" t="e">
        <f t="shared" si="73"/>
        <v>#NUM!</v>
      </c>
      <c r="EN117" s="59" t="e">
        <f t="shared" si="74"/>
        <v>#NUM!</v>
      </c>
      <c r="EO117" s="59">
        <f ca="1">AVERAGE(OFFSET($EN$3,0,0,'Données projet'!$E$15+1,1))-AVERAGE(OFFSET($H$3,0,0,'Données projet'!$E$15+1,1))</f>
        <v>123.60520571614535</v>
      </c>
      <c r="EP117" s="59">
        <f t="shared" si="100"/>
        <v>119.00926870519527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0.16432310250427565</v>
      </c>
      <c r="EW117" s="21">
        <f>EXP(-LN(2)/25)*EW116+(1-EXP(-LN(2)/25))/(LN(2)/25)*Calculateur!ER117*Calculateur!ET117*VLOOKUP('Données projet'!$B$15,Paramètres!$A$1:$I$89,3,0)*0.475*44/12</f>
        <v>0.46523509969567151</v>
      </c>
      <c r="EX117" s="21">
        <f>EXP(-LN(2)/2)*EX116+(1-EXP(-LN(2)/2))/(LN(2)/2)*ER117*EU117*VLOOKUP('Données projet'!$B$15,Paramètres!$A$1:$I$89,3,0)*0.475*44/12</f>
        <v>1.3900968249532856E-12</v>
      </c>
      <c r="EY117" s="22">
        <f t="shared" si="75"/>
        <v>0.62955820220133729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-8.5265128291212022E-14</v>
      </c>
      <c r="FF117" s="17">
        <f>FE117*VLOOKUP('Données projet'!$B$16,Paramètres!$A$1:$I$89,3,0)*VLOOKUP('Données projet'!$B$16,Paramètres!$A$1:$I$89,5,0)</f>
        <v>-6.2516392063116648E-14</v>
      </c>
      <c r="FG117" s="13" t="e">
        <f t="shared" si="101"/>
        <v>#NUM!</v>
      </c>
      <c r="FH117" s="20" t="e">
        <f t="shared" si="76"/>
        <v>#NUM!</v>
      </c>
      <c r="FI117" s="59" t="e">
        <f t="shared" si="77"/>
        <v>#NUM!</v>
      </c>
      <c r="FJ117" s="59">
        <f ca="1">AVERAGE(OFFSET($FI$3,0,0,'Données projet'!$E$16+1,1))-AVERAGE(OFFSET($H$3,0,0,'Données projet'!$E$16+1,1))</f>
        <v>124.15919323713428</v>
      </c>
      <c r="FK117" s="59">
        <f t="shared" si="102"/>
        <v>157.85954678210715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0</v>
      </c>
      <c r="FR117" s="21">
        <f>EXP(-LN(2)/25)*FR116+(1-EXP(-LN(2)/25))/(LN(2)/25)*Calculateur!FM117*Calculateur!FO117*VLOOKUP('Données projet'!$B$16,Paramètres!$A$1:$I$89,3,0)*0.475*44/12</f>
        <v>0.48954782751335052</v>
      </c>
      <c r="FS117" s="21">
        <f>EXP(-LN(2)/2)*FS116+(1-EXP(-LN(2)/2))/(LN(2)/2)*FM117*FP117*VLOOKUP('Données projet'!$B$16,Paramètres!$A$1:$I$89,3,0)*0.475*44/12</f>
        <v>1.6774114890366143E-12</v>
      </c>
      <c r="FT117" s="22">
        <f t="shared" si="78"/>
        <v>0.48954782751502796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3.7</v>
      </c>
      <c r="N118" s="13">
        <f>IF('Données projet'!$A$36&gt;35,N117+M118-V117,IF(A118&lt;'Données projet'!$A$36,$K$205^A118,IF(A118='Données projet'!$A$36,'Données projet'!$B$36,N117+M118-V117)))</f>
        <v>284.49999999999994</v>
      </c>
      <c r="O118" s="13">
        <f>N118*VLOOKUP('Données projet'!$B$9,Paramètres!$A$1:$I$89,3,0)*VLOOKUP('Données projet'!$B$9,Paramètres!$A$1:$I$89,5,0)</f>
        <v>257.41559999999993</v>
      </c>
      <c r="P118" s="13">
        <f t="shared" si="87"/>
        <v>62.171168434977119</v>
      </c>
      <c r="Q118" s="20">
        <f t="shared" si="107"/>
        <v>556.61362169091831</v>
      </c>
      <c r="R118" s="59">
        <f t="shared" si="55"/>
        <v>849.94695502425157</v>
      </c>
      <c r="S118" s="59">
        <f ca="1">AVERAGE(OFFSET($R$3,0,0,'Données projet'!$E$9+1,1))-AVERAGE(OFFSET($H$3,0,0,'Données projet'!$E$9+1,1))</f>
        <v>237.22177246688199</v>
      </c>
      <c r="T118" s="59">
        <f t="shared" si="88"/>
        <v>149.27472147904302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</v>
      </c>
      <c r="AA118" s="21">
        <f>EXP(-LN(2)/25)*AA117+(1-EXP(-LN(2)/25))/(LN(2)/25)*Calculateur!V118*Calculateur!X118*VLOOKUP('Données projet'!$B$9,Paramètres!$A$1:$I$89,3,0)*0.475*44/12</f>
        <v>0.29423262141249956</v>
      </c>
      <c r="AB118" s="21">
        <f>EXP(-LN(2)/2)*AB117+(1-EXP(-LN(2)/2))/(LN(2)/2)*V118*Y118*VLOOKUP('Données projet'!$B$9,Paramètres!$A$1:$I$89,3,0)*0.475*44/12</f>
        <v>9.9510767517784854E-13</v>
      </c>
      <c r="AC118" s="22">
        <f t="shared" si="57"/>
        <v>0.29423262141349465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-8.5265128291212022E-14</v>
      </c>
      <c r="AJ118" s="13">
        <f>AI118*VLOOKUP('Données projet'!$B$10,Paramètres!$A$1:$I$89,3,0)*VLOOKUP('Données projet'!$B$10,Paramètres!$A$1:$I$89,5,0)</f>
        <v>-7.4487616075202836E-14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191.94797389630673</v>
      </c>
      <c r="AO118" s="59">
        <f t="shared" si="90"/>
        <v>273.52540822767878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0.47824125152536545</v>
      </c>
      <c r="AV118" s="21">
        <f>EXP(-LN(2)/25)*AV117+(1-EXP(-LN(2)/25))/(LN(2)/25)*Calculateur!AQ118*Calculateur!AS118*VLOOKUP('Données projet'!$B$10,Paramètres!$A$1:$I$89,3,0)*0.475*44/12</f>
        <v>1.3308134545536632</v>
      </c>
      <c r="AW118" s="21">
        <f>EXP(-LN(2)/2)*AW117+(1-EXP(-LN(2)/2))/(LN(2)/2)*AQ118*AT118*VLOOKUP('Données projet'!$B$10,Paramètres!$A$1:$I$89,3,0)*0.475*44/12</f>
        <v>3.7305297007142932E-12</v>
      </c>
      <c r="AX118" s="21">
        <f t="shared" si="60"/>
        <v>1.8090547060827593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72.647148358003676</v>
      </c>
      <c r="BJ118" s="59">
        <f t="shared" si="92"/>
        <v>87.231299224620898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0.23636238714048569</v>
      </c>
      <c r="BQ118" s="21">
        <f>EXP(-LN(2)/25)*BQ117+(1-EXP(-LN(2)/25))/(LN(2)/25)*Calculateur!BL118*Calculateur!BN118*VLOOKUP('Données projet'!$B$11,Paramètres!$A$1:$I$89,3,0)*0.475*44/12</f>
        <v>0.42924410597783702</v>
      </c>
      <c r="BR118" s="21">
        <f>EXP(-LN(2)/2)*BR117+(1-EXP(-LN(2)/2))/(LN(2)/2)*BL118*BO118*VLOOKUP('Données projet'!$B$11,Paramètres!$A$1:$I$89,3,0)*0.475*44/12</f>
        <v>3.6671670181866198E-13</v>
      </c>
      <c r="BS118" s="22">
        <f t="shared" si="63"/>
        <v>0.66560649311868947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5.6843418860808015E-14</v>
      </c>
      <c r="BZ118" s="13">
        <f>BY118*VLOOKUP('Données projet'!$B$12,Paramètres!$A$1:$I$89,3,0)*VLOOKUP('Données projet'!$B$12,Paramètres!$A$1:$I$89,5,0)</f>
        <v>3.3992364478763198E-14</v>
      </c>
      <c r="CA118" s="13">
        <f t="shared" si="93"/>
        <v>5.790027782444094E-13</v>
      </c>
      <c r="CB118" s="20">
        <f t="shared" si="64"/>
        <v>1.0676332069095257E-12</v>
      </c>
      <c r="CC118" s="59">
        <f t="shared" si="65"/>
        <v>293.33333333333439</v>
      </c>
      <c r="CD118" s="59">
        <f ca="1">AVERAGE(OFFSET($CC$3,0,0,'Données projet'!$E$12+1,1))-AVERAGE(OFFSET($H$3,0,0,'Données projet'!$E$12+1,1))</f>
        <v>165.39579887388538</v>
      </c>
      <c r="CE118" s="59">
        <f t="shared" si="94"/>
        <v>155.89639262545802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</v>
      </c>
      <c r="CL118" s="21">
        <f>EXP(-LN(2)/25)*CL117+(1-EXP(-LN(2)/25))/(LN(2)/25)*Calculateur!CG118*Calculateur!CI118*VLOOKUP('Données projet'!$B$12,Paramètres!$A$1:$I$89,3,0)*0.475*44/12</f>
        <v>0.69052685284071524</v>
      </c>
      <c r="CM118" s="21">
        <f>EXP(-LN(2)/2)*CM117+(1-EXP(-LN(2)/2))/(LN(2)/2)*CG118*CJ118*VLOOKUP('Données projet'!$B$12,Paramètres!$A$1:$I$89,3,0)*0.475*44/12</f>
        <v>2.2315969980801697E-12</v>
      </c>
      <c r="CN118" s="22">
        <f t="shared" si="66"/>
        <v>0.69052685284294679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3.4106051316484809E-13</v>
      </c>
      <c r="CU118" s="17">
        <f>CT118*VLOOKUP('Données projet'!$B$13,Paramètres!$A$1:$I$89,3,0)*VLOOKUP('Données projet'!$B$13,Paramètres!$A$1:$I$89,5,0)</f>
        <v>2.6602720026858149E-13</v>
      </c>
      <c r="CV118" s="13">
        <f t="shared" si="95"/>
        <v>3.5662905043956649E-12</v>
      </c>
      <c r="CW118" s="20">
        <f t="shared" si="67"/>
        <v>6.6746200022902298E-12</v>
      </c>
      <c r="CX118" s="59">
        <f t="shared" si="68"/>
        <v>293.33333333333997</v>
      </c>
      <c r="CY118" s="59">
        <f ca="1">AVERAGE(OFFSET($CX$3,0,0,'Données projet'!$E$13+1,1))-AVERAGE(OFFSET($H$3,0,0,'Données projet'!$E$13+1,1))</f>
        <v>190.06335940156185</v>
      </c>
      <c r="CZ118" s="59">
        <f t="shared" si="96"/>
        <v>166.43663896839928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0</v>
      </c>
      <c r="DG118" s="21">
        <f>EXP(-LN(2)/25)*DG117+(1-EXP(-LN(2)/25))/(LN(2)/25)*Calculateur!DB118*Calculateur!DD118*VLOOKUP('Données projet'!$B$13,Paramètres!$A$1:$I$89,3,0)*0.475*44/12</f>
        <v>0.42311609377529424</v>
      </c>
      <c r="DH118" s="21">
        <f>EXP(-LN(2)/2)*DH117+(1-EXP(-LN(2)/2))/(LN(2)/2)*DB118*DE118*VLOOKUP('Données projet'!$B$13,Paramètres!$A$1:$I$89,3,0)*0.475*44/12</f>
        <v>8.5636491974351218E-13</v>
      </c>
      <c r="DI118" s="22">
        <f t="shared" si="69"/>
        <v>0.42311609377615061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3.7</v>
      </c>
      <c r="DO118" s="12">
        <f>IF('Données projet'!$A$166&gt;35,DO117+DN118-DW117,IF(A118&lt;'Données projet'!$A$166,$DL$205^A118,IF(A118='Données projet'!$A$166,'Données projet'!$B$166,DO117+DN118-DW117)))</f>
        <v>284.49999999999994</v>
      </c>
      <c r="DP118" s="17">
        <f>DO118*VLOOKUP('Données projet'!$B$14,Paramètres!$A$1:$I$89,3,0)*VLOOKUP('Données projet'!$B$14,Paramètres!$A$1:$I$89,5,0)</f>
        <v>275.16839999999996</v>
      </c>
      <c r="DQ118" s="13">
        <f t="shared" si="97"/>
        <v>65.944920834841611</v>
      </c>
      <c r="DR118" s="20">
        <f t="shared" si="70"/>
        <v>594.10570045401585</v>
      </c>
      <c r="DS118" s="59">
        <f t="shared" si="71"/>
        <v>887.43903378734922</v>
      </c>
      <c r="DT118" s="59">
        <f ca="1">AVERAGE(OFFSET($DS$3,0,0,'Données projet'!$E$14+1,1))-AVERAGE(OFFSET($H$3,0,0,'Données projet'!$E$14+1,1))</f>
        <v>261.22357949323879</v>
      </c>
      <c r="DU118" s="59">
        <f t="shared" si="98"/>
        <v>163.41029152029387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0</v>
      </c>
      <c r="EB118" s="21">
        <f>EXP(-LN(2)/25)*EB117+(1-EXP(-LN(2)/25))/(LN(2)/25)*Calculateur!DW118*Calculateur!DY118*VLOOKUP('Données projet'!$B$14,Paramètres!$A$1:$I$89,3,0)*0.475*44/12</f>
        <v>0.31452452633749933</v>
      </c>
      <c r="EC118" s="21">
        <f>EXP(-LN(2)/2)*EC117+(1-EXP(-LN(2)/2))/(LN(2)/2)*DW118*DZ118*VLOOKUP('Données projet'!$B$14,Paramètres!$A$1:$I$89,3,0)*0.475*44/12</f>
        <v>1.0637357907073551E-12</v>
      </c>
      <c r="ED118" s="22">
        <f t="shared" si="72"/>
        <v>0.31452452633856309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-1.1368683772161603E-13</v>
      </c>
      <c r="EK118" s="17">
        <f>EJ118*VLOOKUP('Données projet'!$B$15,Paramètres!$A$1:$I$89,3,0)*VLOOKUP('Données projet'!$B$15,Paramètres!$A$1:$I$89,5,0)</f>
        <v>-5.3205440053716299E-14</v>
      </c>
      <c r="EL118" s="13" t="e">
        <f t="shared" si="99"/>
        <v>#NUM!</v>
      </c>
      <c r="EM118" s="20" t="e">
        <f t="shared" si="73"/>
        <v>#NUM!</v>
      </c>
      <c r="EN118" s="59" t="e">
        <f t="shared" si="74"/>
        <v>#NUM!</v>
      </c>
      <c r="EO118" s="59">
        <f ca="1">AVERAGE(OFFSET($EN$3,0,0,'Données projet'!$E$15+1,1))-AVERAGE(OFFSET($H$3,0,0,'Données projet'!$E$15+1,1))</f>
        <v>123.60520571614535</v>
      </c>
      <c r="EP118" s="59">
        <f t="shared" si="100"/>
        <v>119.00926870519527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0.16110082669136272</v>
      </c>
      <c r="EW118" s="21">
        <f>EXP(-LN(2)/25)*EW117+(1-EXP(-LN(2)/25))/(LN(2)/25)*Calculateur!ER118*Calculateur!ET118*VLOOKUP('Données projet'!$B$15,Paramètres!$A$1:$I$89,3,0)*0.475*44/12</f>
        <v>0.45251322142884276</v>
      </c>
      <c r="EX118" s="21">
        <f>EXP(-LN(2)/2)*EX117+(1-EXP(-LN(2)/2))/(LN(2)/2)*ER118*EU118*VLOOKUP('Données projet'!$B$15,Paramètres!$A$1:$I$89,3,0)*0.475*44/12</f>
        <v>9.8294689143035735E-13</v>
      </c>
      <c r="EY118" s="22">
        <f t="shared" si="75"/>
        <v>0.61361404812118847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-8.5265128291212022E-14</v>
      </c>
      <c r="FF118" s="17">
        <f>FE118*VLOOKUP('Données projet'!$B$16,Paramètres!$A$1:$I$89,3,0)*VLOOKUP('Données projet'!$B$16,Paramètres!$A$1:$I$89,5,0)</f>
        <v>-6.2516392063116648E-14</v>
      </c>
      <c r="FG118" s="13" t="e">
        <f t="shared" si="101"/>
        <v>#NUM!</v>
      </c>
      <c r="FH118" s="20" t="e">
        <f t="shared" si="76"/>
        <v>#NUM!</v>
      </c>
      <c r="FI118" s="59" t="e">
        <f t="shared" si="77"/>
        <v>#NUM!</v>
      </c>
      <c r="FJ118" s="59">
        <f ca="1">AVERAGE(OFFSET($FI$3,0,0,'Données projet'!$E$16+1,1))-AVERAGE(OFFSET($H$3,0,0,'Données projet'!$E$16+1,1))</f>
        <v>124.15919323713428</v>
      </c>
      <c r="FK118" s="59">
        <f t="shared" si="102"/>
        <v>157.85954678210715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0</v>
      </c>
      <c r="FR118" s="21">
        <f>EXP(-LN(2)/25)*FR117+(1-EXP(-LN(2)/25))/(LN(2)/25)*Calculateur!FM118*Calculateur!FO118*VLOOKUP('Données projet'!$B$16,Paramètres!$A$1:$I$89,3,0)*0.475*44/12</f>
        <v>0.47616111642579656</v>
      </c>
      <c r="FS118" s="21">
        <f>EXP(-LN(2)/2)*FS117+(1-EXP(-LN(2)/2))/(LN(2)/2)*FM118*FP118*VLOOKUP('Données projet'!$B$16,Paramètres!$A$1:$I$89,3,0)*0.475*44/12</f>
        <v>1.1861090387380141E-12</v>
      </c>
      <c r="FT118" s="22">
        <f t="shared" si="78"/>
        <v>0.47616111642698267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3.7</v>
      </c>
      <c r="N119" s="13">
        <f>IF('Données projet'!$A$36&gt;35,N118+M119-V118,IF(A119&lt;'Données projet'!$A$36,$K$205^A119,IF(A119='Données projet'!$A$36,'Données projet'!$B$36,N118+M119-V118)))</f>
        <v>288.19999999999993</v>
      </c>
      <c r="O119" s="13">
        <f>N119*VLOOKUP('Données projet'!$B$9,Paramètres!$A$1:$I$89,3,0)*VLOOKUP('Données projet'!$B$9,Paramètres!$A$1:$I$89,5,0)</f>
        <v>260.76335999999992</v>
      </c>
      <c r="P119" s="13">
        <f t="shared" si="87"/>
        <v>62.885067686031952</v>
      </c>
      <c r="Q119" s="20">
        <f t="shared" si="107"/>
        <v>563.68767821983886</v>
      </c>
      <c r="R119" s="59">
        <f t="shared" si="55"/>
        <v>857.02101155317223</v>
      </c>
      <c r="S119" s="59">
        <f ca="1">AVERAGE(OFFSET($R$3,0,0,'Données projet'!$E$9+1,1))-AVERAGE(OFFSET($H$3,0,0,'Données projet'!$E$9+1,1))</f>
        <v>237.22177246688199</v>
      </c>
      <c r="T119" s="59">
        <f t="shared" si="88"/>
        <v>149.27472147904302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</v>
      </c>
      <c r="AA119" s="21">
        <f>EXP(-LN(2)/25)*AA118+(1-EXP(-LN(2)/25))/(LN(2)/25)*Calculateur!V119*Calculateur!X119*VLOOKUP('Données projet'!$B$9,Paramètres!$A$1:$I$89,3,0)*0.475*44/12</f>
        <v>0.28618681490695369</v>
      </c>
      <c r="AB119" s="21">
        <f>EXP(-LN(2)/2)*AB118+(1-EXP(-LN(2)/2))/(LN(2)/2)*V119*Y119*VLOOKUP('Données projet'!$B$9,Paramètres!$A$1:$I$89,3,0)*0.475*44/12</f>
        <v>7.0364738512903697E-13</v>
      </c>
      <c r="AC119" s="22">
        <f t="shared" si="57"/>
        <v>0.28618681490765735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-8.5265128291212022E-14</v>
      </c>
      <c r="AJ119" s="13">
        <f>AI119*VLOOKUP('Données projet'!$B$10,Paramètres!$A$1:$I$89,3,0)*VLOOKUP('Données projet'!$B$10,Paramètres!$A$1:$I$89,5,0)</f>
        <v>-7.4487616075202836E-14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191.94797389630673</v>
      </c>
      <c r="AO119" s="59">
        <f t="shared" si="90"/>
        <v>273.52540822767878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0.46886323228131366</v>
      </c>
      <c r="AV119" s="21">
        <f>EXP(-LN(2)/25)*AV118+(1-EXP(-LN(2)/25))/(LN(2)/25)*Calculateur!AQ119*Calculateur!AS119*VLOOKUP('Données projet'!$B$10,Paramètres!$A$1:$I$89,3,0)*0.475*44/12</f>
        <v>1.2944222906544554</v>
      </c>
      <c r="AW119" s="21">
        <f>EXP(-LN(2)/2)*AW118+(1-EXP(-LN(2)/2))/(LN(2)/2)*AQ119*AT119*VLOOKUP('Données projet'!$B$10,Paramètres!$A$1:$I$89,3,0)*0.475*44/12</f>
        <v>2.6378828487928984E-12</v>
      </c>
      <c r="AX119" s="21">
        <f t="shared" si="60"/>
        <v>1.763285522938407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72.647148358003676</v>
      </c>
      <c r="BJ119" s="59">
        <f t="shared" si="92"/>
        <v>87.231299224620898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0.23172746489548163</v>
      </c>
      <c r="BQ119" s="21">
        <f>EXP(-LN(2)/25)*BQ118+(1-EXP(-LN(2)/25))/(LN(2)/25)*Calculateur!BL119*Calculateur!BN119*VLOOKUP('Données projet'!$B$11,Paramètres!$A$1:$I$89,3,0)*0.475*44/12</f>
        <v>0.41750640332690658</v>
      </c>
      <c r="BR119" s="21">
        <f>EXP(-LN(2)/2)*BR118+(1-EXP(-LN(2)/2))/(LN(2)/2)*BL119*BO119*VLOOKUP('Données projet'!$B$11,Paramètres!$A$1:$I$89,3,0)*0.475*44/12</f>
        <v>2.5930786663034101E-13</v>
      </c>
      <c r="BS119" s="22">
        <f t="shared" si="63"/>
        <v>0.6492338682226475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5.6843418860808015E-14</v>
      </c>
      <c r="BZ119" s="13">
        <f>BY119*VLOOKUP('Données projet'!$B$12,Paramètres!$A$1:$I$89,3,0)*VLOOKUP('Données projet'!$B$12,Paramètres!$A$1:$I$89,5,0)</f>
        <v>3.3992364478763198E-14</v>
      </c>
      <c r="CA119" s="13">
        <f t="shared" si="93"/>
        <v>5.790027782444094E-13</v>
      </c>
      <c r="CB119" s="20">
        <f t="shared" si="64"/>
        <v>1.0676332069095257E-12</v>
      </c>
      <c r="CC119" s="59">
        <f t="shared" si="65"/>
        <v>293.33333333333439</v>
      </c>
      <c r="CD119" s="59">
        <f ca="1">AVERAGE(OFFSET($CC$3,0,0,'Données projet'!$E$12+1,1))-AVERAGE(OFFSET($H$3,0,0,'Données projet'!$E$12+1,1))</f>
        <v>165.39579887388538</v>
      </c>
      <c r="CE119" s="59">
        <f t="shared" si="94"/>
        <v>155.89639262545802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</v>
      </c>
      <c r="CL119" s="21">
        <f>EXP(-LN(2)/25)*CL118+(1-EXP(-LN(2)/25))/(LN(2)/25)*Calculateur!CG119*Calculateur!CI119*VLOOKUP('Données projet'!$B$12,Paramètres!$A$1:$I$89,3,0)*0.475*44/12</f>
        <v>0.6716443597365569</v>
      </c>
      <c r="CM119" s="21">
        <f>EXP(-LN(2)/2)*CM118+(1-EXP(-LN(2)/2))/(LN(2)/2)*CG119*CJ119*VLOOKUP('Données projet'!$B$12,Paramètres!$A$1:$I$89,3,0)*0.475*44/12</f>
        <v>1.5779773702180309E-12</v>
      </c>
      <c r="CN119" s="22">
        <f t="shared" si="66"/>
        <v>0.67164435973813486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3.4106051316484809E-13</v>
      </c>
      <c r="CU119" s="17">
        <f>CT119*VLOOKUP('Données projet'!$B$13,Paramètres!$A$1:$I$89,3,0)*VLOOKUP('Données projet'!$B$13,Paramètres!$A$1:$I$89,5,0)</f>
        <v>2.6602720026858149E-13</v>
      </c>
      <c r="CV119" s="13">
        <f t="shared" si="95"/>
        <v>3.5662905043956649E-12</v>
      </c>
      <c r="CW119" s="20">
        <f t="shared" si="67"/>
        <v>6.6746200022902298E-12</v>
      </c>
      <c r="CX119" s="59">
        <f t="shared" si="68"/>
        <v>293.33333333333997</v>
      </c>
      <c r="CY119" s="59">
        <f ca="1">AVERAGE(OFFSET($CX$3,0,0,'Données projet'!$E$13+1,1))-AVERAGE(OFFSET($H$3,0,0,'Données projet'!$E$13+1,1))</f>
        <v>190.06335940156185</v>
      </c>
      <c r="CZ119" s="59">
        <f t="shared" si="96"/>
        <v>166.43663896839928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0</v>
      </c>
      <c r="DG119" s="21">
        <f>EXP(-LN(2)/25)*DG118+(1-EXP(-LN(2)/25))/(LN(2)/25)*Calculateur!DB119*Calculateur!DD119*VLOOKUP('Données projet'!$B$13,Paramètres!$A$1:$I$89,3,0)*0.475*44/12</f>
        <v>0.41154596194030052</v>
      </c>
      <c r="DH119" s="21">
        <f>EXP(-LN(2)/2)*DH118+(1-EXP(-LN(2)/2))/(LN(2)/2)*DB119*DE119*VLOOKUP('Données projet'!$B$13,Paramètres!$A$1:$I$89,3,0)*0.475*44/12</f>
        <v>6.0554144192091099E-13</v>
      </c>
      <c r="DI119" s="22">
        <f t="shared" si="69"/>
        <v>0.41154596194090604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3.7</v>
      </c>
      <c r="DO119" s="12">
        <f>IF('Données projet'!$A$166&gt;35,DO118+DN119-DW118,IF(A119&lt;'Données projet'!$A$166,$DL$205^A119,IF(A119='Données projet'!$A$166,'Données projet'!$B$166,DO118+DN119-DW118)))</f>
        <v>288.19999999999993</v>
      </c>
      <c r="DP119" s="17">
        <f>DO119*VLOOKUP('Données projet'!$B$14,Paramètres!$A$1:$I$89,3,0)*VLOOKUP('Données projet'!$B$14,Paramètres!$A$1:$I$89,5,0)</f>
        <v>278.74703999999997</v>
      </c>
      <c r="DQ119" s="13">
        <f t="shared" si="97"/>
        <v>66.702153339553263</v>
      </c>
      <c r="DR119" s="20">
        <f t="shared" si="70"/>
        <v>601.65734506638853</v>
      </c>
      <c r="DS119" s="59">
        <f t="shared" si="71"/>
        <v>894.9906783997219</v>
      </c>
      <c r="DT119" s="59">
        <f ca="1">AVERAGE(OFFSET($DS$3,0,0,'Données projet'!$E$14+1,1))-AVERAGE(OFFSET($H$3,0,0,'Données projet'!$E$14+1,1))</f>
        <v>261.22357949323879</v>
      </c>
      <c r="DU119" s="59">
        <f t="shared" si="98"/>
        <v>163.41029152029387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0</v>
      </c>
      <c r="EB119" s="21">
        <f>EXP(-LN(2)/25)*EB118+(1-EXP(-LN(2)/25))/(LN(2)/25)*Calculateur!DW119*Calculateur!DY119*VLOOKUP('Données projet'!$B$14,Paramètres!$A$1:$I$89,3,0)*0.475*44/12</f>
        <v>0.30592383662467443</v>
      </c>
      <c r="EC119" s="21">
        <f>EXP(-LN(2)/2)*EC118+(1-EXP(-LN(2)/2))/(LN(2)/2)*DW119*DZ119*VLOOKUP('Données projet'!$B$14,Paramètres!$A$1:$I$89,3,0)*0.475*44/12</f>
        <v>7.5217479100000489E-13</v>
      </c>
      <c r="ED119" s="22">
        <f t="shared" si="72"/>
        <v>0.3059238366254266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-1.1368683772161603E-13</v>
      </c>
      <c r="EK119" s="17">
        <f>EJ119*VLOOKUP('Données projet'!$B$15,Paramètres!$A$1:$I$89,3,0)*VLOOKUP('Données projet'!$B$15,Paramètres!$A$1:$I$89,5,0)</f>
        <v>-5.3205440053716299E-14</v>
      </c>
      <c r="EL119" s="13" t="e">
        <f t="shared" si="99"/>
        <v>#NUM!</v>
      </c>
      <c r="EM119" s="20" t="e">
        <f t="shared" si="73"/>
        <v>#NUM!</v>
      </c>
      <c r="EN119" s="59" t="e">
        <f t="shared" si="74"/>
        <v>#NUM!</v>
      </c>
      <c r="EO119" s="59">
        <f ca="1">AVERAGE(OFFSET($EN$3,0,0,'Données projet'!$E$15+1,1))-AVERAGE(OFFSET($H$3,0,0,'Données projet'!$E$15+1,1))</f>
        <v>123.60520571614535</v>
      </c>
      <c r="EP119" s="59">
        <f t="shared" si="100"/>
        <v>119.00926870519527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0.15794173774174683</v>
      </c>
      <c r="EW119" s="21">
        <f>EXP(-LN(2)/25)*EW118+(1-EXP(-LN(2)/25))/(LN(2)/25)*Calculateur!ER119*Calculateur!ET119*VLOOKUP('Données projet'!$B$15,Paramètres!$A$1:$I$89,3,0)*0.475*44/12</f>
        <v>0.44013922359223495</v>
      </c>
      <c r="EX119" s="21">
        <f>EXP(-LN(2)/2)*EX118+(1-EXP(-LN(2)/2))/(LN(2)/2)*ER119*EU119*VLOOKUP('Données projet'!$B$15,Paramètres!$A$1:$I$89,3,0)*0.475*44/12</f>
        <v>6.9504841247664279E-13</v>
      </c>
      <c r="EY119" s="22">
        <f t="shared" si="75"/>
        <v>0.59808096133467681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-8.5265128291212022E-14</v>
      </c>
      <c r="FF119" s="17">
        <f>FE119*VLOOKUP('Données projet'!$B$16,Paramètres!$A$1:$I$89,3,0)*VLOOKUP('Données projet'!$B$16,Paramètres!$A$1:$I$89,5,0)</f>
        <v>-6.2516392063116648E-14</v>
      </c>
      <c r="FG119" s="13" t="e">
        <f t="shared" si="101"/>
        <v>#NUM!</v>
      </c>
      <c r="FH119" s="20" t="e">
        <f t="shared" si="76"/>
        <v>#NUM!</v>
      </c>
      <c r="FI119" s="59" t="e">
        <f t="shared" si="77"/>
        <v>#NUM!</v>
      </c>
      <c r="FJ119" s="59">
        <f ca="1">AVERAGE(OFFSET($FI$3,0,0,'Données projet'!$E$16+1,1))-AVERAGE(OFFSET($H$3,0,0,'Données projet'!$E$16+1,1))</f>
        <v>124.15919323713428</v>
      </c>
      <c r="FK119" s="59">
        <f t="shared" si="102"/>
        <v>157.85954678210715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0</v>
      </c>
      <c r="FR119" s="21">
        <f>EXP(-LN(2)/25)*FR118+(1-EXP(-LN(2)/25))/(LN(2)/25)*Calculateur!FM119*Calculateur!FO119*VLOOKUP('Données projet'!$B$16,Paramètres!$A$1:$I$89,3,0)*0.475*44/12</f>
        <v>0.46314046565690831</v>
      </c>
      <c r="FS119" s="21">
        <f>EXP(-LN(2)/2)*FS118+(1-EXP(-LN(2)/2))/(LN(2)/2)*FM119*FP119*VLOOKUP('Données projet'!$B$16,Paramètres!$A$1:$I$89,3,0)*0.475*44/12</f>
        <v>8.3870574451830714E-13</v>
      </c>
      <c r="FT119" s="22">
        <f t="shared" si="78"/>
        <v>0.46314046565774702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3.7</v>
      </c>
      <c r="N120" s="13">
        <f>IF('Données projet'!$A$36&gt;35,N119+M120-V119,IF(A120&lt;'Données projet'!$A$36,$K$205^A120,IF(A120='Données projet'!$A$36,'Données projet'!$B$36,N119+M120-V119)))</f>
        <v>291.89999999999992</v>
      </c>
      <c r="O120" s="13">
        <f>N120*VLOOKUP('Données projet'!$B$9,Paramètres!$A$1:$I$89,3,0)*VLOOKUP('Données projet'!$B$9,Paramètres!$A$1:$I$89,5,0)</f>
        <v>264.11111999999991</v>
      </c>
      <c r="P120" s="13">
        <f t="shared" si="87"/>
        <v>63.59790086687066</v>
      </c>
      <c r="Q120" s="20">
        <f t="shared" si="107"/>
        <v>570.75987800979954</v>
      </c>
      <c r="R120" s="59">
        <f t="shared" si="55"/>
        <v>864.09321134313291</v>
      </c>
      <c r="S120" s="59">
        <f ca="1">AVERAGE(OFFSET($R$3,0,0,'Données projet'!$E$9+1,1))-AVERAGE(OFFSET($H$3,0,0,'Données projet'!$E$9+1,1))</f>
        <v>237.22177246688199</v>
      </c>
      <c r="T120" s="59">
        <f t="shared" si="88"/>
        <v>149.27472147904302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</v>
      </c>
      <c r="AA120" s="21">
        <f>EXP(-LN(2)/25)*AA119+(1-EXP(-LN(2)/25))/(LN(2)/25)*Calculateur!V120*Calculateur!X120*VLOOKUP('Données projet'!$B$9,Paramètres!$A$1:$I$89,3,0)*0.475*44/12</f>
        <v>0.27836102140341251</v>
      </c>
      <c r="AB120" s="21">
        <f>EXP(-LN(2)/2)*AB119+(1-EXP(-LN(2)/2))/(LN(2)/2)*V120*Y120*VLOOKUP('Données projet'!$B$9,Paramètres!$A$1:$I$89,3,0)*0.475*44/12</f>
        <v>4.9755383758892427E-13</v>
      </c>
      <c r="AC120" s="22">
        <f t="shared" si="57"/>
        <v>0.27836102140391006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-8.5265128291212022E-14</v>
      </c>
      <c r="AJ120" s="13">
        <f>AI120*VLOOKUP('Données projet'!$B$10,Paramètres!$A$1:$I$89,3,0)*VLOOKUP('Données projet'!$B$10,Paramètres!$A$1:$I$89,5,0)</f>
        <v>-7.4487616075202836E-14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191.94797389630673</v>
      </c>
      <c r="AO120" s="59">
        <f t="shared" si="90"/>
        <v>273.52540822767878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0.45966911027461077</v>
      </c>
      <c r="AV120" s="21">
        <f>EXP(-LN(2)/25)*AV119+(1-EXP(-LN(2)/25))/(LN(2)/25)*Calculateur!AQ120*Calculateur!AS120*VLOOKUP('Données projet'!$B$10,Paramètres!$A$1:$I$89,3,0)*0.475*44/12</f>
        <v>1.2590262450457994</v>
      </c>
      <c r="AW120" s="21">
        <f>EXP(-LN(2)/2)*AW119+(1-EXP(-LN(2)/2))/(LN(2)/2)*AQ120*AT120*VLOOKUP('Données projet'!$B$10,Paramètres!$A$1:$I$89,3,0)*0.475*44/12</f>
        <v>1.8652648503571466E-12</v>
      </c>
      <c r="AX120" s="21">
        <f t="shared" si="60"/>
        <v>1.7186953553222755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72.647148358003676</v>
      </c>
      <c r="BJ120" s="59">
        <f t="shared" si="92"/>
        <v>87.231299224620898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0.22718343064867869</v>
      </c>
      <c r="BQ120" s="21">
        <f>EXP(-LN(2)/25)*BQ119+(1-EXP(-LN(2)/25))/(LN(2)/25)*Calculateur!BL120*Calculateur!BN120*VLOOKUP('Données projet'!$B$11,Paramètres!$A$1:$I$89,3,0)*0.475*44/12</f>
        <v>0.4060896687722248</v>
      </c>
      <c r="BR120" s="21">
        <f>EXP(-LN(2)/2)*BR119+(1-EXP(-LN(2)/2))/(LN(2)/2)*BL120*BO120*VLOOKUP('Données projet'!$B$11,Paramètres!$A$1:$I$89,3,0)*0.475*44/12</f>
        <v>1.8335835090933099E-13</v>
      </c>
      <c r="BS120" s="22">
        <f t="shared" si="63"/>
        <v>0.63327309942108689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5.6843418860808015E-14</v>
      </c>
      <c r="BZ120" s="13">
        <f>BY120*VLOOKUP('Données projet'!$B$12,Paramètres!$A$1:$I$89,3,0)*VLOOKUP('Données projet'!$B$12,Paramètres!$A$1:$I$89,5,0)</f>
        <v>3.3992364478763198E-14</v>
      </c>
      <c r="CA120" s="13">
        <f t="shared" si="93"/>
        <v>5.790027782444094E-13</v>
      </c>
      <c r="CB120" s="20">
        <f t="shared" si="64"/>
        <v>1.0676332069095257E-12</v>
      </c>
      <c r="CC120" s="59">
        <f t="shared" si="65"/>
        <v>293.33333333333439</v>
      </c>
      <c r="CD120" s="59">
        <f ca="1">AVERAGE(OFFSET($CC$3,0,0,'Données projet'!$E$12+1,1))-AVERAGE(OFFSET($H$3,0,0,'Données projet'!$E$12+1,1))</f>
        <v>165.39579887388538</v>
      </c>
      <c r="CE120" s="59">
        <f t="shared" si="94"/>
        <v>155.89639262545802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</v>
      </c>
      <c r="CL120" s="21">
        <f>EXP(-LN(2)/25)*CL119+(1-EXP(-LN(2)/25))/(LN(2)/25)*Calculateur!CG120*Calculateur!CI120*VLOOKUP('Données projet'!$B$12,Paramètres!$A$1:$I$89,3,0)*0.475*44/12</f>
        <v>0.65327820939931891</v>
      </c>
      <c r="CM120" s="21">
        <f>EXP(-LN(2)/2)*CM119+(1-EXP(-LN(2)/2))/(LN(2)/2)*CG120*CJ120*VLOOKUP('Données projet'!$B$12,Paramètres!$A$1:$I$89,3,0)*0.475*44/12</f>
        <v>1.1157984990400849E-12</v>
      </c>
      <c r="CN120" s="22">
        <f t="shared" si="66"/>
        <v>0.65327820940043468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3.4106051316484809E-13</v>
      </c>
      <c r="CU120" s="17">
        <f>CT120*VLOOKUP('Données projet'!$B$13,Paramètres!$A$1:$I$89,3,0)*VLOOKUP('Données projet'!$B$13,Paramètres!$A$1:$I$89,5,0)</f>
        <v>2.6602720026858149E-13</v>
      </c>
      <c r="CV120" s="13">
        <f t="shared" si="95"/>
        <v>3.5662905043956649E-12</v>
      </c>
      <c r="CW120" s="20">
        <f t="shared" si="67"/>
        <v>6.6746200022902298E-12</v>
      </c>
      <c r="CX120" s="59">
        <f t="shared" si="68"/>
        <v>293.33333333333997</v>
      </c>
      <c r="CY120" s="59">
        <f ca="1">AVERAGE(OFFSET($CX$3,0,0,'Données projet'!$E$13+1,1))-AVERAGE(OFFSET($H$3,0,0,'Données projet'!$E$13+1,1))</f>
        <v>190.06335940156185</v>
      </c>
      <c r="CZ120" s="59">
        <f t="shared" si="96"/>
        <v>166.43663896839928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0</v>
      </c>
      <c r="DG120" s="21">
        <f>EXP(-LN(2)/25)*DG119+(1-EXP(-LN(2)/25))/(LN(2)/25)*Calculateur!DB120*Calculateur!DD120*VLOOKUP('Données projet'!$B$13,Paramètres!$A$1:$I$89,3,0)*0.475*44/12</f>
        <v>0.40029221596878145</v>
      </c>
      <c r="DH120" s="21">
        <f>EXP(-LN(2)/2)*DH119+(1-EXP(-LN(2)/2))/(LN(2)/2)*DB120*DE120*VLOOKUP('Données projet'!$B$13,Paramètres!$A$1:$I$89,3,0)*0.475*44/12</f>
        <v>4.2818245987175609E-13</v>
      </c>
      <c r="DI120" s="22">
        <f t="shared" si="69"/>
        <v>0.40029221596920961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3.7</v>
      </c>
      <c r="DO120" s="12">
        <f>IF('Données projet'!$A$166&gt;35,DO119+DN120-DW119,IF(A120&lt;'Données projet'!$A$166,$DL$205^A120,IF(A120='Données projet'!$A$166,'Données projet'!$B$166,DO119+DN120-DW119)))</f>
        <v>291.89999999999992</v>
      </c>
      <c r="DP120" s="17">
        <f>DO120*VLOOKUP('Données projet'!$B$14,Paramètres!$A$1:$I$89,3,0)*VLOOKUP('Données projet'!$B$14,Paramètres!$A$1:$I$89,5,0)</f>
        <v>282.32567999999992</v>
      </c>
      <c r="DQ120" s="13">
        <f t="shared" si="97"/>
        <v>67.458255064230045</v>
      </c>
      <c r="DR120" s="20">
        <f t="shared" si="70"/>
        <v>609.20702023686715</v>
      </c>
      <c r="DS120" s="59">
        <f t="shared" si="71"/>
        <v>902.54035357020052</v>
      </c>
      <c r="DT120" s="59">
        <f ca="1">AVERAGE(OFFSET($DS$3,0,0,'Données projet'!$E$14+1,1))-AVERAGE(OFFSET($H$3,0,0,'Données projet'!$E$14+1,1))</f>
        <v>261.22357949323879</v>
      </c>
      <c r="DU120" s="59">
        <f t="shared" si="98"/>
        <v>163.41029152029387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0</v>
      </c>
      <c r="EB120" s="21">
        <f>EXP(-LN(2)/25)*EB119+(1-EXP(-LN(2)/25))/(LN(2)/25)*Calculateur!DW120*Calculateur!DY120*VLOOKUP('Données projet'!$B$14,Paramètres!$A$1:$I$89,3,0)*0.475*44/12</f>
        <v>0.29755833322433733</v>
      </c>
      <c r="EC120" s="21">
        <f>EXP(-LN(2)/2)*EC119+(1-EXP(-LN(2)/2))/(LN(2)/2)*DW120*DZ120*VLOOKUP('Données projet'!$B$14,Paramètres!$A$1:$I$89,3,0)*0.475*44/12</f>
        <v>5.3186789535367756E-13</v>
      </c>
      <c r="ED120" s="22">
        <f t="shared" si="72"/>
        <v>0.29755833322486919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-1.1368683772161603E-13</v>
      </c>
      <c r="EK120" s="17">
        <f>EJ120*VLOOKUP('Données projet'!$B$15,Paramètres!$A$1:$I$89,3,0)*VLOOKUP('Données projet'!$B$15,Paramètres!$A$1:$I$89,5,0)</f>
        <v>-5.3205440053716299E-14</v>
      </c>
      <c r="EL120" s="13" t="e">
        <f t="shared" si="99"/>
        <v>#NUM!</v>
      </c>
      <c r="EM120" s="20" t="e">
        <f t="shared" si="73"/>
        <v>#NUM!</v>
      </c>
      <c r="EN120" s="59" t="e">
        <f t="shared" si="74"/>
        <v>#NUM!</v>
      </c>
      <c r="EO120" s="59">
        <f ca="1">AVERAGE(OFFSET($EN$3,0,0,'Données projet'!$E$15+1,1))-AVERAGE(OFFSET($H$3,0,0,'Données projet'!$E$15+1,1))</f>
        <v>123.60520571614535</v>
      </c>
      <c r="EP120" s="59">
        <f t="shared" si="100"/>
        <v>119.00926870519527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0.15484459659957892</v>
      </c>
      <c r="EW120" s="21">
        <f>EXP(-LN(2)/25)*EW119+(1-EXP(-LN(2)/25))/(LN(2)/25)*Calculateur!ER120*Calculateur!ET120*VLOOKUP('Données projet'!$B$15,Paramètres!$A$1:$I$89,3,0)*0.475*44/12</f>
        <v>0.42810359337718945</v>
      </c>
      <c r="EX120" s="21">
        <f>EXP(-LN(2)/2)*EX119+(1-EXP(-LN(2)/2))/(LN(2)/2)*ER120*EU120*VLOOKUP('Données projet'!$B$15,Paramètres!$A$1:$I$89,3,0)*0.475*44/12</f>
        <v>4.9147344571517868E-13</v>
      </c>
      <c r="EY120" s="22">
        <f t="shared" si="75"/>
        <v>0.58294818997725983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-8.5265128291212022E-14</v>
      </c>
      <c r="FF120" s="17">
        <f>FE120*VLOOKUP('Données projet'!$B$16,Paramètres!$A$1:$I$89,3,0)*VLOOKUP('Données projet'!$B$16,Paramètres!$A$1:$I$89,5,0)</f>
        <v>-6.2516392063116648E-14</v>
      </c>
      <c r="FG120" s="13" t="e">
        <f t="shared" si="101"/>
        <v>#NUM!</v>
      </c>
      <c r="FH120" s="20" t="e">
        <f t="shared" si="76"/>
        <v>#NUM!</v>
      </c>
      <c r="FI120" s="59" t="e">
        <f t="shared" si="77"/>
        <v>#NUM!</v>
      </c>
      <c r="FJ120" s="59">
        <f ca="1">AVERAGE(OFFSET($FI$3,0,0,'Données projet'!$E$16+1,1))-AVERAGE(OFFSET($H$3,0,0,'Données projet'!$E$16+1,1))</f>
        <v>124.15919323713428</v>
      </c>
      <c r="FK120" s="59">
        <f t="shared" si="102"/>
        <v>157.85954678210715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0</v>
      </c>
      <c r="FR120" s="21">
        <f>EXP(-LN(2)/25)*FR119+(1-EXP(-LN(2)/25))/(LN(2)/25)*Calculateur!FM120*Calculateur!FO120*VLOOKUP('Données projet'!$B$16,Paramètres!$A$1:$I$89,3,0)*0.475*44/12</f>
        <v>0.45047586526802158</v>
      </c>
      <c r="FS120" s="21">
        <f>EXP(-LN(2)/2)*FS119+(1-EXP(-LN(2)/2))/(LN(2)/2)*FM120*FP120*VLOOKUP('Données projet'!$B$16,Paramètres!$A$1:$I$89,3,0)*0.475*44/12</f>
        <v>5.9305451936900703E-13</v>
      </c>
      <c r="FT120" s="22">
        <f t="shared" si="78"/>
        <v>0.45047586526861466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3.7</v>
      </c>
      <c r="N121" s="13">
        <f>IF('Données projet'!$A$36&gt;35,N120+M121-V120,IF(A121&lt;'Données projet'!$A$36,$K$205^A121,IF(A121='Données projet'!$A$36,'Données projet'!$B$36,N120+M121-V120)))</f>
        <v>295.59999999999991</v>
      </c>
      <c r="O121" s="13">
        <f>N121*VLOOKUP('Données projet'!$B$9,Paramètres!$A$1:$I$89,3,0)*VLOOKUP('Données projet'!$B$9,Paramètres!$A$1:$I$89,5,0)</f>
        <v>267.45887999999991</v>
      </c>
      <c r="P121" s="13">
        <f t="shared" si="87"/>
        <v>64.309683053152384</v>
      </c>
      <c r="Q121" s="20">
        <f t="shared" si="107"/>
        <v>577.83024731757359</v>
      </c>
      <c r="R121" s="59">
        <f t="shared" si="55"/>
        <v>871.16358065090685</v>
      </c>
      <c r="S121" s="59">
        <f ca="1">AVERAGE(OFFSET($R$3,0,0,'Données projet'!$E$9+1,1))-AVERAGE(OFFSET($H$3,0,0,'Données projet'!$E$9+1,1))</f>
        <v>237.22177246688199</v>
      </c>
      <c r="T121" s="59">
        <f t="shared" si="88"/>
        <v>149.27472147904302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</v>
      </c>
      <c r="AA121" s="21">
        <f>EXP(-LN(2)/25)*AA120+(1-EXP(-LN(2)/25))/(LN(2)/25)*Calculateur!V121*Calculateur!X121*VLOOKUP('Données projet'!$B$9,Paramètres!$A$1:$I$89,3,0)*0.475*44/12</f>
        <v>0.27074922463476631</v>
      </c>
      <c r="AB121" s="21">
        <f>EXP(-LN(2)/2)*AB120+(1-EXP(-LN(2)/2))/(LN(2)/2)*V121*Y121*VLOOKUP('Données projet'!$B$9,Paramètres!$A$1:$I$89,3,0)*0.475*44/12</f>
        <v>3.5182369256451848E-13</v>
      </c>
      <c r="AC121" s="22">
        <f t="shared" si="57"/>
        <v>0.27074922463511814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-8.5265128291212022E-14</v>
      </c>
      <c r="AJ121" s="13">
        <f>AI121*VLOOKUP('Données projet'!$B$10,Paramètres!$A$1:$I$89,3,0)*VLOOKUP('Données projet'!$B$10,Paramètres!$A$1:$I$89,5,0)</f>
        <v>-7.4487616075202836E-14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191.94797389630673</v>
      </c>
      <c r="AO121" s="59">
        <f t="shared" si="90"/>
        <v>273.52540822767878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0.45065527939259864</v>
      </c>
      <c r="AV121" s="21">
        <f>EXP(-LN(2)/25)*AV120+(1-EXP(-LN(2)/25))/(LN(2)/25)*Calculateur!AQ121*Calculateur!AS121*VLOOKUP('Données projet'!$B$10,Paramètres!$A$1:$I$89,3,0)*0.475*44/12</f>
        <v>1.2245981061657094</v>
      </c>
      <c r="AW121" s="21">
        <f>EXP(-LN(2)/2)*AW120+(1-EXP(-LN(2)/2))/(LN(2)/2)*AQ121*AT121*VLOOKUP('Données projet'!$B$10,Paramètres!$A$1:$I$89,3,0)*0.475*44/12</f>
        <v>1.3189414243964492E-12</v>
      </c>
      <c r="AX121" s="21">
        <f t="shared" si="60"/>
        <v>1.675253385559627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72.647148358003676</v>
      </c>
      <c r="BJ121" s="59">
        <f t="shared" si="92"/>
        <v>87.231299224620898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0.22272850214186832</v>
      </c>
      <c r="BQ121" s="21">
        <f>EXP(-LN(2)/25)*BQ120+(1-EXP(-LN(2)/25))/(LN(2)/25)*Calculateur!BL121*Calculateur!BN121*VLOOKUP('Données projet'!$B$11,Paramètres!$A$1:$I$89,3,0)*0.475*44/12</f>
        <v>0.39498512542432074</v>
      </c>
      <c r="BR121" s="21">
        <f>EXP(-LN(2)/2)*BR120+(1-EXP(-LN(2)/2))/(LN(2)/2)*BL121*BO121*VLOOKUP('Données projet'!$B$11,Paramètres!$A$1:$I$89,3,0)*0.475*44/12</f>
        <v>1.2965393331517051E-13</v>
      </c>
      <c r="BS121" s="22">
        <f t="shared" si="63"/>
        <v>0.61771362756631876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5.6843418860808015E-14</v>
      </c>
      <c r="BZ121" s="13">
        <f>BY121*VLOOKUP('Données projet'!$B$12,Paramètres!$A$1:$I$89,3,0)*VLOOKUP('Données projet'!$B$12,Paramètres!$A$1:$I$89,5,0)</f>
        <v>3.3992364478763198E-14</v>
      </c>
      <c r="CA121" s="13">
        <f t="shared" si="93"/>
        <v>5.790027782444094E-13</v>
      </c>
      <c r="CB121" s="20">
        <f t="shared" si="64"/>
        <v>1.0676332069095257E-12</v>
      </c>
      <c r="CC121" s="59">
        <f t="shared" si="65"/>
        <v>293.33333333333439</v>
      </c>
      <c r="CD121" s="59">
        <f ca="1">AVERAGE(OFFSET($CC$3,0,0,'Données projet'!$E$12+1,1))-AVERAGE(OFFSET($H$3,0,0,'Données projet'!$E$12+1,1))</f>
        <v>165.39579887388538</v>
      </c>
      <c r="CE121" s="59">
        <f t="shared" si="94"/>
        <v>155.89639262545802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</v>
      </c>
      <c r="CL121" s="21">
        <f>EXP(-LN(2)/25)*CL120+(1-EXP(-LN(2)/25))/(LN(2)/25)*Calculateur!CG121*Calculateur!CI121*VLOOKUP('Données projet'!$B$12,Paramètres!$A$1:$I$89,3,0)*0.475*44/12</f>
        <v>0.63541428240888664</v>
      </c>
      <c r="CM121" s="21">
        <f>EXP(-LN(2)/2)*CM120+(1-EXP(-LN(2)/2))/(LN(2)/2)*CG121*CJ121*VLOOKUP('Données projet'!$B$12,Paramètres!$A$1:$I$89,3,0)*0.475*44/12</f>
        <v>7.8898868510901546E-13</v>
      </c>
      <c r="CN121" s="22">
        <f t="shared" si="66"/>
        <v>0.63541428240967568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3.4106051316484809E-13</v>
      </c>
      <c r="CU121" s="17">
        <f>CT121*VLOOKUP('Données projet'!$B$13,Paramètres!$A$1:$I$89,3,0)*VLOOKUP('Données projet'!$B$13,Paramètres!$A$1:$I$89,5,0)</f>
        <v>2.6602720026858149E-13</v>
      </c>
      <c r="CV121" s="13">
        <f t="shared" si="95"/>
        <v>3.5662905043956649E-12</v>
      </c>
      <c r="CW121" s="20">
        <f t="shared" si="67"/>
        <v>6.6746200022902298E-12</v>
      </c>
      <c r="CX121" s="59">
        <f t="shared" si="68"/>
        <v>293.33333333333997</v>
      </c>
      <c r="CY121" s="59">
        <f ca="1">AVERAGE(OFFSET($CX$3,0,0,'Données projet'!$E$13+1,1))-AVERAGE(OFFSET($H$3,0,0,'Données projet'!$E$13+1,1))</f>
        <v>190.06335940156185</v>
      </c>
      <c r="CZ121" s="59">
        <f t="shared" si="96"/>
        <v>166.43663896839928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0</v>
      </c>
      <c r="DG121" s="21">
        <f>EXP(-LN(2)/25)*DG120+(1-EXP(-LN(2)/25))/(LN(2)/25)*Calculateur!DB121*Calculateur!DD121*VLOOKUP('Données projet'!$B$13,Paramètres!$A$1:$I$89,3,0)*0.475*44/12</f>
        <v>0.38934620427266237</v>
      </c>
      <c r="DH121" s="21">
        <f>EXP(-LN(2)/2)*DH120+(1-EXP(-LN(2)/2))/(LN(2)/2)*DB121*DE121*VLOOKUP('Données projet'!$B$13,Paramètres!$A$1:$I$89,3,0)*0.475*44/12</f>
        <v>3.027707209604555E-13</v>
      </c>
      <c r="DI121" s="22">
        <f t="shared" si="69"/>
        <v>0.38934620427296512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3.7</v>
      </c>
      <c r="DO121" s="12">
        <f>IF('Données projet'!$A$166&gt;35,DO120+DN121-DW120,IF(A121&lt;'Données projet'!$A$166,$DL$205^A121,IF(A121='Données projet'!$A$166,'Données projet'!$B$166,DO120+DN121-DW120)))</f>
        <v>295.59999999999991</v>
      </c>
      <c r="DP121" s="17">
        <f>DO121*VLOOKUP('Données projet'!$B$14,Paramètres!$A$1:$I$89,3,0)*VLOOKUP('Données projet'!$B$14,Paramètres!$A$1:$I$89,5,0)</f>
        <v>285.90431999999993</v>
      </c>
      <c r="DQ121" s="13">
        <f t="shared" si="97"/>
        <v>68.21324199961451</v>
      </c>
      <c r="DR121" s="20">
        <f t="shared" si="70"/>
        <v>616.75475381599517</v>
      </c>
      <c r="DS121" s="59">
        <f t="shared" si="71"/>
        <v>910.08808714932843</v>
      </c>
      <c r="DT121" s="59">
        <f ca="1">AVERAGE(OFFSET($DS$3,0,0,'Données projet'!$E$14+1,1))-AVERAGE(OFFSET($H$3,0,0,'Données projet'!$E$14+1,1))</f>
        <v>261.22357949323879</v>
      </c>
      <c r="DU121" s="59">
        <f t="shared" si="98"/>
        <v>163.41029152029387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0</v>
      </c>
      <c r="EB121" s="21">
        <f>EXP(-LN(2)/25)*EB120+(1-EXP(-LN(2)/25))/(LN(2)/25)*Calculateur!DW121*Calculateur!DY121*VLOOKUP('Données projet'!$B$14,Paramètres!$A$1:$I$89,3,0)*0.475*44/12</f>
        <v>0.28942158495440518</v>
      </c>
      <c r="EC121" s="21">
        <f>EXP(-LN(2)/2)*EC120+(1-EXP(-LN(2)/2))/(LN(2)/2)*DW121*DZ121*VLOOKUP('Données projet'!$B$14,Paramètres!$A$1:$I$89,3,0)*0.475*44/12</f>
        <v>3.7608739550000244E-13</v>
      </c>
      <c r="ED121" s="22">
        <f t="shared" si="72"/>
        <v>0.28942158495478126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-1.1368683772161603E-13</v>
      </c>
      <c r="EK121" s="17">
        <f>EJ121*VLOOKUP('Données projet'!$B$15,Paramètres!$A$1:$I$89,3,0)*VLOOKUP('Données projet'!$B$15,Paramètres!$A$1:$I$89,5,0)</f>
        <v>-5.3205440053716299E-14</v>
      </c>
      <c r="EL121" s="13" t="e">
        <f t="shared" si="99"/>
        <v>#NUM!</v>
      </c>
      <c r="EM121" s="20" t="e">
        <f t="shared" si="73"/>
        <v>#NUM!</v>
      </c>
      <c r="EN121" s="59" t="e">
        <f t="shared" si="74"/>
        <v>#NUM!</v>
      </c>
      <c r="EO121" s="59">
        <f ca="1">AVERAGE(OFFSET($EN$3,0,0,'Données projet'!$E$15+1,1))-AVERAGE(OFFSET($H$3,0,0,'Données projet'!$E$15+1,1))</f>
        <v>123.60520571614535</v>
      </c>
      <c r="EP121" s="59">
        <f t="shared" si="100"/>
        <v>119.00926870519527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0.15180818850613934</v>
      </c>
      <c r="EW121" s="21">
        <f>EXP(-LN(2)/25)*EW120+(1-EXP(-LN(2)/25))/(LN(2)/25)*Calculateur!ER121*Calculateur!ET121*VLOOKUP('Données projet'!$B$15,Paramètres!$A$1:$I$89,3,0)*0.475*44/12</f>
        <v>0.41639707810330068</v>
      </c>
      <c r="EX121" s="21">
        <f>EXP(-LN(2)/2)*EX120+(1-EXP(-LN(2)/2))/(LN(2)/2)*ER121*EU121*VLOOKUP('Données projet'!$B$15,Paramètres!$A$1:$I$89,3,0)*0.475*44/12</f>
        <v>3.475242062383214E-13</v>
      </c>
      <c r="EY121" s="22">
        <f t="shared" si="75"/>
        <v>0.56820526660978754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-8.5265128291212022E-14</v>
      </c>
      <c r="FF121" s="17">
        <f>FE121*VLOOKUP('Données projet'!$B$16,Paramètres!$A$1:$I$89,3,0)*VLOOKUP('Données projet'!$B$16,Paramètres!$A$1:$I$89,5,0)</f>
        <v>-6.2516392063116648E-14</v>
      </c>
      <c r="FG121" s="13" t="e">
        <f t="shared" si="101"/>
        <v>#NUM!</v>
      </c>
      <c r="FH121" s="20" t="e">
        <f t="shared" si="76"/>
        <v>#NUM!</v>
      </c>
      <c r="FI121" s="59" t="e">
        <f t="shared" si="77"/>
        <v>#NUM!</v>
      </c>
      <c r="FJ121" s="59">
        <f ca="1">AVERAGE(OFFSET($FI$3,0,0,'Données projet'!$E$16+1,1))-AVERAGE(OFFSET($H$3,0,0,'Données projet'!$E$16+1,1))</f>
        <v>124.15919323713428</v>
      </c>
      <c r="FK121" s="59">
        <f t="shared" si="102"/>
        <v>157.85954678210715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0</v>
      </c>
      <c r="FR121" s="21">
        <f>EXP(-LN(2)/25)*FR120+(1-EXP(-LN(2)/25))/(LN(2)/25)*Calculateur!FM121*Calculateur!FO121*VLOOKUP('Données projet'!$B$16,Paramètres!$A$1:$I$89,3,0)*0.475*44/12</f>
        <v>0.43815757904277136</v>
      </c>
      <c r="FS121" s="21">
        <f>EXP(-LN(2)/2)*FS120+(1-EXP(-LN(2)/2))/(LN(2)/2)*FM121*FP121*VLOOKUP('Données projet'!$B$16,Paramètres!$A$1:$I$89,3,0)*0.475*44/12</f>
        <v>4.1935287225915357E-13</v>
      </c>
      <c r="FT121" s="22">
        <f t="shared" si="78"/>
        <v>0.43815757904319069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3.7</v>
      </c>
      <c r="N122" s="13">
        <f>IF('Données projet'!$A$36&gt;35,N121+M122-V121,IF(A122&lt;'Données projet'!$A$36,$K$205^A122,IF(A122='Données projet'!$A$36,'Données projet'!$B$36,N121+M122-V121)))</f>
        <v>299.2999999999999</v>
      </c>
      <c r="O122" s="13">
        <f>N122*VLOOKUP('Données projet'!$B$9,Paramètres!$A$1:$I$89,3,0)*VLOOKUP('Données projet'!$B$9,Paramètres!$A$1:$I$89,5,0)</f>
        <v>270.8066399999999</v>
      </c>
      <c r="P122" s="13">
        <f t="shared" si="87"/>
        <v>65.020428921429911</v>
      </c>
      <c r="Q122" s="20">
        <f t="shared" si="107"/>
        <v>584.89881170482352</v>
      </c>
      <c r="R122" s="59">
        <f t="shared" si="55"/>
        <v>878.23214503815689</v>
      </c>
      <c r="S122" s="59">
        <f ca="1">AVERAGE(OFFSET($R$3,0,0,'Données projet'!$E$9+1,1))-AVERAGE(OFFSET($H$3,0,0,'Données projet'!$E$9+1,1))</f>
        <v>237.22177246688199</v>
      </c>
      <c r="T122" s="59">
        <f t="shared" si="88"/>
        <v>149.27472147904302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</v>
      </c>
      <c r="AA122" s="21">
        <f>EXP(-LN(2)/25)*AA121+(1-EXP(-LN(2)/25))/(LN(2)/25)*Calculateur!V122*Calculateur!X122*VLOOKUP('Données projet'!$B$9,Paramètres!$A$1:$I$89,3,0)*0.475*44/12</f>
        <v>0.26334557284904569</v>
      </c>
      <c r="AB122" s="21">
        <f>EXP(-LN(2)/2)*AB121+(1-EXP(-LN(2)/2))/(LN(2)/2)*V122*Y122*VLOOKUP('Données projet'!$B$9,Paramètres!$A$1:$I$89,3,0)*0.475*44/12</f>
        <v>2.4877691879446213E-13</v>
      </c>
      <c r="AC122" s="22">
        <f t="shared" si="57"/>
        <v>0.2633455728492945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-8.5265128291212022E-14</v>
      </c>
      <c r="AJ122" s="13">
        <f>AI122*VLOOKUP('Données projet'!$B$10,Paramètres!$A$1:$I$89,3,0)*VLOOKUP('Données projet'!$B$10,Paramètres!$A$1:$I$89,5,0)</f>
        <v>-7.4487616075202836E-14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191.94797389630673</v>
      </c>
      <c r="AO122" s="59">
        <f t="shared" si="90"/>
        <v>273.52540822767878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0.44181820423628881</v>
      </c>
      <c r="AV122" s="21">
        <f>EXP(-LN(2)/25)*AV121+(1-EXP(-LN(2)/25))/(LN(2)/25)*Calculateur!AQ122*Calculateur!AS122*VLOOKUP('Données projet'!$B$10,Paramètres!$A$1:$I$89,3,0)*0.475*44/12</f>
        <v>1.1911114065537924</v>
      </c>
      <c r="AW122" s="21">
        <f>EXP(-LN(2)/2)*AW121+(1-EXP(-LN(2)/2))/(LN(2)/2)*AQ122*AT122*VLOOKUP('Données projet'!$B$10,Paramètres!$A$1:$I$89,3,0)*0.475*44/12</f>
        <v>9.3263242517857329E-13</v>
      </c>
      <c r="AX122" s="21">
        <f t="shared" si="60"/>
        <v>1.6329296107910138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72.647148358003676</v>
      </c>
      <c r="BJ122" s="59">
        <f t="shared" si="92"/>
        <v>87.231299224620898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0.21836093206583843</v>
      </c>
      <c r="BQ122" s="21">
        <f>EXP(-LN(2)/25)*BQ121+(1-EXP(-LN(2)/25))/(LN(2)/25)*Calculateur!BL122*Calculateur!BN122*VLOOKUP('Données projet'!$B$11,Paramètres!$A$1:$I$89,3,0)*0.475*44/12</f>
        <v>0.38418423639822769</v>
      </c>
      <c r="BR122" s="21">
        <f>EXP(-LN(2)/2)*BR121+(1-EXP(-LN(2)/2))/(LN(2)/2)*BL122*BO122*VLOOKUP('Données projet'!$B$11,Paramètres!$A$1:$I$89,3,0)*0.475*44/12</f>
        <v>9.1679175454665496E-14</v>
      </c>
      <c r="BS122" s="22">
        <f t="shared" si="63"/>
        <v>0.60254516846415784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5.6843418860808015E-14</v>
      </c>
      <c r="BZ122" s="13">
        <f>BY122*VLOOKUP('Données projet'!$B$12,Paramètres!$A$1:$I$89,3,0)*VLOOKUP('Données projet'!$B$12,Paramètres!$A$1:$I$89,5,0)</f>
        <v>3.3992364478763198E-14</v>
      </c>
      <c r="CA122" s="13">
        <f t="shared" si="93"/>
        <v>5.790027782444094E-13</v>
      </c>
      <c r="CB122" s="20">
        <f t="shared" si="64"/>
        <v>1.0676332069095257E-12</v>
      </c>
      <c r="CC122" s="59">
        <f t="shared" si="65"/>
        <v>293.33333333333439</v>
      </c>
      <c r="CD122" s="59">
        <f ca="1">AVERAGE(OFFSET($CC$3,0,0,'Données projet'!$E$12+1,1))-AVERAGE(OFFSET($H$3,0,0,'Données projet'!$E$12+1,1))</f>
        <v>165.39579887388538</v>
      </c>
      <c r="CE122" s="59">
        <f t="shared" si="94"/>
        <v>155.89639262545802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</v>
      </c>
      <c r="CL122" s="21">
        <f>EXP(-LN(2)/25)*CL121+(1-EXP(-LN(2)/25))/(LN(2)/25)*Calculateur!CG122*Calculateur!CI122*VLOOKUP('Données projet'!$B$12,Paramètres!$A$1:$I$89,3,0)*0.475*44/12</f>
        <v>0.61803884544143084</v>
      </c>
      <c r="CM122" s="21">
        <f>EXP(-LN(2)/2)*CM121+(1-EXP(-LN(2)/2))/(LN(2)/2)*CG122*CJ122*VLOOKUP('Données projet'!$B$12,Paramètres!$A$1:$I$89,3,0)*0.475*44/12</f>
        <v>5.5789924952004243E-13</v>
      </c>
      <c r="CN122" s="22">
        <f t="shared" si="66"/>
        <v>0.61803884544198873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3.4106051316484809E-13</v>
      </c>
      <c r="CU122" s="17">
        <f>CT122*VLOOKUP('Données projet'!$B$13,Paramètres!$A$1:$I$89,3,0)*VLOOKUP('Données projet'!$B$13,Paramètres!$A$1:$I$89,5,0)</f>
        <v>2.6602720026858149E-13</v>
      </c>
      <c r="CV122" s="13">
        <f t="shared" si="95"/>
        <v>3.5662905043956649E-12</v>
      </c>
      <c r="CW122" s="20">
        <f t="shared" si="67"/>
        <v>6.6746200022902298E-12</v>
      </c>
      <c r="CX122" s="59">
        <f t="shared" si="68"/>
        <v>293.33333333333997</v>
      </c>
      <c r="CY122" s="59">
        <f ca="1">AVERAGE(OFFSET($CX$3,0,0,'Données projet'!$E$13+1,1))-AVERAGE(OFFSET($H$3,0,0,'Données projet'!$E$13+1,1))</f>
        <v>190.06335940156185</v>
      </c>
      <c r="CZ122" s="59">
        <f t="shared" si="96"/>
        <v>166.43663896839928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0</v>
      </c>
      <c r="DG122" s="21">
        <f>EXP(-LN(2)/25)*DG121+(1-EXP(-LN(2)/25))/(LN(2)/25)*Calculateur!DB122*Calculateur!DD122*VLOOKUP('Données projet'!$B$13,Paramètres!$A$1:$I$89,3,0)*0.475*44/12</f>
        <v>0.3786995118419994</v>
      </c>
      <c r="DH122" s="21">
        <f>EXP(-LN(2)/2)*DH121+(1-EXP(-LN(2)/2))/(LN(2)/2)*DB122*DE122*VLOOKUP('Données projet'!$B$13,Paramètres!$A$1:$I$89,3,0)*0.475*44/12</f>
        <v>2.1409122993587805E-13</v>
      </c>
      <c r="DI122" s="22">
        <f t="shared" si="69"/>
        <v>0.37869951184221351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3.7</v>
      </c>
      <c r="DO122" s="12">
        <f>IF('Données projet'!$A$166&gt;35,DO121+DN122-DW121,IF(A122&lt;'Données projet'!$A$166,$DL$205^A122,IF(A122='Données projet'!$A$166,'Données projet'!$B$166,DO121+DN122-DW121)))</f>
        <v>299.2999999999999</v>
      </c>
      <c r="DP122" s="17">
        <f>DO122*VLOOKUP('Données projet'!$B$14,Paramètres!$A$1:$I$89,3,0)*VLOOKUP('Données projet'!$B$14,Paramètres!$A$1:$I$89,5,0)</f>
        <v>289.48295999999993</v>
      </c>
      <c r="DQ122" s="13">
        <f t="shared" si="97"/>
        <v>68.967129713117529</v>
      </c>
      <c r="DR122" s="20">
        <f t="shared" si="70"/>
        <v>624.3005729170128</v>
      </c>
      <c r="DS122" s="59">
        <f t="shared" si="71"/>
        <v>917.63390625034617</v>
      </c>
      <c r="DT122" s="59">
        <f ca="1">AVERAGE(OFFSET($DS$3,0,0,'Données projet'!$E$14+1,1))-AVERAGE(OFFSET($H$3,0,0,'Données projet'!$E$14+1,1))</f>
        <v>261.22357949323879</v>
      </c>
      <c r="DU122" s="59">
        <f t="shared" si="98"/>
        <v>163.41029152029387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0</v>
      </c>
      <c r="EB122" s="21">
        <f>EXP(-LN(2)/25)*EB121+(1-EXP(-LN(2)/25))/(LN(2)/25)*Calculateur!DW122*Calculateur!DY122*VLOOKUP('Données projet'!$B$14,Paramètres!$A$1:$I$89,3,0)*0.475*44/12</f>
        <v>0.28150733649380727</v>
      </c>
      <c r="EC122" s="21">
        <f>EXP(-LN(2)/2)*EC121+(1-EXP(-LN(2)/2))/(LN(2)/2)*DW122*DZ122*VLOOKUP('Données projet'!$B$14,Paramètres!$A$1:$I$89,3,0)*0.475*44/12</f>
        <v>2.6593394767683878E-13</v>
      </c>
      <c r="ED122" s="22">
        <f t="shared" si="72"/>
        <v>0.28150733649407322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-1.1368683772161603E-13</v>
      </c>
      <c r="EK122" s="17">
        <f>EJ122*VLOOKUP('Données projet'!$B$15,Paramètres!$A$1:$I$89,3,0)*VLOOKUP('Données projet'!$B$15,Paramètres!$A$1:$I$89,5,0)</f>
        <v>-5.3205440053716299E-14</v>
      </c>
      <c r="EL122" s="13" t="e">
        <f t="shared" si="99"/>
        <v>#NUM!</v>
      </c>
      <c r="EM122" s="20" t="e">
        <f t="shared" si="73"/>
        <v>#NUM!</v>
      </c>
      <c r="EN122" s="59" t="e">
        <f t="shared" si="74"/>
        <v>#NUM!</v>
      </c>
      <c r="EO122" s="59">
        <f ca="1">AVERAGE(OFFSET($EN$3,0,0,'Données projet'!$E$15+1,1))-AVERAGE(OFFSET($H$3,0,0,'Données projet'!$E$15+1,1))</f>
        <v>123.60520571614535</v>
      </c>
      <c r="EP122" s="59">
        <f t="shared" si="100"/>
        <v>119.00926870519527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0.14883132252338604</v>
      </c>
      <c r="EW122" s="21">
        <f>EXP(-LN(2)/25)*EW121+(1-EXP(-LN(2)/25))/(LN(2)/25)*Calculateur!ER122*Calculateur!ET122*VLOOKUP('Données projet'!$B$15,Paramètres!$A$1:$I$89,3,0)*0.475*44/12</f>
        <v>0.40501067810519525</v>
      </c>
      <c r="EX122" s="21">
        <f>EXP(-LN(2)/2)*EX121+(1-EXP(-LN(2)/2))/(LN(2)/2)*ER122*EU122*VLOOKUP('Données projet'!$B$15,Paramètres!$A$1:$I$89,3,0)*0.475*44/12</f>
        <v>2.4573672285758934E-13</v>
      </c>
      <c r="EY122" s="22">
        <f t="shared" si="75"/>
        <v>0.55384200062882705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-8.5265128291212022E-14</v>
      </c>
      <c r="FF122" s="17">
        <f>FE122*VLOOKUP('Données projet'!$B$16,Paramètres!$A$1:$I$89,3,0)*VLOOKUP('Données projet'!$B$16,Paramètres!$A$1:$I$89,5,0)</f>
        <v>-6.2516392063116648E-14</v>
      </c>
      <c r="FG122" s="13" t="e">
        <f t="shared" si="101"/>
        <v>#NUM!</v>
      </c>
      <c r="FH122" s="20" t="e">
        <f t="shared" si="76"/>
        <v>#NUM!</v>
      </c>
      <c r="FI122" s="59" t="e">
        <f t="shared" si="77"/>
        <v>#NUM!</v>
      </c>
      <c r="FJ122" s="59">
        <f ca="1">AVERAGE(OFFSET($FI$3,0,0,'Données projet'!$E$16+1,1))-AVERAGE(OFFSET($H$3,0,0,'Données projet'!$E$16+1,1))</f>
        <v>124.15919323713428</v>
      </c>
      <c r="FK122" s="59">
        <f t="shared" si="102"/>
        <v>157.85954678210715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0</v>
      </c>
      <c r="FR122" s="21">
        <f>EXP(-LN(2)/25)*FR121+(1-EXP(-LN(2)/25))/(LN(2)/25)*Calculateur!FM122*Calculateur!FO122*VLOOKUP('Données projet'!$B$16,Paramètres!$A$1:$I$89,3,0)*0.475*44/12</f>
        <v>0.42617613700214113</v>
      </c>
      <c r="FS122" s="21">
        <f>EXP(-LN(2)/2)*FS121+(1-EXP(-LN(2)/2))/(LN(2)/2)*FM122*FP122*VLOOKUP('Données projet'!$B$16,Paramètres!$A$1:$I$89,3,0)*0.475*44/12</f>
        <v>2.9652725968450351E-13</v>
      </c>
      <c r="FT122" s="22">
        <f t="shared" si="78"/>
        <v>0.42617613700243767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>
        <f>VLOOKUP(A123,'Données projet'!$A$35:$I$55,2,0)</f>
        <v>303</v>
      </c>
      <c r="L123" s="12">
        <f>VLOOKUP(A123,'Données projet'!$A$35:$I$55,9,0)</f>
        <v>3.7</v>
      </c>
      <c r="M123" s="12">
        <f t="array" ref="M123">INDEX(L:L,MIN(IF(ISNUMBER(L123:L319),ROW(L123:L319),"")))</f>
        <v>3.7</v>
      </c>
      <c r="N123" s="13">
        <f>IF('Données projet'!$A$36&gt;35,N122+M123-V122,IF(A123&lt;'Données projet'!$A$36,$K$205^A123,IF(A123='Données projet'!$A$36,'Données projet'!$B$36,N122+M123-V122)))</f>
        <v>302.99999999999989</v>
      </c>
      <c r="O123" s="13">
        <f>N123*VLOOKUP('Données projet'!$B$9,Paramètres!$A$1:$I$89,3,0)*VLOOKUP('Données projet'!$B$9,Paramètres!$A$1:$I$89,5,0)</f>
        <v>274.1543999999999</v>
      </c>
      <c r="P123" s="13">
        <f t="shared" si="87"/>
        <v>65.730152764515779</v>
      </c>
      <c r="Q123" s="20">
        <f t="shared" si="107"/>
        <v>591.96559606486471</v>
      </c>
      <c r="R123" s="59">
        <f t="shared" si="55"/>
        <v>885.29892939819797</v>
      </c>
      <c r="S123" s="59">
        <f ca="1">AVERAGE(OFFSET($R$3,0,0,'Données projet'!$E$9+1,1))-AVERAGE(OFFSET($H$3,0,0,'Données projet'!$E$9+1,1))</f>
        <v>237.22177246688199</v>
      </c>
      <c r="T123" s="59">
        <f t="shared" si="88"/>
        <v>149.27472147904302</v>
      </c>
      <c r="U123" s="15">
        <f>IF(ISNA(VLOOKUP(A123,'Données projet'!$A$35:$I$55,3,0)),0,VLOOKUP(A123,'Données projet'!$A$35:$I$55,3,0))</f>
        <v>10</v>
      </c>
      <c r="V123" s="15">
        <f>IF(ISNA(VLOOKUP(A123,'Données projet'!$A$35:$I$55,4,0)),0,VLOOKUP(A123,'Données projet'!$A$35:$I$55,4,0))</f>
        <v>303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</v>
      </c>
      <c r="AA123" s="21">
        <f>EXP(-LN(2)/25)*AA122+(1-EXP(-LN(2)/25))/(LN(2)/25)*Calculateur!V123*Calculateur!X123*VLOOKUP('Données projet'!$B$9,Paramètres!$A$1:$I$89,3,0)*0.475*44/12</f>
        <v>0.25614437431074677</v>
      </c>
      <c r="AB123" s="21">
        <f>EXP(-LN(2)/2)*AB122+(1-EXP(-LN(2)/2))/(LN(2)/2)*V123*Y123*VLOOKUP('Données projet'!$B$9,Paramètres!$A$1:$I$89,3,0)*0.475*44/12</f>
        <v>1.7591184628225924E-13</v>
      </c>
      <c r="AC123" s="22">
        <f t="shared" si="57"/>
        <v>0.25614437431092268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-8.5265128291212022E-14</v>
      </c>
      <c r="AJ123" s="13">
        <f>AI123*VLOOKUP('Données projet'!$B$10,Paramètres!$A$1:$I$89,3,0)*VLOOKUP('Données projet'!$B$10,Paramètres!$A$1:$I$89,5,0)</f>
        <v>-7.4487616075202836E-14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191.94797389630673</v>
      </c>
      <c r="AO123" s="59">
        <f t="shared" si="90"/>
        <v>273.52540822767878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0.43315441873371058</v>
      </c>
      <c r="AV123" s="21">
        <f>EXP(-LN(2)/25)*AV122+(1-EXP(-LN(2)/25))/(LN(2)/25)*Calculateur!AQ123*Calculateur!AS123*VLOOKUP('Données projet'!$B$10,Paramètres!$A$1:$I$89,3,0)*0.475*44/12</f>
        <v>1.1585404025037525</v>
      </c>
      <c r="AW123" s="21">
        <f>EXP(-LN(2)/2)*AW122+(1-EXP(-LN(2)/2))/(LN(2)/2)*AQ123*AT123*VLOOKUP('Données projet'!$B$10,Paramètres!$A$1:$I$89,3,0)*0.475*44/12</f>
        <v>6.594707121982246E-13</v>
      </c>
      <c r="AX123" s="21">
        <f t="shared" si="60"/>
        <v>1.5916948212381226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72.647148358003676</v>
      </c>
      <c r="BJ123" s="59">
        <f t="shared" si="92"/>
        <v>87.231299224620898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0.21407900737504476</v>
      </c>
      <c r="BQ123" s="21">
        <f>EXP(-LN(2)/25)*BQ122+(1-EXP(-LN(2)/25))/(LN(2)/25)*Calculateur!BL123*Calculateur!BN123*VLOOKUP('Données projet'!$B$11,Paramètres!$A$1:$I$89,3,0)*0.475*44/12</f>
        <v>0.37367869825054723</v>
      </c>
      <c r="BR123" s="21">
        <f>EXP(-LN(2)/2)*BR122+(1-EXP(-LN(2)/2))/(LN(2)/2)*BL123*BO123*VLOOKUP('Données projet'!$B$11,Paramètres!$A$1:$I$89,3,0)*0.475*44/12</f>
        <v>6.4826966657585253E-14</v>
      </c>
      <c r="BS123" s="22">
        <f t="shared" si="63"/>
        <v>0.58775770562565688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5.6843418860808015E-14</v>
      </c>
      <c r="BZ123" s="13">
        <f>BY123*VLOOKUP('Données projet'!$B$12,Paramètres!$A$1:$I$89,3,0)*VLOOKUP('Données projet'!$B$12,Paramètres!$A$1:$I$89,5,0)</f>
        <v>3.3992364478763198E-14</v>
      </c>
      <c r="CA123" s="13">
        <f t="shared" si="93"/>
        <v>5.790027782444094E-13</v>
      </c>
      <c r="CB123" s="20">
        <f t="shared" si="64"/>
        <v>1.0676332069095257E-12</v>
      </c>
      <c r="CC123" s="59">
        <f t="shared" si="65"/>
        <v>293.33333333333439</v>
      </c>
      <c r="CD123" s="59">
        <f ca="1">AVERAGE(OFFSET($CC$3,0,0,'Données projet'!$E$12+1,1))-AVERAGE(OFFSET($H$3,0,0,'Données projet'!$E$12+1,1))</f>
        <v>165.39579887388538</v>
      </c>
      <c r="CE123" s="59">
        <f t="shared" si="94"/>
        <v>155.89639262545802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</v>
      </c>
      <c r="CL123" s="21">
        <f>EXP(-LN(2)/25)*CL122+(1-EXP(-LN(2)/25))/(LN(2)/25)*Calculateur!CG123*Calculateur!CI123*VLOOKUP('Données projet'!$B$12,Paramètres!$A$1:$I$89,3,0)*0.475*44/12</f>
        <v>0.60113854071158457</v>
      </c>
      <c r="CM123" s="21">
        <f>EXP(-LN(2)/2)*CM122+(1-EXP(-LN(2)/2))/(LN(2)/2)*CG123*CJ123*VLOOKUP('Données projet'!$B$12,Paramètres!$A$1:$I$89,3,0)*0.475*44/12</f>
        <v>3.9449434255450773E-13</v>
      </c>
      <c r="CN123" s="22">
        <f t="shared" si="66"/>
        <v>0.60113854071197903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3.4106051316484809E-13</v>
      </c>
      <c r="CU123" s="17">
        <f>CT123*VLOOKUP('Données projet'!$B$13,Paramètres!$A$1:$I$89,3,0)*VLOOKUP('Données projet'!$B$13,Paramètres!$A$1:$I$89,5,0)</f>
        <v>2.6602720026858149E-13</v>
      </c>
      <c r="CV123" s="13">
        <f t="shared" si="95"/>
        <v>3.5662905043956649E-12</v>
      </c>
      <c r="CW123" s="20">
        <f t="shared" si="67"/>
        <v>6.6746200022902298E-12</v>
      </c>
      <c r="CX123" s="59">
        <f t="shared" si="68"/>
        <v>293.33333333333997</v>
      </c>
      <c r="CY123" s="59">
        <f ca="1">AVERAGE(OFFSET($CX$3,0,0,'Données projet'!$E$13+1,1))-AVERAGE(OFFSET($H$3,0,0,'Données projet'!$E$13+1,1))</f>
        <v>190.06335940156185</v>
      </c>
      <c r="CZ123" s="59">
        <f t="shared" si="96"/>
        <v>166.43663896839928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0</v>
      </c>
      <c r="DG123" s="21">
        <f>EXP(-LN(2)/25)*DG122+(1-EXP(-LN(2)/25))/(LN(2)/25)*Calculateur!DB123*Calculateur!DD123*VLOOKUP('Données projet'!$B$13,Paramètres!$A$1:$I$89,3,0)*0.475*44/12</f>
        <v>0.36834395377573814</v>
      </c>
      <c r="DH123" s="21">
        <f>EXP(-LN(2)/2)*DH122+(1-EXP(-LN(2)/2))/(LN(2)/2)*DB123*DE123*VLOOKUP('Données projet'!$B$13,Paramètres!$A$1:$I$89,3,0)*0.475*44/12</f>
        <v>1.5138536048022775E-13</v>
      </c>
      <c r="DI123" s="22">
        <f t="shared" si="69"/>
        <v>0.36834395377588952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>
        <f>VLOOKUP(A123,'Données projet'!$A$165:$I$185,2,0)</f>
        <v>303</v>
      </c>
      <c r="DM123" s="12">
        <f>VLOOKUP(A123,'Données projet'!$A$165:$I$185,9,0)</f>
        <v>3.7</v>
      </c>
      <c r="DN123" s="12">
        <f t="array" ref="DN123">INDEX(DM:DM,MIN(IF(ISNUMBER(DM123:DM319),ROW(DM123:DM319),"")))</f>
        <v>3.7</v>
      </c>
      <c r="DO123" s="12">
        <f>IF('Données projet'!$A$166&gt;35,DO122+DN123-DW122,IF(A123&lt;'Données projet'!$A$166,$DL$205^A123,IF(A123='Données projet'!$A$166,'Données projet'!$B$166,DO122+DN123-DW122)))</f>
        <v>302.99999999999989</v>
      </c>
      <c r="DP123" s="17">
        <f>DO123*VLOOKUP('Données projet'!$B$14,Paramètres!$A$1:$I$89,3,0)*VLOOKUP('Données projet'!$B$14,Paramètres!$A$1:$I$89,5,0)</f>
        <v>293.06159999999988</v>
      </c>
      <c r="DQ123" s="13">
        <f t="shared" si="97"/>
        <v>69.719933365116546</v>
      </c>
      <c r="DR123" s="20">
        <f t="shared" si="70"/>
        <v>631.84450394424448</v>
      </c>
      <c r="DS123" s="59">
        <f t="shared" si="71"/>
        <v>925.17783727757774</v>
      </c>
      <c r="DT123" s="59">
        <f ca="1">AVERAGE(OFFSET($DS$3,0,0,'Données projet'!$E$14+1,1))-AVERAGE(OFFSET($H$3,0,0,'Données projet'!$E$14+1,1))</f>
        <v>261.22357949323879</v>
      </c>
      <c r="DU123" s="59">
        <f t="shared" si="98"/>
        <v>163.41029152029387</v>
      </c>
      <c r="DV123" s="15">
        <f>IF(ISNA(VLOOKUP(A123,'Données projet'!$A$165:$I$185,3,0)),0,VLOOKUP(A123,'Données projet'!$A$165:$I$185,3,0))</f>
        <v>10</v>
      </c>
      <c r="DW123" s="15">
        <f>IF(ISNA(VLOOKUP(A123,'Données projet'!$A$165:$I$185,4,0)),0,VLOOKUP(A123,'Données projet'!$A$165:$I$185,4,0))</f>
        <v>303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0</v>
      </c>
      <c r="EB123" s="21">
        <f>EXP(-LN(2)/25)*EB122+(1-EXP(-LN(2)/25))/(LN(2)/25)*Calculateur!DW123*Calculateur!DY123*VLOOKUP('Données projet'!$B$14,Paramètres!$A$1:$I$89,3,0)*0.475*44/12</f>
        <v>0.27380950357355666</v>
      </c>
      <c r="EC123" s="21">
        <f>EXP(-LN(2)/2)*EC122+(1-EXP(-LN(2)/2))/(LN(2)/2)*DW123*DZ123*VLOOKUP('Données projet'!$B$14,Paramètres!$A$1:$I$89,3,0)*0.475*44/12</f>
        <v>1.8804369775000122E-13</v>
      </c>
      <c r="ED123" s="22">
        <f t="shared" si="72"/>
        <v>0.27380950357374467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-1.1368683772161603E-13</v>
      </c>
      <c r="EK123" s="17">
        <f>EJ123*VLOOKUP('Données projet'!$B$15,Paramètres!$A$1:$I$89,3,0)*VLOOKUP('Données projet'!$B$15,Paramètres!$A$1:$I$89,5,0)</f>
        <v>-5.3205440053716299E-14</v>
      </c>
      <c r="EL123" s="13" t="e">
        <f t="shared" si="99"/>
        <v>#NUM!</v>
      </c>
      <c r="EM123" s="20" t="e">
        <f t="shared" si="73"/>
        <v>#NUM!</v>
      </c>
      <c r="EN123" s="59" t="e">
        <f t="shared" si="74"/>
        <v>#NUM!</v>
      </c>
      <c r="EO123" s="59">
        <f ca="1">AVERAGE(OFFSET($EN$3,0,0,'Données projet'!$E$15+1,1))-AVERAGE(OFFSET($H$3,0,0,'Données projet'!$E$15+1,1))</f>
        <v>123.60520571614535</v>
      </c>
      <c r="EP123" s="59">
        <f t="shared" si="100"/>
        <v>119.00926870519527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0.14591283106684558</v>
      </c>
      <c r="EW123" s="21">
        <f>EXP(-LN(2)/25)*EW122+(1-EXP(-LN(2)/25))/(LN(2)/25)*Calculateur!ER123*Calculateur!ET123*VLOOKUP('Données projet'!$B$15,Paramètres!$A$1:$I$89,3,0)*0.475*44/12</f>
        <v>0.39393563981382279</v>
      </c>
      <c r="EX123" s="21">
        <f>EXP(-LN(2)/2)*EX122+(1-EXP(-LN(2)/2))/(LN(2)/2)*ER123*EU123*VLOOKUP('Données projet'!$B$15,Paramètres!$A$1:$I$89,3,0)*0.475*44/12</f>
        <v>1.737621031191607E-13</v>
      </c>
      <c r="EY123" s="22">
        <f t="shared" si="75"/>
        <v>0.53984847088084209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-8.5265128291212022E-14</v>
      </c>
      <c r="FF123" s="17">
        <f>FE123*VLOOKUP('Données projet'!$B$16,Paramètres!$A$1:$I$89,3,0)*VLOOKUP('Données projet'!$B$16,Paramètres!$A$1:$I$89,5,0)</f>
        <v>-6.2516392063116648E-14</v>
      </c>
      <c r="FG123" s="13" t="e">
        <f t="shared" si="101"/>
        <v>#NUM!</v>
      </c>
      <c r="FH123" s="20" t="e">
        <f t="shared" si="76"/>
        <v>#NUM!</v>
      </c>
      <c r="FI123" s="59" t="e">
        <f t="shared" si="77"/>
        <v>#NUM!</v>
      </c>
      <c r="FJ123" s="59">
        <f ca="1">AVERAGE(OFFSET($FI$3,0,0,'Données projet'!$E$16+1,1))-AVERAGE(OFFSET($H$3,0,0,'Données projet'!$E$16+1,1))</f>
        <v>124.15919323713428</v>
      </c>
      <c r="FK123" s="59">
        <f t="shared" si="102"/>
        <v>157.85954678210715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0</v>
      </c>
      <c r="FR123" s="21">
        <f>EXP(-LN(2)/25)*FR122+(1-EXP(-LN(2)/25))/(LN(2)/25)*Calculateur!FM123*Calculateur!FO123*VLOOKUP('Données projet'!$B$16,Paramètres!$A$1:$I$89,3,0)*0.475*44/12</f>
        <v>0.4145223281241886</v>
      </c>
      <c r="FS123" s="21">
        <f>EXP(-LN(2)/2)*FS122+(1-EXP(-LN(2)/2))/(LN(2)/2)*FM123*FP123*VLOOKUP('Données projet'!$B$16,Paramètres!$A$1:$I$89,3,0)*0.475*44/12</f>
        <v>2.0967643612957678E-13</v>
      </c>
      <c r="FT123" s="22">
        <f t="shared" si="78"/>
        <v>0.41452232812439826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-1.1368683772161603E-13</v>
      </c>
      <c r="O124" s="13">
        <f>N124*VLOOKUP('Données projet'!$B$9,Paramètres!$A$1:$I$89,3,0)*VLOOKUP('Données projet'!$B$9,Paramètres!$A$1:$I$89,5,0)</f>
        <v>-1.0286385077051818E-13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237.22177246688199</v>
      </c>
      <c r="T124" s="59">
        <f t="shared" si="88"/>
        <v>149.27472147904302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</v>
      </c>
      <c r="AA124" s="21">
        <f>EXP(-LN(2)/25)*AA123+(1-EXP(-LN(2)/25))/(LN(2)/25)*Calculateur!V124*Calculateur!X124*VLOOKUP('Données projet'!$B$9,Paramètres!$A$1:$I$89,3,0)*0.475*44/12</f>
        <v>0.24914009292517217</v>
      </c>
      <c r="AB124" s="21">
        <f>EXP(-LN(2)/2)*AB123+(1-EXP(-LN(2)/2))/(LN(2)/2)*V124*Y124*VLOOKUP('Données projet'!$B$9,Paramètres!$A$1:$I$89,3,0)*0.475*44/12</f>
        <v>1.2438845939723107E-13</v>
      </c>
      <c r="AC124" s="22">
        <f t="shared" si="57"/>
        <v>0.24914009292529657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-8.5265128291212022E-14</v>
      </c>
      <c r="AJ124" s="13">
        <f>AI124*VLOOKUP('Données projet'!$B$10,Paramètres!$A$1:$I$89,3,0)*VLOOKUP('Données projet'!$B$10,Paramètres!$A$1:$I$89,5,0)</f>
        <v>-7.4487616075202836E-14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191.94797389630673</v>
      </c>
      <c r="AO124" s="59">
        <f t="shared" si="90"/>
        <v>273.52540822767878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0.42466052478045052</v>
      </c>
      <c r="AV124" s="21">
        <f>EXP(-LN(2)/25)*AV123+(1-EXP(-LN(2)/25))/(LN(2)/25)*Calculateur!AQ124*Calculateur!AS124*VLOOKUP('Données projet'!$B$10,Paramètres!$A$1:$I$89,3,0)*0.475*44/12</f>
        <v>1.1268600542722955</v>
      </c>
      <c r="AW124" s="21">
        <f>EXP(-LN(2)/2)*AW123+(1-EXP(-LN(2)/2))/(LN(2)/2)*AQ124*AT124*VLOOKUP('Données projet'!$B$10,Paramètres!$A$1:$I$89,3,0)*0.475*44/12</f>
        <v>4.6631621258928665E-13</v>
      </c>
      <c r="AX124" s="21">
        <f t="shared" si="60"/>
        <v>1.5515205790532123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72.647148358003676</v>
      </c>
      <c r="BJ124" s="59">
        <f t="shared" si="92"/>
        <v>87.231299224620898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0.20988104861572141</v>
      </c>
      <c r="BQ124" s="21">
        <f>EXP(-LN(2)/25)*BQ123+(1-EXP(-LN(2)/25))/(LN(2)/25)*Calculateur!BL124*Calculateur!BN124*VLOOKUP('Données projet'!$B$11,Paramètres!$A$1:$I$89,3,0)*0.475*44/12</f>
        <v>0.36346043459597732</v>
      </c>
      <c r="BR124" s="21">
        <f>EXP(-LN(2)/2)*BR123+(1-EXP(-LN(2)/2))/(LN(2)/2)*BL124*BO124*VLOOKUP('Données projet'!$B$11,Paramètres!$A$1:$I$89,3,0)*0.475*44/12</f>
        <v>4.5839587727332748E-14</v>
      </c>
      <c r="BS124" s="22">
        <f t="shared" si="63"/>
        <v>0.57334148321174461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5.6843418860808015E-14</v>
      </c>
      <c r="BZ124" s="13">
        <f>BY124*VLOOKUP('Données projet'!$B$12,Paramètres!$A$1:$I$89,3,0)*VLOOKUP('Données projet'!$B$12,Paramètres!$A$1:$I$89,5,0)</f>
        <v>3.3992364478763198E-14</v>
      </c>
      <c r="CA124" s="13">
        <f t="shared" si="93"/>
        <v>5.790027782444094E-13</v>
      </c>
      <c r="CB124" s="20">
        <f t="shared" si="64"/>
        <v>1.0676332069095257E-12</v>
      </c>
      <c r="CC124" s="59">
        <f t="shared" si="65"/>
        <v>293.33333333333439</v>
      </c>
      <c r="CD124" s="59">
        <f ca="1">AVERAGE(OFFSET($CC$3,0,0,'Données projet'!$E$12+1,1))-AVERAGE(OFFSET($H$3,0,0,'Données projet'!$E$12+1,1))</f>
        <v>165.39579887388538</v>
      </c>
      <c r="CE124" s="59">
        <f t="shared" si="94"/>
        <v>155.89639262545802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</v>
      </c>
      <c r="CL124" s="21">
        <f>EXP(-LN(2)/25)*CL123+(1-EXP(-LN(2)/25))/(LN(2)/25)*Calculateur!CG124*Calculateur!CI124*VLOOKUP('Données projet'!$B$12,Paramètres!$A$1:$I$89,3,0)*0.475*44/12</f>
        <v>0.58470037570332434</v>
      </c>
      <c r="CM124" s="21">
        <f>EXP(-LN(2)/2)*CM123+(1-EXP(-LN(2)/2))/(LN(2)/2)*CG124*CJ124*VLOOKUP('Données projet'!$B$12,Paramètres!$A$1:$I$89,3,0)*0.475*44/12</f>
        <v>2.7894962476002122E-13</v>
      </c>
      <c r="CN124" s="22">
        <f t="shared" si="66"/>
        <v>0.58470037570360334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3.4106051316484809E-13</v>
      </c>
      <c r="CU124" s="17">
        <f>CT124*VLOOKUP('Données projet'!$B$13,Paramètres!$A$1:$I$89,3,0)*VLOOKUP('Données projet'!$B$13,Paramètres!$A$1:$I$89,5,0)</f>
        <v>2.6602720026858149E-13</v>
      </c>
      <c r="CV124" s="13">
        <f t="shared" si="95"/>
        <v>3.5662905043956649E-12</v>
      </c>
      <c r="CW124" s="20">
        <f t="shared" si="67"/>
        <v>6.6746200022902298E-12</v>
      </c>
      <c r="CX124" s="59">
        <f t="shared" si="68"/>
        <v>293.33333333333997</v>
      </c>
      <c r="CY124" s="59">
        <f ca="1">AVERAGE(OFFSET($CX$3,0,0,'Données projet'!$E$13+1,1))-AVERAGE(OFFSET($H$3,0,0,'Données projet'!$E$13+1,1))</f>
        <v>190.06335940156185</v>
      </c>
      <c r="CZ124" s="59">
        <f t="shared" si="96"/>
        <v>166.43663896839928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0</v>
      </c>
      <c r="DG124" s="21">
        <f>EXP(-LN(2)/25)*DG123+(1-EXP(-LN(2)/25))/(LN(2)/25)*Calculateur!DB124*Calculateur!DD124*VLOOKUP('Données projet'!$B$13,Paramètres!$A$1:$I$89,3,0)*0.475*44/12</f>
        <v>0.3582715689893739</v>
      </c>
      <c r="DH124" s="21">
        <f>EXP(-LN(2)/2)*DH123+(1-EXP(-LN(2)/2))/(LN(2)/2)*DB124*DE124*VLOOKUP('Données projet'!$B$13,Paramètres!$A$1:$I$89,3,0)*0.475*44/12</f>
        <v>1.0704561496793902E-13</v>
      </c>
      <c r="DI124" s="22">
        <f t="shared" si="69"/>
        <v>0.35827156898948093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-1.1368683772161603E-13</v>
      </c>
      <c r="DP124" s="17">
        <f>DO124*VLOOKUP('Données projet'!$B$14,Paramètres!$A$1:$I$89,3,0)*VLOOKUP('Données projet'!$B$14,Paramètres!$A$1:$I$89,5,0)</f>
        <v>-1.0995790944434703E-13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261.22357949323879</v>
      </c>
      <c r="DU124" s="59">
        <f t="shared" si="98"/>
        <v>163.41029152029387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0</v>
      </c>
      <c r="EB124" s="21">
        <f>EXP(-LN(2)/25)*EB123+(1-EXP(-LN(2)/25))/(LN(2)/25)*Calculateur!DW124*Calculateur!DY124*VLOOKUP('Données projet'!$B$14,Paramètres!$A$1:$I$89,3,0)*0.475*44/12</f>
        <v>0.26632216829932176</v>
      </c>
      <c r="EC124" s="21">
        <f>EXP(-LN(2)/2)*EC123+(1-EXP(-LN(2)/2))/(LN(2)/2)*DW124*DZ124*VLOOKUP('Données projet'!$B$14,Paramètres!$A$1:$I$89,3,0)*0.475*44/12</f>
        <v>1.3296697383841939E-13</v>
      </c>
      <c r="ED124" s="22">
        <f t="shared" si="72"/>
        <v>0.26632216829945471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-1.1368683772161603E-13</v>
      </c>
      <c r="EK124" s="17">
        <f>EJ124*VLOOKUP('Données projet'!$B$15,Paramètres!$A$1:$I$89,3,0)*VLOOKUP('Données projet'!$B$15,Paramètres!$A$1:$I$89,5,0)</f>
        <v>-5.3205440053716299E-14</v>
      </c>
      <c r="EL124" s="13" t="e">
        <f t="shared" si="99"/>
        <v>#NUM!</v>
      </c>
      <c r="EM124" s="20" t="e">
        <f t="shared" si="73"/>
        <v>#NUM!</v>
      </c>
      <c r="EN124" s="59" t="e">
        <f t="shared" si="74"/>
        <v>#NUM!</v>
      </c>
      <c r="EO124" s="59">
        <f ca="1">AVERAGE(OFFSET($EN$3,0,0,'Données projet'!$E$15+1,1))-AVERAGE(OFFSET($H$3,0,0,'Données projet'!$E$15+1,1))</f>
        <v>123.60520571614535</v>
      </c>
      <c r="EP124" s="59">
        <f t="shared" si="100"/>
        <v>119.00926870519527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0.14305156944766387</v>
      </c>
      <c r="EW124" s="21">
        <f>EXP(-LN(2)/25)*EW123+(1-EXP(-LN(2)/25))/(LN(2)/25)*Calculateur!ER124*Calculateur!ET124*VLOOKUP('Données projet'!$B$15,Paramètres!$A$1:$I$89,3,0)*0.475*44/12</f>
        <v>0.38316344902693888</v>
      </c>
      <c r="EX124" s="21">
        <f>EXP(-LN(2)/2)*EX123+(1-EXP(-LN(2)/2))/(LN(2)/2)*ER124*EU124*VLOOKUP('Données projet'!$B$15,Paramètres!$A$1:$I$89,3,0)*0.475*44/12</f>
        <v>1.2286836142879467E-13</v>
      </c>
      <c r="EY124" s="22">
        <f t="shared" si="75"/>
        <v>0.52621501847472563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-8.5265128291212022E-14</v>
      </c>
      <c r="FF124" s="17">
        <f>FE124*VLOOKUP('Données projet'!$B$16,Paramètres!$A$1:$I$89,3,0)*VLOOKUP('Données projet'!$B$16,Paramètres!$A$1:$I$89,5,0)</f>
        <v>-6.2516392063116648E-14</v>
      </c>
      <c r="FG124" s="13" t="e">
        <f t="shared" si="101"/>
        <v>#NUM!</v>
      </c>
      <c r="FH124" s="20" t="e">
        <f t="shared" si="76"/>
        <v>#NUM!</v>
      </c>
      <c r="FI124" s="59" t="e">
        <f t="shared" si="77"/>
        <v>#NUM!</v>
      </c>
      <c r="FJ124" s="59">
        <f ca="1">AVERAGE(OFFSET($FI$3,0,0,'Données projet'!$E$16+1,1))-AVERAGE(OFFSET($H$3,0,0,'Données projet'!$E$16+1,1))</f>
        <v>124.15919323713428</v>
      </c>
      <c r="FK124" s="59">
        <f t="shared" si="102"/>
        <v>157.85954678210715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0</v>
      </c>
      <c r="FR124" s="21">
        <f>EXP(-LN(2)/25)*FR123+(1-EXP(-LN(2)/25))/(LN(2)/25)*Calculateur!FM124*Calculateur!FO124*VLOOKUP('Données projet'!$B$16,Paramètres!$A$1:$I$89,3,0)*0.475*44/12</f>
        <v>0.40318719326285085</v>
      </c>
      <c r="FS124" s="21">
        <f>EXP(-LN(2)/2)*FS123+(1-EXP(-LN(2)/2))/(LN(2)/2)*FM124*FP124*VLOOKUP('Données projet'!$B$16,Paramètres!$A$1:$I$89,3,0)*0.475*44/12</f>
        <v>1.4826362984225176E-13</v>
      </c>
      <c r="FT124" s="22">
        <f t="shared" si="78"/>
        <v>0.40318719326299912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-1.1368683772161603E-13</v>
      </c>
      <c r="O125" s="13">
        <f>N125*VLOOKUP('Données projet'!$B$9,Paramètres!$A$1:$I$89,3,0)*VLOOKUP('Données projet'!$B$9,Paramètres!$A$1:$I$89,5,0)</f>
        <v>-1.0286385077051818E-13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237.22177246688199</v>
      </c>
      <c r="T125" s="59">
        <f t="shared" si="88"/>
        <v>149.27472147904302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</v>
      </c>
      <c r="AA125" s="21">
        <f>EXP(-LN(2)/25)*AA124+(1-EXP(-LN(2)/25))/(LN(2)/25)*Calculateur!V125*Calculateur!X125*VLOOKUP('Données projet'!$B$9,Paramètres!$A$1:$I$89,3,0)*0.475*44/12</f>
        <v>0.24232734398242525</v>
      </c>
      <c r="AB125" s="21">
        <f>EXP(-LN(2)/2)*AB124+(1-EXP(-LN(2)/2))/(LN(2)/2)*V125*Y125*VLOOKUP('Données projet'!$B$9,Paramètres!$A$1:$I$89,3,0)*0.475*44/12</f>
        <v>8.7955923141129621E-14</v>
      </c>
      <c r="AC125" s="22">
        <f t="shared" si="57"/>
        <v>0.24232734398251321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-8.5265128291212022E-14</v>
      </c>
      <c r="AJ125" s="13">
        <f>AI125*VLOOKUP('Données projet'!$B$10,Paramètres!$A$1:$I$89,3,0)*VLOOKUP('Données projet'!$B$10,Paramètres!$A$1:$I$89,5,0)</f>
        <v>-7.4487616075202836E-14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191.94797389630673</v>
      </c>
      <c r="AO125" s="59">
        <f t="shared" si="90"/>
        <v>273.52540822767878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0.41633319090685017</v>
      </c>
      <c r="AV125" s="21">
        <f>EXP(-LN(2)/25)*AV124+(1-EXP(-LN(2)/25))/(LN(2)/25)*Calculateur!AQ125*Calculateur!AS125*VLOOKUP('Données projet'!$B$10,Paramètres!$A$1:$I$89,3,0)*0.475*44/12</f>
        <v>1.0960460068292248</v>
      </c>
      <c r="AW125" s="21">
        <f>EXP(-LN(2)/2)*AW124+(1-EXP(-LN(2)/2))/(LN(2)/2)*AQ125*AT125*VLOOKUP('Données projet'!$B$10,Paramètres!$A$1:$I$89,3,0)*0.475*44/12</f>
        <v>3.297353560991123E-13</v>
      </c>
      <c r="AX125" s="21">
        <f t="shared" si="60"/>
        <v>1.5123791977364047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72.647148358003676</v>
      </c>
      <c r="BJ125" s="59">
        <f t="shared" si="92"/>
        <v>87.231299224620898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0.20576540926716635</v>
      </c>
      <c r="BQ125" s="21">
        <f>EXP(-LN(2)/25)*BQ124+(1-EXP(-LN(2)/25))/(LN(2)/25)*Calculateur!BL125*Calculateur!BN125*VLOOKUP('Données projet'!$B$11,Paramètres!$A$1:$I$89,3,0)*0.475*44/12</f>
        <v>0.35352158989839677</v>
      </c>
      <c r="BR125" s="21">
        <f>EXP(-LN(2)/2)*BR124+(1-EXP(-LN(2)/2))/(LN(2)/2)*BL125*BO125*VLOOKUP('Données projet'!$B$11,Paramètres!$A$1:$I$89,3,0)*0.475*44/12</f>
        <v>3.2413483328792626E-14</v>
      </c>
      <c r="BS125" s="22">
        <f t="shared" si="63"/>
        <v>0.55928699916559554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5.6843418860808015E-14</v>
      </c>
      <c r="BZ125" s="13">
        <f>BY125*VLOOKUP('Données projet'!$B$12,Paramètres!$A$1:$I$89,3,0)*VLOOKUP('Données projet'!$B$12,Paramètres!$A$1:$I$89,5,0)</f>
        <v>3.3992364478763198E-14</v>
      </c>
      <c r="CA125" s="13">
        <f t="shared" si="93"/>
        <v>5.790027782444094E-13</v>
      </c>
      <c r="CB125" s="20">
        <f t="shared" si="64"/>
        <v>1.0676332069095257E-12</v>
      </c>
      <c r="CC125" s="59">
        <f t="shared" si="65"/>
        <v>293.33333333333439</v>
      </c>
      <c r="CD125" s="59">
        <f ca="1">AVERAGE(OFFSET($CC$3,0,0,'Données projet'!$E$12+1,1))-AVERAGE(OFFSET($H$3,0,0,'Données projet'!$E$12+1,1))</f>
        <v>165.39579887388538</v>
      </c>
      <c r="CE125" s="59">
        <f t="shared" si="94"/>
        <v>155.89639262545802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</v>
      </c>
      <c r="CL125" s="21">
        <f>EXP(-LN(2)/25)*CL124+(1-EXP(-LN(2)/25))/(LN(2)/25)*Calculateur!CG125*Calculateur!CI125*VLOOKUP('Données projet'!$B$12,Paramètres!$A$1:$I$89,3,0)*0.475*44/12</f>
        <v>0.56871171318166047</v>
      </c>
      <c r="CM125" s="21">
        <f>EXP(-LN(2)/2)*CM124+(1-EXP(-LN(2)/2))/(LN(2)/2)*CG125*CJ125*VLOOKUP('Données projet'!$B$12,Paramètres!$A$1:$I$89,3,0)*0.475*44/12</f>
        <v>1.9724717127725386E-13</v>
      </c>
      <c r="CN125" s="22">
        <f t="shared" si="66"/>
        <v>0.56871171318185776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3.4106051316484809E-13</v>
      </c>
      <c r="CU125" s="17">
        <f>CT125*VLOOKUP('Données projet'!$B$13,Paramètres!$A$1:$I$89,3,0)*VLOOKUP('Données projet'!$B$13,Paramètres!$A$1:$I$89,5,0)</f>
        <v>2.6602720026858149E-13</v>
      </c>
      <c r="CV125" s="13">
        <f t="shared" si="95"/>
        <v>3.5662905043956649E-12</v>
      </c>
      <c r="CW125" s="20">
        <f t="shared" si="67"/>
        <v>6.6746200022902298E-12</v>
      </c>
      <c r="CX125" s="59">
        <f t="shared" si="68"/>
        <v>293.33333333333997</v>
      </c>
      <c r="CY125" s="59">
        <f ca="1">AVERAGE(OFFSET($CX$3,0,0,'Données projet'!$E$13+1,1))-AVERAGE(OFFSET($H$3,0,0,'Données projet'!$E$13+1,1))</f>
        <v>190.06335940156185</v>
      </c>
      <c r="CZ125" s="59">
        <f t="shared" si="96"/>
        <v>166.43663896839928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0</v>
      </c>
      <c r="DG125" s="21">
        <f>EXP(-LN(2)/25)*DG124+(1-EXP(-LN(2)/25))/(LN(2)/25)*Calculateur!DB125*Calculateur!DD125*VLOOKUP('Données projet'!$B$13,Paramètres!$A$1:$I$89,3,0)*0.475*44/12</f>
        <v>0.3484746140946765</v>
      </c>
      <c r="DH125" s="21">
        <f>EXP(-LN(2)/2)*DH124+(1-EXP(-LN(2)/2))/(LN(2)/2)*DB125*DE125*VLOOKUP('Données projet'!$B$13,Paramètres!$A$1:$I$89,3,0)*0.475*44/12</f>
        <v>7.5692680240113874E-14</v>
      </c>
      <c r="DI125" s="22">
        <f t="shared" si="69"/>
        <v>0.34847461409475222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-1.1368683772161603E-13</v>
      </c>
      <c r="DP125" s="17">
        <f>DO125*VLOOKUP('Données projet'!$B$14,Paramètres!$A$1:$I$89,3,0)*VLOOKUP('Données projet'!$B$14,Paramètres!$A$1:$I$89,5,0)</f>
        <v>-1.0995790944434703E-13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261.22357949323879</v>
      </c>
      <c r="DU125" s="59">
        <f t="shared" si="98"/>
        <v>163.41029152029387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0</v>
      </c>
      <c r="EB125" s="21">
        <f>EXP(-LN(2)/25)*EB124+(1-EXP(-LN(2)/25))/(LN(2)/25)*Calculateur!DW125*Calculateur!DY125*VLOOKUP('Données projet'!$B$14,Paramètres!$A$1:$I$89,3,0)*0.475*44/12</f>
        <v>0.25903957460190269</v>
      </c>
      <c r="EC125" s="21">
        <f>EXP(-LN(2)/2)*EC124+(1-EXP(-LN(2)/2))/(LN(2)/2)*DW125*DZ125*VLOOKUP('Données projet'!$B$14,Paramètres!$A$1:$I$89,3,0)*0.475*44/12</f>
        <v>9.4021848875000611E-14</v>
      </c>
      <c r="ED125" s="22">
        <f t="shared" si="72"/>
        <v>0.25903957460199672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-1.1368683772161603E-13</v>
      </c>
      <c r="EK125" s="17">
        <f>EJ125*VLOOKUP('Données projet'!$B$15,Paramètres!$A$1:$I$89,3,0)*VLOOKUP('Données projet'!$B$15,Paramètres!$A$1:$I$89,5,0)</f>
        <v>-5.3205440053716299E-14</v>
      </c>
      <c r="EL125" s="13" t="e">
        <f t="shared" si="99"/>
        <v>#NUM!</v>
      </c>
      <c r="EM125" s="20" t="e">
        <f t="shared" si="73"/>
        <v>#NUM!</v>
      </c>
      <c r="EN125" s="59" t="e">
        <f t="shared" si="74"/>
        <v>#NUM!</v>
      </c>
      <c r="EO125" s="59">
        <f ca="1">AVERAGE(OFFSET($EN$3,0,0,'Données projet'!$E$15+1,1))-AVERAGE(OFFSET($H$3,0,0,'Données projet'!$E$15+1,1))</f>
        <v>123.60520571614535</v>
      </c>
      <c r="EP125" s="59">
        <f t="shared" si="100"/>
        <v>119.00926870519527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0.14024641542363703</v>
      </c>
      <c r="EW125" s="21">
        <f>EXP(-LN(2)/25)*EW124+(1-EXP(-LN(2)/25))/(LN(2)/25)*Calculateur!ER125*Calculateur!ET125*VLOOKUP('Données projet'!$B$15,Paramètres!$A$1:$I$89,3,0)*0.475*44/12</f>
        <v>0.3726858243636072</v>
      </c>
      <c r="EX125" s="21">
        <f>EXP(-LN(2)/2)*EX124+(1-EXP(-LN(2)/2))/(LN(2)/2)*ER125*EU125*VLOOKUP('Données projet'!$B$15,Paramètres!$A$1:$I$89,3,0)*0.475*44/12</f>
        <v>8.6881051559580349E-14</v>
      </c>
      <c r="EY125" s="22">
        <f t="shared" si="75"/>
        <v>0.51293223978733116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-8.5265128291212022E-14</v>
      </c>
      <c r="FF125" s="17">
        <f>FE125*VLOOKUP('Données projet'!$B$16,Paramètres!$A$1:$I$89,3,0)*VLOOKUP('Données projet'!$B$16,Paramètres!$A$1:$I$89,5,0)</f>
        <v>-6.2516392063116648E-14</v>
      </c>
      <c r="FG125" s="13" t="e">
        <f t="shared" si="101"/>
        <v>#NUM!</v>
      </c>
      <c r="FH125" s="20" t="e">
        <f t="shared" si="76"/>
        <v>#NUM!</v>
      </c>
      <c r="FI125" s="59" t="e">
        <f t="shared" si="77"/>
        <v>#NUM!</v>
      </c>
      <c r="FJ125" s="59">
        <f ca="1">AVERAGE(OFFSET($FI$3,0,0,'Données projet'!$E$16+1,1))-AVERAGE(OFFSET($H$3,0,0,'Données projet'!$E$16+1,1))</f>
        <v>124.15919323713428</v>
      </c>
      <c r="FK125" s="59">
        <f t="shared" si="102"/>
        <v>157.85954678210715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0</v>
      </c>
      <c r="FR125" s="21">
        <f>EXP(-LN(2)/25)*FR124+(1-EXP(-LN(2)/25))/(LN(2)/25)*Calculateur!FM125*Calculateur!FO125*VLOOKUP('Données projet'!$B$16,Paramètres!$A$1:$I$89,3,0)*0.475*44/12</f>
        <v>0.39216201826038521</v>
      </c>
      <c r="FS125" s="21">
        <f>EXP(-LN(2)/2)*FS124+(1-EXP(-LN(2)/2))/(LN(2)/2)*FM125*FP125*VLOOKUP('Données projet'!$B$16,Paramètres!$A$1:$I$89,3,0)*0.475*44/12</f>
        <v>1.0483821806478839E-13</v>
      </c>
      <c r="FT125" s="22">
        <f t="shared" si="78"/>
        <v>0.39216201826049008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-1.1368683772161603E-13</v>
      </c>
      <c r="O126" s="13">
        <f>N126*VLOOKUP('Données projet'!$B$9,Paramètres!$A$1:$I$89,3,0)*VLOOKUP('Données projet'!$B$9,Paramètres!$A$1:$I$89,5,0)</f>
        <v>-1.0286385077051818E-13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237.22177246688199</v>
      </c>
      <c r="T126" s="59">
        <f t="shared" si="88"/>
        <v>149.27472147904302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</v>
      </c>
      <c r="AA126" s="21">
        <f>EXP(-LN(2)/25)*AA125+(1-EXP(-LN(2)/25))/(LN(2)/25)*Calculateur!V126*Calculateur!X126*VLOOKUP('Données projet'!$B$9,Paramètres!$A$1:$I$89,3,0)*0.475*44/12</f>
        <v>0.23570089001778466</v>
      </c>
      <c r="AB126" s="21">
        <f>EXP(-LN(2)/2)*AB125+(1-EXP(-LN(2)/2))/(LN(2)/2)*V126*Y126*VLOOKUP('Données projet'!$B$9,Paramètres!$A$1:$I$89,3,0)*0.475*44/12</f>
        <v>6.2194229698615533E-14</v>
      </c>
      <c r="AC126" s="22">
        <f t="shared" si="57"/>
        <v>0.23570089001784686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-8.5265128291212022E-14</v>
      </c>
      <c r="AJ126" s="13">
        <f>AI126*VLOOKUP('Données projet'!$B$10,Paramètres!$A$1:$I$89,3,0)*VLOOKUP('Données projet'!$B$10,Paramètres!$A$1:$I$89,5,0)</f>
        <v>-7.4487616075202836E-14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191.94797389630673</v>
      </c>
      <c r="AO126" s="59">
        <f t="shared" si="90"/>
        <v>273.52540822767878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0.40816915097133899</v>
      </c>
      <c r="AV126" s="21">
        <f>EXP(-LN(2)/25)*AV125+(1-EXP(-LN(2)/25))/(LN(2)/25)*Calculateur!AQ126*Calculateur!AS126*VLOOKUP('Données projet'!$B$10,Paramètres!$A$1:$I$89,3,0)*0.475*44/12</f>
        <v>1.0660745711339252</v>
      </c>
      <c r="AW126" s="21">
        <f>EXP(-LN(2)/2)*AW125+(1-EXP(-LN(2)/2))/(LN(2)/2)*AQ126*AT126*VLOOKUP('Données projet'!$B$10,Paramètres!$A$1:$I$89,3,0)*0.475*44/12</f>
        <v>2.3315810629464332E-13</v>
      </c>
      <c r="AX126" s="21">
        <f t="shared" si="60"/>
        <v>1.4742437221054974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72.647148358003676</v>
      </c>
      <c r="BJ126" s="59">
        <f t="shared" si="92"/>
        <v>87.231299224620898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0.20173047509594433</v>
      </c>
      <c r="BQ126" s="21">
        <f>EXP(-LN(2)/25)*BQ125+(1-EXP(-LN(2)/25))/(LN(2)/25)*Calculateur!BL126*Calculateur!BN126*VLOOKUP('Données projet'!$B$11,Paramètres!$A$1:$I$89,3,0)*0.475*44/12</f>
        <v>0.34385452343173267</v>
      </c>
      <c r="BR126" s="21">
        <f>EXP(-LN(2)/2)*BR125+(1-EXP(-LN(2)/2))/(LN(2)/2)*BL126*BO126*VLOOKUP('Données projet'!$B$11,Paramètres!$A$1:$I$89,3,0)*0.475*44/12</f>
        <v>2.2919793863666374E-14</v>
      </c>
      <c r="BS126" s="22">
        <f t="shared" si="63"/>
        <v>0.54558499852769993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5.6843418860808015E-14</v>
      </c>
      <c r="BZ126" s="13">
        <f>BY126*VLOOKUP('Données projet'!$B$12,Paramètres!$A$1:$I$89,3,0)*VLOOKUP('Données projet'!$B$12,Paramètres!$A$1:$I$89,5,0)</f>
        <v>3.3992364478763198E-14</v>
      </c>
      <c r="CA126" s="13">
        <f t="shared" si="93"/>
        <v>5.790027782444094E-13</v>
      </c>
      <c r="CB126" s="20">
        <f t="shared" si="64"/>
        <v>1.0676332069095257E-12</v>
      </c>
      <c r="CC126" s="59">
        <f t="shared" si="65"/>
        <v>293.33333333333439</v>
      </c>
      <c r="CD126" s="59">
        <f ca="1">AVERAGE(OFFSET($CC$3,0,0,'Données projet'!$E$12+1,1))-AVERAGE(OFFSET($H$3,0,0,'Données projet'!$E$12+1,1))</f>
        <v>165.39579887388538</v>
      </c>
      <c r="CE126" s="59">
        <f t="shared" si="94"/>
        <v>155.89639262545802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</v>
      </c>
      <c r="CL126" s="21">
        <f>EXP(-LN(2)/25)*CL125+(1-EXP(-LN(2)/25))/(LN(2)/25)*Calculateur!CG126*Calculateur!CI126*VLOOKUP('Données projet'!$B$12,Paramètres!$A$1:$I$89,3,0)*0.475*44/12</f>
        <v>0.55316026147745878</v>
      </c>
      <c r="CM126" s="21">
        <f>EXP(-LN(2)/2)*CM125+(1-EXP(-LN(2)/2))/(LN(2)/2)*CG126*CJ126*VLOOKUP('Données projet'!$B$12,Paramètres!$A$1:$I$89,3,0)*0.475*44/12</f>
        <v>1.3947481238001061E-13</v>
      </c>
      <c r="CN126" s="22">
        <f t="shared" si="66"/>
        <v>0.55316026147759823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3.4106051316484809E-13</v>
      </c>
      <c r="CU126" s="17">
        <f>CT126*VLOOKUP('Données projet'!$B$13,Paramètres!$A$1:$I$89,3,0)*VLOOKUP('Données projet'!$B$13,Paramètres!$A$1:$I$89,5,0)</f>
        <v>2.6602720026858149E-13</v>
      </c>
      <c r="CV126" s="13">
        <f t="shared" si="95"/>
        <v>3.5662905043956649E-12</v>
      </c>
      <c r="CW126" s="20">
        <f t="shared" si="67"/>
        <v>6.6746200022902298E-12</v>
      </c>
      <c r="CX126" s="59">
        <f t="shared" si="68"/>
        <v>293.33333333333997</v>
      </c>
      <c r="CY126" s="59">
        <f ca="1">AVERAGE(OFFSET($CX$3,0,0,'Données projet'!$E$13+1,1))-AVERAGE(OFFSET($H$3,0,0,'Données projet'!$E$13+1,1))</f>
        <v>190.06335940156185</v>
      </c>
      <c r="CZ126" s="59">
        <f t="shared" si="96"/>
        <v>166.43663896839928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0</v>
      </c>
      <c r="DG126" s="21">
        <f>EXP(-LN(2)/25)*DG125+(1-EXP(-LN(2)/25))/(LN(2)/25)*Calculateur!DB126*Calculateur!DD126*VLOOKUP('Données projet'!$B$13,Paramètres!$A$1:$I$89,3,0)*0.475*44/12</f>
        <v>0.33894555744677407</v>
      </c>
      <c r="DH126" s="21">
        <f>EXP(-LN(2)/2)*DH125+(1-EXP(-LN(2)/2))/(LN(2)/2)*DB126*DE126*VLOOKUP('Données projet'!$B$13,Paramètres!$A$1:$I$89,3,0)*0.475*44/12</f>
        <v>5.3522807483969512E-14</v>
      </c>
      <c r="DI126" s="22">
        <f t="shared" si="69"/>
        <v>0.33894555744682758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-1.1368683772161603E-13</v>
      </c>
      <c r="DP126" s="17">
        <f>DO126*VLOOKUP('Données projet'!$B$14,Paramètres!$A$1:$I$89,3,0)*VLOOKUP('Données projet'!$B$14,Paramètres!$A$1:$I$89,5,0)</f>
        <v>-1.0995790944434703E-13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261.22357949323879</v>
      </c>
      <c r="DU126" s="59">
        <f t="shared" si="98"/>
        <v>163.41029152029387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0</v>
      </c>
      <c r="EB126" s="21">
        <f>EXP(-LN(2)/25)*EB125+(1-EXP(-LN(2)/25))/(LN(2)/25)*Calculateur!DW126*Calculateur!DY126*VLOOKUP('Données projet'!$B$14,Paramètres!$A$1:$I$89,3,0)*0.475*44/12</f>
        <v>0.25195612381211446</v>
      </c>
      <c r="EC126" s="21">
        <f>EXP(-LN(2)/2)*EC125+(1-EXP(-LN(2)/2))/(LN(2)/2)*DW126*DZ126*VLOOKUP('Données projet'!$B$14,Paramètres!$A$1:$I$89,3,0)*0.475*44/12</f>
        <v>6.6483486919209695E-14</v>
      </c>
      <c r="ED126" s="22">
        <f t="shared" si="72"/>
        <v>0.25195612381218097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-1.1368683772161603E-13</v>
      </c>
      <c r="EK126" s="17">
        <f>EJ126*VLOOKUP('Données projet'!$B$15,Paramètres!$A$1:$I$89,3,0)*VLOOKUP('Données projet'!$B$15,Paramètres!$A$1:$I$89,5,0)</f>
        <v>-5.3205440053716299E-14</v>
      </c>
      <c r="EL126" s="13" t="e">
        <f t="shared" si="99"/>
        <v>#NUM!</v>
      </c>
      <c r="EM126" s="20" t="e">
        <f t="shared" si="73"/>
        <v>#NUM!</v>
      </c>
      <c r="EN126" s="59" t="e">
        <f t="shared" si="74"/>
        <v>#NUM!</v>
      </c>
      <c r="EO126" s="59">
        <f ca="1">AVERAGE(OFFSET($EN$3,0,0,'Données projet'!$E$15+1,1))-AVERAGE(OFFSET($H$3,0,0,'Données projet'!$E$15+1,1))</f>
        <v>123.60520571614535</v>
      </c>
      <c r="EP126" s="59">
        <f t="shared" si="100"/>
        <v>119.00926870519527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0.13749626875904636</v>
      </c>
      <c r="EW126" s="21">
        <f>EXP(-LN(2)/25)*EW125+(1-EXP(-LN(2)/25))/(LN(2)/25)*Calculateur!ER126*Calculateur!ET126*VLOOKUP('Données projet'!$B$15,Paramètres!$A$1:$I$89,3,0)*0.475*44/12</f>
        <v>0.36249471089768864</v>
      </c>
      <c r="EX126" s="21">
        <f>EXP(-LN(2)/2)*EX125+(1-EXP(-LN(2)/2))/(LN(2)/2)*ER126*EU126*VLOOKUP('Données projet'!$B$15,Paramètres!$A$1:$I$89,3,0)*0.475*44/12</f>
        <v>6.1434180714397334E-14</v>
      </c>
      <c r="EY126" s="22">
        <f t="shared" si="75"/>
        <v>0.49999097965679645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-8.5265128291212022E-14</v>
      </c>
      <c r="FF126" s="17">
        <f>FE126*VLOOKUP('Données projet'!$B$16,Paramètres!$A$1:$I$89,3,0)*VLOOKUP('Données projet'!$B$16,Paramètres!$A$1:$I$89,5,0)</f>
        <v>-6.2516392063116648E-14</v>
      </c>
      <c r="FG126" s="13" t="e">
        <f t="shared" si="101"/>
        <v>#NUM!</v>
      </c>
      <c r="FH126" s="20" t="e">
        <f t="shared" si="76"/>
        <v>#NUM!</v>
      </c>
      <c r="FI126" s="59" t="e">
        <f t="shared" si="77"/>
        <v>#NUM!</v>
      </c>
      <c r="FJ126" s="59">
        <f ca="1">AVERAGE(OFFSET($FI$3,0,0,'Données projet'!$E$16+1,1))-AVERAGE(OFFSET($H$3,0,0,'Données projet'!$E$16+1,1))</f>
        <v>124.15919323713428</v>
      </c>
      <c r="FK126" s="59">
        <f t="shared" si="102"/>
        <v>157.85954678210715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0</v>
      </c>
      <c r="FR126" s="21">
        <f>EXP(-LN(2)/25)*FR125+(1-EXP(-LN(2)/25))/(LN(2)/25)*Calculateur!FM126*Calculateur!FO126*VLOOKUP('Données projet'!$B$16,Paramètres!$A$1:$I$89,3,0)*0.475*44/12</f>
        <v>0.38143832724815074</v>
      </c>
      <c r="FS126" s="21">
        <f>EXP(-LN(2)/2)*FS125+(1-EXP(-LN(2)/2))/(LN(2)/2)*FM126*FP126*VLOOKUP('Données projet'!$B$16,Paramètres!$A$1:$I$89,3,0)*0.475*44/12</f>
        <v>7.4131814921125878E-14</v>
      </c>
      <c r="FT126" s="22">
        <f t="shared" si="78"/>
        <v>0.38143832724822485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-1.1368683772161603E-13</v>
      </c>
      <c r="O127" s="13">
        <f>N127*VLOOKUP('Données projet'!$B$9,Paramètres!$A$1:$I$89,3,0)*VLOOKUP('Données projet'!$B$9,Paramètres!$A$1:$I$89,5,0)</f>
        <v>-1.0286385077051818E-13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237.22177246688199</v>
      </c>
      <c r="T127" s="59">
        <f t="shared" si="88"/>
        <v>149.27472147904302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</v>
      </c>
      <c r="AA127" s="21">
        <f>EXP(-LN(2)/25)*AA126+(1-EXP(-LN(2)/25))/(LN(2)/25)*Calculateur!V127*Calculateur!X127*VLOOKUP('Données projet'!$B$9,Paramètres!$A$1:$I$89,3,0)*0.475*44/12</f>
        <v>0.22925563678527724</v>
      </c>
      <c r="AB127" s="21">
        <f>EXP(-LN(2)/2)*AB126+(1-EXP(-LN(2)/2))/(LN(2)/2)*V127*Y127*VLOOKUP('Données projet'!$B$9,Paramètres!$A$1:$I$89,3,0)*0.475*44/12</f>
        <v>4.397796157056481E-14</v>
      </c>
      <c r="AC127" s="22">
        <f t="shared" si="57"/>
        <v>0.22925563678532121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-8.5265128291212022E-14</v>
      </c>
      <c r="AJ127" s="13">
        <f>AI127*VLOOKUP('Données projet'!$B$10,Paramètres!$A$1:$I$89,3,0)*VLOOKUP('Données projet'!$B$10,Paramètres!$A$1:$I$89,5,0)</f>
        <v>-7.4487616075202836E-14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191.94797389630673</v>
      </c>
      <c r="AO127" s="59">
        <f t="shared" si="90"/>
        <v>273.52540822767878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0.4001652028793905</v>
      </c>
      <c r="AV127" s="21">
        <f>EXP(-LN(2)/25)*AV126+(1-EXP(-LN(2)/25))/(LN(2)/25)*Calculateur!AQ127*Calculateur!AS127*VLOOKUP('Données projet'!$B$10,Paramètres!$A$1:$I$89,3,0)*0.475*44/12</f>
        <v>1.0369227059238428</v>
      </c>
      <c r="AW127" s="21">
        <f>EXP(-LN(2)/2)*AW126+(1-EXP(-LN(2)/2))/(LN(2)/2)*AQ127*AT127*VLOOKUP('Données projet'!$B$10,Paramètres!$A$1:$I$89,3,0)*0.475*44/12</f>
        <v>1.6486767804955615E-13</v>
      </c>
      <c r="AX127" s="21">
        <f t="shared" si="60"/>
        <v>1.4370879088033981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72.647148358003676</v>
      </c>
      <c r="BJ127" s="59">
        <f t="shared" si="92"/>
        <v>87.231299224620898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0.19777466352275314</v>
      </c>
      <c r="BQ127" s="21">
        <f>EXP(-LN(2)/25)*BQ126+(1-EXP(-LN(2)/25))/(LN(2)/25)*Calculateur!BL127*Calculateur!BN127*VLOOKUP('Données projet'!$B$11,Paramètres!$A$1:$I$89,3,0)*0.475*44/12</f>
        <v>0.33445180340596847</v>
      </c>
      <c r="BR127" s="21">
        <f>EXP(-LN(2)/2)*BR126+(1-EXP(-LN(2)/2))/(LN(2)/2)*BL127*BO127*VLOOKUP('Données projet'!$B$11,Paramètres!$A$1:$I$89,3,0)*0.475*44/12</f>
        <v>1.6206741664396313E-14</v>
      </c>
      <c r="BS127" s="22">
        <f t="shared" si="63"/>
        <v>0.53222646692873776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5.6843418860808015E-14</v>
      </c>
      <c r="BZ127" s="13">
        <f>BY127*VLOOKUP('Données projet'!$B$12,Paramètres!$A$1:$I$89,3,0)*VLOOKUP('Données projet'!$B$12,Paramètres!$A$1:$I$89,5,0)</f>
        <v>3.3992364478763198E-14</v>
      </c>
      <c r="CA127" s="13">
        <f t="shared" si="93"/>
        <v>5.790027782444094E-13</v>
      </c>
      <c r="CB127" s="20">
        <f t="shared" si="64"/>
        <v>1.0676332069095257E-12</v>
      </c>
      <c r="CC127" s="59">
        <f t="shared" si="65"/>
        <v>293.33333333333439</v>
      </c>
      <c r="CD127" s="59">
        <f ca="1">AVERAGE(OFFSET($CC$3,0,0,'Données projet'!$E$12+1,1))-AVERAGE(OFFSET($H$3,0,0,'Données projet'!$E$12+1,1))</f>
        <v>165.39579887388538</v>
      </c>
      <c r="CE127" s="59">
        <f t="shared" si="94"/>
        <v>155.89639262545802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</v>
      </c>
      <c r="CL127" s="21">
        <f>EXP(-LN(2)/25)*CL126+(1-EXP(-LN(2)/25))/(LN(2)/25)*Calculateur!CG127*Calculateur!CI127*VLOOKUP('Données projet'!$B$12,Paramètres!$A$1:$I$89,3,0)*0.475*44/12</f>
        <v>0.53803406503792384</v>
      </c>
      <c r="CM127" s="21">
        <f>EXP(-LN(2)/2)*CM126+(1-EXP(-LN(2)/2))/(LN(2)/2)*CG127*CJ127*VLOOKUP('Données projet'!$B$12,Paramètres!$A$1:$I$89,3,0)*0.475*44/12</f>
        <v>9.8623585638626932E-14</v>
      </c>
      <c r="CN127" s="22">
        <f t="shared" si="66"/>
        <v>0.53803406503802242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3.4106051316484809E-13</v>
      </c>
      <c r="CU127" s="17">
        <f>CT127*VLOOKUP('Données projet'!$B$13,Paramètres!$A$1:$I$89,3,0)*VLOOKUP('Données projet'!$B$13,Paramètres!$A$1:$I$89,5,0)</f>
        <v>2.6602720026858149E-13</v>
      </c>
      <c r="CV127" s="13">
        <f t="shared" si="95"/>
        <v>3.5662905043956649E-12</v>
      </c>
      <c r="CW127" s="20">
        <f t="shared" si="67"/>
        <v>6.6746200022902298E-12</v>
      </c>
      <c r="CX127" s="59">
        <f t="shared" si="68"/>
        <v>293.33333333333997</v>
      </c>
      <c r="CY127" s="59">
        <f ca="1">AVERAGE(OFFSET($CX$3,0,0,'Données projet'!$E$13+1,1))-AVERAGE(OFFSET($H$3,0,0,'Données projet'!$E$13+1,1))</f>
        <v>190.06335940156185</v>
      </c>
      <c r="CZ127" s="59">
        <f t="shared" si="96"/>
        <v>166.43663896839928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0</v>
      </c>
      <c r="DG127" s="21">
        <f>EXP(-LN(2)/25)*DG126+(1-EXP(-LN(2)/25))/(LN(2)/25)*Calculateur!DB127*Calculateur!DD127*VLOOKUP('Données projet'!$B$13,Paramètres!$A$1:$I$89,3,0)*0.475*44/12</f>
        <v>0.32967707335401986</v>
      </c>
      <c r="DH127" s="21">
        <f>EXP(-LN(2)/2)*DH126+(1-EXP(-LN(2)/2))/(LN(2)/2)*DB127*DE127*VLOOKUP('Données projet'!$B$13,Paramètres!$A$1:$I$89,3,0)*0.475*44/12</f>
        <v>3.7846340120056937E-14</v>
      </c>
      <c r="DI127" s="22">
        <f t="shared" si="69"/>
        <v>0.32967707335405771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-1.1368683772161603E-13</v>
      </c>
      <c r="DP127" s="17">
        <f>DO127*VLOOKUP('Données projet'!$B$14,Paramètres!$A$1:$I$89,3,0)*VLOOKUP('Données projet'!$B$14,Paramètres!$A$1:$I$89,5,0)</f>
        <v>-1.0995790944434703E-13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261.22357949323879</v>
      </c>
      <c r="DU127" s="59">
        <f t="shared" si="98"/>
        <v>163.41029152029387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0</v>
      </c>
      <c r="EB127" s="21">
        <f>EXP(-LN(2)/25)*EB126+(1-EXP(-LN(2)/25))/(LN(2)/25)*Calculateur!DW127*Calculateur!DY127*VLOOKUP('Données projet'!$B$14,Paramètres!$A$1:$I$89,3,0)*0.475*44/12</f>
        <v>0.2450663703566755</v>
      </c>
      <c r="EC127" s="21">
        <f>EXP(-LN(2)/2)*EC126+(1-EXP(-LN(2)/2))/(LN(2)/2)*DW127*DZ127*VLOOKUP('Données projet'!$B$14,Paramètres!$A$1:$I$89,3,0)*0.475*44/12</f>
        <v>4.7010924437500306E-14</v>
      </c>
      <c r="ED127" s="22">
        <f t="shared" si="72"/>
        <v>0.24506637035672252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-1.1368683772161603E-13</v>
      </c>
      <c r="EK127" s="17">
        <f>EJ127*VLOOKUP('Données projet'!$B$15,Paramètres!$A$1:$I$89,3,0)*VLOOKUP('Données projet'!$B$15,Paramètres!$A$1:$I$89,5,0)</f>
        <v>-5.3205440053716299E-14</v>
      </c>
      <c r="EL127" s="13" t="e">
        <f t="shared" si="99"/>
        <v>#NUM!</v>
      </c>
      <c r="EM127" s="20" t="e">
        <f t="shared" si="73"/>
        <v>#NUM!</v>
      </c>
      <c r="EN127" s="59" t="e">
        <f t="shared" si="74"/>
        <v>#NUM!</v>
      </c>
      <c r="EO127" s="59">
        <f ca="1">AVERAGE(OFFSET($EN$3,0,0,'Données projet'!$E$15+1,1))-AVERAGE(OFFSET($H$3,0,0,'Données projet'!$E$15+1,1))</f>
        <v>123.60520571614535</v>
      </c>
      <c r="EP127" s="59">
        <f t="shared" si="100"/>
        <v>119.00926870519527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0.13480005079312449</v>
      </c>
      <c r="EW127" s="21">
        <f>EXP(-LN(2)/25)*EW126+(1-EXP(-LN(2)/25))/(LN(2)/25)*Calculateur!ER127*Calculateur!ET127*VLOOKUP('Données projet'!$B$15,Paramètres!$A$1:$I$89,3,0)*0.475*44/12</f>
        <v>0.35258227396542302</v>
      </c>
      <c r="EX127" s="21">
        <f>EXP(-LN(2)/2)*EX126+(1-EXP(-LN(2)/2))/(LN(2)/2)*ER127*EU127*VLOOKUP('Données projet'!$B$15,Paramètres!$A$1:$I$89,3,0)*0.475*44/12</f>
        <v>4.3440525779790175E-14</v>
      </c>
      <c r="EY127" s="22">
        <f t="shared" si="75"/>
        <v>0.48738232475859095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-8.5265128291212022E-14</v>
      </c>
      <c r="FF127" s="17">
        <f>FE127*VLOOKUP('Données projet'!$B$16,Paramètres!$A$1:$I$89,3,0)*VLOOKUP('Données projet'!$B$16,Paramètres!$A$1:$I$89,5,0)</f>
        <v>-6.2516392063116648E-14</v>
      </c>
      <c r="FG127" s="13" t="e">
        <f t="shared" si="101"/>
        <v>#NUM!</v>
      </c>
      <c r="FH127" s="20" t="e">
        <f t="shared" si="76"/>
        <v>#NUM!</v>
      </c>
      <c r="FI127" s="59" t="e">
        <f t="shared" si="77"/>
        <v>#NUM!</v>
      </c>
      <c r="FJ127" s="59">
        <f ca="1">AVERAGE(OFFSET($FI$3,0,0,'Données projet'!$E$16+1,1))-AVERAGE(OFFSET($H$3,0,0,'Données projet'!$E$16+1,1))</f>
        <v>124.15919323713428</v>
      </c>
      <c r="FK127" s="59">
        <f t="shared" si="102"/>
        <v>157.85954678210715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0</v>
      </c>
      <c r="FR127" s="21">
        <f>EXP(-LN(2)/25)*FR126+(1-EXP(-LN(2)/25))/(LN(2)/25)*Calculateur!FM127*Calculateur!FO127*VLOOKUP('Données projet'!$B$16,Paramètres!$A$1:$I$89,3,0)*0.475*44/12</f>
        <v>0.37100787613058023</v>
      </c>
      <c r="FS127" s="21">
        <f>EXP(-LN(2)/2)*FS126+(1-EXP(-LN(2)/2))/(LN(2)/2)*FM127*FP127*VLOOKUP('Données projet'!$B$16,Paramètres!$A$1:$I$89,3,0)*0.475*44/12</f>
        <v>5.2419109032394196E-14</v>
      </c>
      <c r="FT127" s="22">
        <f t="shared" si="78"/>
        <v>0.37100787613063263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-1.1368683772161603E-13</v>
      </c>
      <c r="O128" s="13">
        <f>N128*VLOOKUP('Données projet'!$B$9,Paramètres!$A$1:$I$89,3,0)*VLOOKUP('Données projet'!$B$9,Paramètres!$A$1:$I$89,5,0)</f>
        <v>-1.0286385077051818E-13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237.22177246688199</v>
      </c>
      <c r="T128" s="59">
        <f t="shared" si="88"/>
        <v>149.27472147904302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</v>
      </c>
      <c r="AA128" s="21">
        <f>EXP(-LN(2)/25)*AA127+(1-EXP(-LN(2)/25))/(LN(2)/25)*Calculateur!V128*Calculateur!X128*VLOOKUP('Données projet'!$B$9,Paramètres!$A$1:$I$89,3,0)*0.475*44/12</f>
        <v>0.22298662934135388</v>
      </c>
      <c r="AB128" s="21">
        <f>EXP(-LN(2)/2)*AB127+(1-EXP(-LN(2)/2))/(LN(2)/2)*V128*Y128*VLOOKUP('Données projet'!$B$9,Paramètres!$A$1:$I$89,3,0)*0.475*44/12</f>
        <v>3.1097114849307767E-14</v>
      </c>
      <c r="AC128" s="22">
        <f t="shared" si="57"/>
        <v>0.22298662934138497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-8.5265128291212022E-14</v>
      </c>
      <c r="AJ128" s="13">
        <f>AI128*VLOOKUP('Données projet'!$B$10,Paramètres!$A$1:$I$89,3,0)*VLOOKUP('Données projet'!$B$10,Paramètres!$A$1:$I$89,5,0)</f>
        <v>-7.4487616075202836E-14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191.94797389630673</v>
      </c>
      <c r="AO128" s="59">
        <f t="shared" si="90"/>
        <v>273.52540822767878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0.39231820732759887</v>
      </c>
      <c r="AV128" s="21">
        <f>EXP(-LN(2)/25)*AV127+(1-EXP(-LN(2)/25))/(LN(2)/25)*Calculateur!AQ128*Calculateur!AS128*VLOOKUP('Données projet'!$B$10,Paramètres!$A$1:$I$89,3,0)*0.475*44/12</f>
        <v>1.0085680000009603</v>
      </c>
      <c r="AW128" s="21">
        <f>EXP(-LN(2)/2)*AW127+(1-EXP(-LN(2)/2))/(LN(2)/2)*AQ128*AT128*VLOOKUP('Données projet'!$B$10,Paramètres!$A$1:$I$89,3,0)*0.475*44/12</f>
        <v>1.1657905314732166E-13</v>
      </c>
      <c r="AX128" s="21">
        <f t="shared" si="60"/>
        <v>1.4008862073286756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72.647148358003676</v>
      </c>
      <c r="BJ128" s="59">
        <f t="shared" si="92"/>
        <v>87.231299224620898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0.1938964230017054</v>
      </c>
      <c r="BQ128" s="21">
        <f>EXP(-LN(2)/25)*BQ127+(1-EXP(-LN(2)/25))/(LN(2)/25)*Calculateur!BL128*Calculateur!BN128*VLOOKUP('Données projet'!$B$11,Paramètres!$A$1:$I$89,3,0)*0.475*44/12</f>
        <v>0.32530620125377635</v>
      </c>
      <c r="BR128" s="21">
        <f>EXP(-LN(2)/2)*BR127+(1-EXP(-LN(2)/2))/(LN(2)/2)*BL128*BO128*VLOOKUP('Données projet'!$B$11,Paramètres!$A$1:$I$89,3,0)*0.475*44/12</f>
        <v>1.1459896931833187E-14</v>
      </c>
      <c r="BS128" s="22">
        <f t="shared" si="63"/>
        <v>0.51920262425549313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5.6843418860808015E-14</v>
      </c>
      <c r="BZ128" s="13">
        <f>BY128*VLOOKUP('Données projet'!$B$12,Paramètres!$A$1:$I$89,3,0)*VLOOKUP('Données projet'!$B$12,Paramètres!$A$1:$I$89,5,0)</f>
        <v>3.3992364478763198E-14</v>
      </c>
      <c r="CA128" s="13">
        <f t="shared" si="93"/>
        <v>5.790027782444094E-13</v>
      </c>
      <c r="CB128" s="20">
        <f t="shared" si="64"/>
        <v>1.0676332069095257E-12</v>
      </c>
      <c r="CC128" s="59">
        <f t="shared" si="65"/>
        <v>293.33333333333439</v>
      </c>
      <c r="CD128" s="59">
        <f ca="1">AVERAGE(OFFSET($CC$3,0,0,'Données projet'!$E$12+1,1))-AVERAGE(OFFSET($H$3,0,0,'Données projet'!$E$12+1,1))</f>
        <v>165.39579887388538</v>
      </c>
      <c r="CE128" s="59">
        <f t="shared" si="94"/>
        <v>155.89639262545802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</v>
      </c>
      <c r="CL128" s="21">
        <f>EXP(-LN(2)/25)*CL127+(1-EXP(-LN(2)/25))/(LN(2)/25)*Calculateur!CG128*Calculateur!CI128*VLOOKUP('Données projet'!$B$12,Paramètres!$A$1:$I$89,3,0)*0.475*44/12</f>
        <v>0.52332149523547999</v>
      </c>
      <c r="CM128" s="21">
        <f>EXP(-LN(2)/2)*CM127+(1-EXP(-LN(2)/2))/(LN(2)/2)*CG128*CJ128*VLOOKUP('Données projet'!$B$12,Paramètres!$A$1:$I$89,3,0)*0.475*44/12</f>
        <v>6.9737406190005304E-14</v>
      </c>
      <c r="CN128" s="22">
        <f t="shared" si="66"/>
        <v>0.52332149523554972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3.4106051316484809E-13</v>
      </c>
      <c r="CU128" s="17">
        <f>CT128*VLOOKUP('Données projet'!$B$13,Paramètres!$A$1:$I$89,3,0)*VLOOKUP('Données projet'!$B$13,Paramètres!$A$1:$I$89,5,0)</f>
        <v>2.6602720026858149E-13</v>
      </c>
      <c r="CV128" s="13">
        <f t="shared" si="95"/>
        <v>3.5662905043956649E-12</v>
      </c>
      <c r="CW128" s="20">
        <f t="shared" si="67"/>
        <v>6.6746200022902298E-12</v>
      </c>
      <c r="CX128" s="59">
        <f t="shared" si="68"/>
        <v>293.33333333333997</v>
      </c>
      <c r="CY128" s="59">
        <f ca="1">AVERAGE(OFFSET($CX$3,0,0,'Données projet'!$E$13+1,1))-AVERAGE(OFFSET($H$3,0,0,'Données projet'!$E$13+1,1))</f>
        <v>190.06335940156185</v>
      </c>
      <c r="CZ128" s="59">
        <f t="shared" si="96"/>
        <v>166.43663896839928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0</v>
      </c>
      <c r="DG128" s="21">
        <f>EXP(-LN(2)/25)*DG127+(1-EXP(-LN(2)/25))/(LN(2)/25)*Calculateur!DB128*Calculateur!DD128*VLOOKUP('Données projet'!$B$13,Paramètres!$A$1:$I$89,3,0)*0.475*44/12</f>
        <v>0.3206620364461904</v>
      </c>
      <c r="DH128" s="21">
        <f>EXP(-LN(2)/2)*DH127+(1-EXP(-LN(2)/2))/(LN(2)/2)*DB128*DE128*VLOOKUP('Données projet'!$B$13,Paramètres!$A$1:$I$89,3,0)*0.475*44/12</f>
        <v>2.6761403741984756E-14</v>
      </c>
      <c r="DI128" s="22">
        <f t="shared" si="69"/>
        <v>0.32066203644621716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-1.1368683772161603E-13</v>
      </c>
      <c r="DP128" s="17">
        <f>DO128*VLOOKUP('Données projet'!$B$14,Paramètres!$A$1:$I$89,3,0)*VLOOKUP('Données projet'!$B$14,Paramètres!$A$1:$I$89,5,0)</f>
        <v>-1.0995790944434703E-13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261.22357949323879</v>
      </c>
      <c r="DU128" s="59">
        <f t="shared" si="98"/>
        <v>163.41029152029387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0</v>
      </c>
      <c r="EB128" s="21">
        <f>EXP(-LN(2)/25)*EB127+(1-EXP(-LN(2)/25))/(LN(2)/25)*Calculateur!DW128*Calculateur!DY128*VLOOKUP('Données projet'!$B$14,Paramètres!$A$1:$I$89,3,0)*0.475*44/12</f>
        <v>0.2383650175717919</v>
      </c>
      <c r="EC128" s="21">
        <f>EXP(-LN(2)/2)*EC127+(1-EXP(-LN(2)/2))/(LN(2)/2)*DW128*DZ128*VLOOKUP('Données projet'!$B$14,Paramètres!$A$1:$I$89,3,0)*0.475*44/12</f>
        <v>3.3241743459604848E-14</v>
      </c>
      <c r="ED128" s="22">
        <f t="shared" si="72"/>
        <v>0.23836501757182516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-1.1368683772161603E-13</v>
      </c>
      <c r="EK128" s="17">
        <f>EJ128*VLOOKUP('Données projet'!$B$15,Paramètres!$A$1:$I$89,3,0)*VLOOKUP('Données projet'!$B$15,Paramètres!$A$1:$I$89,5,0)</f>
        <v>-5.3205440053716299E-14</v>
      </c>
      <c r="EL128" s="13" t="e">
        <f t="shared" si="99"/>
        <v>#NUM!</v>
      </c>
      <c r="EM128" s="20" t="e">
        <f t="shared" si="73"/>
        <v>#NUM!</v>
      </c>
      <c r="EN128" s="59" t="e">
        <f t="shared" si="74"/>
        <v>#NUM!</v>
      </c>
      <c r="EO128" s="59">
        <f ca="1">AVERAGE(OFFSET($EN$3,0,0,'Données projet'!$E$15+1,1))-AVERAGE(OFFSET($H$3,0,0,'Données projet'!$E$15+1,1))</f>
        <v>123.60520571614535</v>
      </c>
      <c r="EP128" s="59">
        <f t="shared" si="100"/>
        <v>119.00926870519527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0.13215670401698376</v>
      </c>
      <c r="EW128" s="21">
        <f>EXP(-LN(2)/25)*EW127+(1-EXP(-LN(2)/25))/(LN(2)/25)*Calculateur!ER128*Calculateur!ET128*VLOOKUP('Données projet'!$B$15,Paramètres!$A$1:$I$89,3,0)*0.475*44/12</f>
        <v>0.34294089314234255</v>
      </c>
      <c r="EX128" s="21">
        <f>EXP(-LN(2)/2)*EX127+(1-EXP(-LN(2)/2))/(LN(2)/2)*ER128*EU128*VLOOKUP('Données projet'!$B$15,Paramètres!$A$1:$I$89,3,0)*0.475*44/12</f>
        <v>3.0717090357198667E-14</v>
      </c>
      <c r="EY128" s="22">
        <f t="shared" si="75"/>
        <v>0.47509759715935701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-8.5265128291212022E-14</v>
      </c>
      <c r="FF128" s="17">
        <f>FE128*VLOOKUP('Données projet'!$B$16,Paramètres!$A$1:$I$89,3,0)*VLOOKUP('Données projet'!$B$16,Paramètres!$A$1:$I$89,5,0)</f>
        <v>-6.2516392063116648E-14</v>
      </c>
      <c r="FG128" s="13" t="e">
        <f t="shared" si="101"/>
        <v>#NUM!</v>
      </c>
      <c r="FH128" s="20" t="e">
        <f t="shared" si="76"/>
        <v>#NUM!</v>
      </c>
      <c r="FI128" s="59" t="e">
        <f t="shared" si="77"/>
        <v>#NUM!</v>
      </c>
      <c r="FJ128" s="59">
        <f ca="1">AVERAGE(OFFSET($FI$3,0,0,'Données projet'!$E$16+1,1))-AVERAGE(OFFSET($H$3,0,0,'Données projet'!$E$16+1,1))</f>
        <v>124.15919323713428</v>
      </c>
      <c r="FK128" s="59">
        <f t="shared" si="102"/>
        <v>157.85954678210715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0</v>
      </c>
      <c r="FR128" s="21">
        <f>EXP(-LN(2)/25)*FR127+(1-EXP(-LN(2)/25))/(LN(2)/25)*Calculateur!FM128*Calculateur!FO128*VLOOKUP('Données projet'!$B$16,Paramètres!$A$1:$I$89,3,0)*0.475*44/12</f>
        <v>0.36086264624733327</v>
      </c>
      <c r="FS128" s="21">
        <f>EXP(-LN(2)/2)*FS127+(1-EXP(-LN(2)/2))/(LN(2)/2)*FM128*FP128*VLOOKUP('Données projet'!$B$16,Paramètres!$A$1:$I$89,3,0)*0.475*44/12</f>
        <v>3.7065907460562939E-14</v>
      </c>
      <c r="FT128" s="22">
        <f t="shared" si="78"/>
        <v>0.36086264624737036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-1.1368683772161603E-13</v>
      </c>
      <c r="O129" s="13">
        <f>N129*VLOOKUP('Données projet'!$B$9,Paramètres!$A$1:$I$89,3,0)*VLOOKUP('Données projet'!$B$9,Paramètres!$A$1:$I$89,5,0)</f>
        <v>-1.0286385077051818E-13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237.22177246688199</v>
      </c>
      <c r="T129" s="59">
        <f t="shared" si="88"/>
        <v>149.27472147904302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</v>
      </c>
      <c r="AA129" s="21">
        <f>EXP(-LN(2)/25)*AA128+(1-EXP(-LN(2)/25))/(LN(2)/25)*Calculateur!V129*Calculateur!X129*VLOOKUP('Données projet'!$B$9,Paramètres!$A$1:$I$89,3,0)*0.475*44/12</f>
        <v>0.21688904823565736</v>
      </c>
      <c r="AB129" s="21">
        <f>EXP(-LN(2)/2)*AB128+(1-EXP(-LN(2)/2))/(LN(2)/2)*V129*Y129*VLOOKUP('Données projet'!$B$9,Paramètres!$A$1:$I$89,3,0)*0.475*44/12</f>
        <v>2.1988980785282405E-14</v>
      </c>
      <c r="AC129" s="22">
        <f t="shared" si="57"/>
        <v>0.21688904823567934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-8.5265128291212022E-14</v>
      </c>
      <c r="AJ129" s="13">
        <f>AI129*VLOOKUP('Données projet'!$B$10,Paramètres!$A$1:$I$89,3,0)*VLOOKUP('Données projet'!$B$10,Paramètres!$A$1:$I$89,5,0)</f>
        <v>-7.4487616075202836E-14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191.94797389630673</v>
      </c>
      <c r="AO129" s="59">
        <f t="shared" si="90"/>
        <v>273.52540822767878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0.38462508657238315</v>
      </c>
      <c r="AV129" s="21">
        <f>EXP(-LN(2)/25)*AV128+(1-EXP(-LN(2)/25))/(LN(2)/25)*Calculateur!AQ129*Calculateur!AS129*VLOOKUP('Données projet'!$B$10,Paramètres!$A$1:$I$89,3,0)*0.475*44/12</f>
        <v>0.98098865500264798</v>
      </c>
      <c r="AW129" s="21">
        <f>EXP(-LN(2)/2)*AW128+(1-EXP(-LN(2)/2))/(LN(2)/2)*AQ129*AT129*VLOOKUP('Données projet'!$B$10,Paramètres!$A$1:$I$89,3,0)*0.475*44/12</f>
        <v>8.2433839024778075E-14</v>
      </c>
      <c r="AX129" s="21">
        <f t="shared" si="60"/>
        <v>1.3656137415751135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72.647148358003676</v>
      </c>
      <c r="BJ129" s="59">
        <f t="shared" si="92"/>
        <v>87.231299224620898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0.19009423241178228</v>
      </c>
      <c r="BQ129" s="21">
        <f>EXP(-LN(2)/25)*BQ128+(1-EXP(-LN(2)/25))/(LN(2)/25)*Calculateur!BL129*Calculateur!BN129*VLOOKUP('Données projet'!$B$11,Paramètres!$A$1:$I$89,3,0)*0.475*44/12</f>
        <v>0.31641068607338219</v>
      </c>
      <c r="BR129" s="21">
        <f>EXP(-LN(2)/2)*BR128+(1-EXP(-LN(2)/2))/(LN(2)/2)*BL129*BO129*VLOOKUP('Données projet'!$B$11,Paramètres!$A$1:$I$89,3,0)*0.475*44/12</f>
        <v>8.1033708321981566E-15</v>
      </c>
      <c r="BS129" s="22">
        <f t="shared" si="63"/>
        <v>0.50650491848517254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5.6843418860808015E-14</v>
      </c>
      <c r="BZ129" s="13">
        <f>BY129*VLOOKUP('Données projet'!$B$12,Paramètres!$A$1:$I$89,3,0)*VLOOKUP('Données projet'!$B$12,Paramètres!$A$1:$I$89,5,0)</f>
        <v>3.3992364478763198E-14</v>
      </c>
      <c r="CA129" s="13">
        <f t="shared" si="93"/>
        <v>5.790027782444094E-13</v>
      </c>
      <c r="CB129" s="20">
        <f t="shared" si="64"/>
        <v>1.0676332069095257E-12</v>
      </c>
      <c r="CC129" s="59">
        <f t="shared" si="65"/>
        <v>293.33333333333439</v>
      </c>
      <c r="CD129" s="59">
        <f ca="1">AVERAGE(OFFSET($CC$3,0,0,'Données projet'!$E$12+1,1))-AVERAGE(OFFSET($H$3,0,0,'Données projet'!$E$12+1,1))</f>
        <v>165.39579887388538</v>
      </c>
      <c r="CE129" s="59">
        <f t="shared" si="94"/>
        <v>155.89639262545802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</v>
      </c>
      <c r="CL129" s="21">
        <f>EXP(-LN(2)/25)*CL128+(1-EXP(-LN(2)/25))/(LN(2)/25)*Calculateur!CG129*Calculateur!CI129*VLOOKUP('Données projet'!$B$12,Paramètres!$A$1:$I$89,3,0)*0.475*44/12</f>
        <v>0.50901124142798437</v>
      </c>
      <c r="CM129" s="21">
        <f>EXP(-LN(2)/2)*CM128+(1-EXP(-LN(2)/2))/(LN(2)/2)*CG129*CJ129*VLOOKUP('Données projet'!$B$12,Paramètres!$A$1:$I$89,3,0)*0.475*44/12</f>
        <v>4.9311792819313466E-14</v>
      </c>
      <c r="CN129" s="22">
        <f t="shared" si="66"/>
        <v>0.50901124142803367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3.4106051316484809E-13</v>
      </c>
      <c r="CU129" s="17">
        <f>CT129*VLOOKUP('Données projet'!$B$13,Paramètres!$A$1:$I$89,3,0)*VLOOKUP('Données projet'!$B$13,Paramètres!$A$1:$I$89,5,0)</f>
        <v>2.6602720026858149E-13</v>
      </c>
      <c r="CV129" s="13">
        <f t="shared" si="95"/>
        <v>3.5662905043956649E-12</v>
      </c>
      <c r="CW129" s="20">
        <f t="shared" si="67"/>
        <v>6.6746200022902298E-12</v>
      </c>
      <c r="CX129" s="59">
        <f t="shared" si="68"/>
        <v>293.33333333333997</v>
      </c>
      <c r="CY129" s="59">
        <f ca="1">AVERAGE(OFFSET($CX$3,0,0,'Données projet'!$E$13+1,1))-AVERAGE(OFFSET($H$3,0,0,'Données projet'!$E$13+1,1))</f>
        <v>190.06335940156185</v>
      </c>
      <c r="CZ129" s="59">
        <f t="shared" si="96"/>
        <v>166.43663896839928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0</v>
      </c>
      <c r="DG129" s="21">
        <f>EXP(-LN(2)/25)*DG128+(1-EXP(-LN(2)/25))/(LN(2)/25)*Calculateur!DB129*Calculateur!DD129*VLOOKUP('Données projet'!$B$13,Paramètres!$A$1:$I$89,3,0)*0.475*44/12</f>
        <v>0.31189351619668571</v>
      </c>
      <c r="DH129" s="21">
        <f>EXP(-LN(2)/2)*DH128+(1-EXP(-LN(2)/2))/(LN(2)/2)*DB129*DE129*VLOOKUP('Données projet'!$B$13,Paramètres!$A$1:$I$89,3,0)*0.475*44/12</f>
        <v>1.8923170060028469E-14</v>
      </c>
      <c r="DI129" s="22">
        <f t="shared" si="69"/>
        <v>0.31189351619670463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-1.1368683772161603E-13</v>
      </c>
      <c r="DP129" s="17">
        <f>DO129*VLOOKUP('Données projet'!$B$14,Paramètres!$A$1:$I$89,3,0)*VLOOKUP('Données projet'!$B$14,Paramètres!$A$1:$I$89,5,0)</f>
        <v>-1.0995790944434703E-13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261.22357949323879</v>
      </c>
      <c r="DU129" s="59">
        <f t="shared" si="98"/>
        <v>163.41029152029387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0</v>
      </c>
      <c r="EB129" s="21">
        <f>EXP(-LN(2)/25)*EB128+(1-EXP(-LN(2)/25))/(LN(2)/25)*Calculateur!DW129*Calculateur!DY129*VLOOKUP('Données projet'!$B$14,Paramètres!$A$1:$I$89,3,0)*0.475*44/12</f>
        <v>0.23184691363121976</v>
      </c>
      <c r="EC129" s="21">
        <f>EXP(-LN(2)/2)*EC128+(1-EXP(-LN(2)/2))/(LN(2)/2)*DW129*DZ129*VLOOKUP('Données projet'!$B$14,Paramètres!$A$1:$I$89,3,0)*0.475*44/12</f>
        <v>2.3505462218750153E-14</v>
      </c>
      <c r="ED129" s="22">
        <f t="shared" si="72"/>
        <v>0.23184691363124327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-1.1368683772161603E-13</v>
      </c>
      <c r="EK129" s="17">
        <f>EJ129*VLOOKUP('Données projet'!$B$15,Paramètres!$A$1:$I$89,3,0)*VLOOKUP('Données projet'!$B$15,Paramètres!$A$1:$I$89,5,0)</f>
        <v>-5.3205440053716299E-14</v>
      </c>
      <c r="EL129" s="13" t="e">
        <f t="shared" si="99"/>
        <v>#NUM!</v>
      </c>
      <c r="EM129" s="20" t="e">
        <f t="shared" si="73"/>
        <v>#NUM!</v>
      </c>
      <c r="EN129" s="59" t="e">
        <f t="shared" si="74"/>
        <v>#NUM!</v>
      </c>
      <c r="EO129" s="59">
        <f ca="1">AVERAGE(OFFSET($EN$3,0,0,'Données projet'!$E$15+1,1))-AVERAGE(OFFSET($H$3,0,0,'Données projet'!$E$15+1,1))</f>
        <v>123.60520571614535</v>
      </c>
      <c r="EP129" s="59">
        <f t="shared" si="100"/>
        <v>119.00926870519527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0.12956519165884081</v>
      </c>
      <c r="EW129" s="21">
        <f>EXP(-LN(2)/25)*EW128+(1-EXP(-LN(2)/25))/(LN(2)/25)*Calculateur!ER129*Calculateur!ET129*VLOOKUP('Données projet'!$B$15,Paramètres!$A$1:$I$89,3,0)*0.475*44/12</f>
        <v>0.33356315638488743</v>
      </c>
      <c r="EX129" s="21">
        <f>EXP(-LN(2)/2)*EX128+(1-EXP(-LN(2)/2))/(LN(2)/2)*ER129*EU129*VLOOKUP('Données projet'!$B$15,Paramètres!$A$1:$I$89,3,0)*0.475*44/12</f>
        <v>2.1720262889895087E-14</v>
      </c>
      <c r="EY129" s="22">
        <f t="shared" si="75"/>
        <v>0.46312834804374997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-8.5265128291212022E-14</v>
      </c>
      <c r="FF129" s="17">
        <f>FE129*VLOOKUP('Données projet'!$B$16,Paramètres!$A$1:$I$89,3,0)*VLOOKUP('Données projet'!$B$16,Paramètres!$A$1:$I$89,5,0)</f>
        <v>-6.2516392063116648E-14</v>
      </c>
      <c r="FG129" s="13" t="e">
        <f t="shared" si="101"/>
        <v>#NUM!</v>
      </c>
      <c r="FH129" s="20" t="e">
        <f t="shared" si="76"/>
        <v>#NUM!</v>
      </c>
      <c r="FI129" s="59" t="e">
        <f t="shared" si="77"/>
        <v>#NUM!</v>
      </c>
      <c r="FJ129" s="59">
        <f ca="1">AVERAGE(OFFSET($FI$3,0,0,'Données projet'!$E$16+1,1))-AVERAGE(OFFSET($H$3,0,0,'Données projet'!$E$16+1,1))</f>
        <v>124.15919323713428</v>
      </c>
      <c r="FK129" s="59">
        <f t="shared" si="102"/>
        <v>157.85954678210715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0</v>
      </c>
      <c r="FR129" s="21">
        <f>EXP(-LN(2)/25)*FR128+(1-EXP(-LN(2)/25))/(LN(2)/25)*Calculateur!FM129*Calculateur!FO129*VLOOKUP('Données projet'!$B$16,Paramètres!$A$1:$I$89,3,0)*0.475*44/12</f>
        <v>0.35099483820875815</v>
      </c>
      <c r="FS129" s="21">
        <f>EXP(-LN(2)/2)*FS128+(1-EXP(-LN(2)/2))/(LN(2)/2)*FM129*FP129*VLOOKUP('Données projet'!$B$16,Paramètres!$A$1:$I$89,3,0)*0.475*44/12</f>
        <v>2.6209554516197098E-14</v>
      </c>
      <c r="FT129" s="22">
        <f t="shared" si="78"/>
        <v>0.35099483820878435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-1.1368683772161603E-13</v>
      </c>
      <c r="O130" s="13">
        <f>N130*VLOOKUP('Données projet'!$B$9,Paramètres!$A$1:$I$89,3,0)*VLOOKUP('Données projet'!$B$9,Paramètres!$A$1:$I$89,5,0)</f>
        <v>-1.0286385077051818E-13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237.22177246688199</v>
      </c>
      <c r="T130" s="59">
        <f t="shared" si="88"/>
        <v>149.27472147904302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</v>
      </c>
      <c r="AA130" s="21">
        <f>EXP(-LN(2)/25)*AA129+(1-EXP(-LN(2)/25))/(LN(2)/25)*Calculateur!V130*Calculateur!X130*VLOOKUP('Données projet'!$B$9,Paramètres!$A$1:$I$89,3,0)*0.475*44/12</f>
        <v>0.21095820580595395</v>
      </c>
      <c r="AB130" s="21">
        <f>EXP(-LN(2)/2)*AB129+(1-EXP(-LN(2)/2))/(LN(2)/2)*V130*Y130*VLOOKUP('Données projet'!$B$9,Paramètres!$A$1:$I$89,3,0)*0.475*44/12</f>
        <v>1.5548557424653883E-14</v>
      </c>
      <c r="AC130" s="22">
        <f t="shared" si="57"/>
        <v>0.2109582058059695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-8.5265128291212022E-14</v>
      </c>
      <c r="AJ130" s="13">
        <f>AI130*VLOOKUP('Données projet'!$B$10,Paramètres!$A$1:$I$89,3,0)*VLOOKUP('Données projet'!$B$10,Paramètres!$A$1:$I$89,5,0)</f>
        <v>-7.4487616075202836E-14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191.94797389630673</v>
      </c>
      <c r="AO130" s="59">
        <f t="shared" si="90"/>
        <v>273.52540822767878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0.37708282322283687</v>
      </c>
      <c r="AV130" s="21">
        <f>EXP(-LN(2)/25)*AV129+(1-EXP(-LN(2)/25))/(LN(2)/25)*Calculateur!AQ130*Calculateur!AS130*VLOOKUP('Données projet'!$B$10,Paramètres!$A$1:$I$89,3,0)*0.475*44/12</f>
        <v>0.95416346864364932</v>
      </c>
      <c r="AW130" s="21">
        <f>EXP(-LN(2)/2)*AW129+(1-EXP(-LN(2)/2))/(LN(2)/2)*AQ130*AT130*VLOOKUP('Données projet'!$B$10,Paramètres!$A$1:$I$89,3,0)*0.475*44/12</f>
        <v>5.8289526573660831E-14</v>
      </c>
      <c r="AX130" s="21">
        <f t="shared" si="60"/>
        <v>1.3312462918665446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72.647148358003676</v>
      </c>
      <c r="BJ130" s="59">
        <f t="shared" si="92"/>
        <v>87.231299224620898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0.18636660046022027</v>
      </c>
      <c r="BQ130" s="21">
        <f>EXP(-LN(2)/25)*BQ129+(1-EXP(-LN(2)/25))/(LN(2)/25)*Calculateur!BL130*Calculateur!BN130*VLOOKUP('Données projet'!$B$11,Paramètres!$A$1:$I$89,3,0)*0.475*44/12</f>
        <v>0.30775841922339076</v>
      </c>
      <c r="BR130" s="21">
        <f>EXP(-LN(2)/2)*BR129+(1-EXP(-LN(2)/2))/(LN(2)/2)*BL130*BO130*VLOOKUP('Données projet'!$B$11,Paramètres!$A$1:$I$89,3,0)*0.475*44/12</f>
        <v>5.7299484659165935E-15</v>
      </c>
      <c r="BS130" s="22">
        <f t="shared" si="63"/>
        <v>0.49412501968361672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5.6843418860808015E-14</v>
      </c>
      <c r="BZ130" s="13">
        <f>BY130*VLOOKUP('Données projet'!$B$12,Paramètres!$A$1:$I$89,3,0)*VLOOKUP('Données projet'!$B$12,Paramètres!$A$1:$I$89,5,0)</f>
        <v>3.3992364478763198E-14</v>
      </c>
      <c r="CA130" s="13">
        <f t="shared" si="93"/>
        <v>5.790027782444094E-13</v>
      </c>
      <c r="CB130" s="20">
        <f t="shared" si="64"/>
        <v>1.0676332069095257E-12</v>
      </c>
      <c r="CC130" s="59">
        <f t="shared" si="65"/>
        <v>293.33333333333439</v>
      </c>
      <c r="CD130" s="59">
        <f ca="1">AVERAGE(OFFSET($CC$3,0,0,'Données projet'!$E$12+1,1))-AVERAGE(OFFSET($H$3,0,0,'Données projet'!$E$12+1,1))</f>
        <v>165.39579887388538</v>
      </c>
      <c r="CE130" s="59">
        <f t="shared" si="94"/>
        <v>155.89639262545802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</v>
      </c>
      <c r="CL130" s="21">
        <f>EXP(-LN(2)/25)*CL129+(1-EXP(-LN(2)/25))/(LN(2)/25)*Calculateur!CG130*Calculateur!CI130*VLOOKUP('Données projet'!$B$12,Paramètres!$A$1:$I$89,3,0)*0.475*44/12</f>
        <v>0.49509230226339829</v>
      </c>
      <c r="CM130" s="21">
        <f>EXP(-LN(2)/2)*CM129+(1-EXP(-LN(2)/2))/(LN(2)/2)*CG130*CJ130*VLOOKUP('Données projet'!$B$12,Paramètres!$A$1:$I$89,3,0)*0.475*44/12</f>
        <v>3.4868703095002652E-14</v>
      </c>
      <c r="CN130" s="22">
        <f t="shared" si="66"/>
        <v>0.49509230226343315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3.4106051316484809E-13</v>
      </c>
      <c r="CU130" s="17">
        <f>CT130*VLOOKUP('Données projet'!$B$13,Paramètres!$A$1:$I$89,3,0)*VLOOKUP('Données projet'!$B$13,Paramètres!$A$1:$I$89,5,0)</f>
        <v>2.6602720026858149E-13</v>
      </c>
      <c r="CV130" s="13">
        <f t="shared" si="95"/>
        <v>3.5662905043956649E-12</v>
      </c>
      <c r="CW130" s="20">
        <f t="shared" si="67"/>
        <v>6.6746200022902298E-12</v>
      </c>
      <c r="CX130" s="59">
        <f t="shared" si="68"/>
        <v>293.33333333333997</v>
      </c>
      <c r="CY130" s="59">
        <f ca="1">AVERAGE(OFFSET($CX$3,0,0,'Données projet'!$E$13+1,1))-AVERAGE(OFFSET($H$3,0,0,'Données projet'!$E$13+1,1))</f>
        <v>190.06335940156185</v>
      </c>
      <c r="CZ130" s="59">
        <f t="shared" si="96"/>
        <v>166.43663896839928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0</v>
      </c>
      <c r="DG130" s="21">
        <f>EXP(-LN(2)/25)*DG129+(1-EXP(-LN(2)/25))/(LN(2)/25)*Calculateur!DB130*Calculateur!DD130*VLOOKUP('Données projet'!$B$13,Paramètres!$A$1:$I$89,3,0)*0.475*44/12</f>
        <v>0.30336477159452013</v>
      </c>
      <c r="DH130" s="21">
        <f>EXP(-LN(2)/2)*DH129+(1-EXP(-LN(2)/2))/(LN(2)/2)*DB130*DE130*VLOOKUP('Données projet'!$B$13,Paramètres!$A$1:$I$89,3,0)*0.475*44/12</f>
        <v>1.3380701870992378E-14</v>
      </c>
      <c r="DI130" s="22">
        <f t="shared" si="69"/>
        <v>0.30336477159453351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-1.1368683772161603E-13</v>
      </c>
      <c r="DP130" s="17">
        <f>DO130*VLOOKUP('Données projet'!$B$14,Paramètres!$A$1:$I$89,3,0)*VLOOKUP('Données projet'!$B$14,Paramètres!$A$1:$I$89,5,0)</f>
        <v>-1.0995790944434703E-13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261.22357949323879</v>
      </c>
      <c r="DU130" s="59">
        <f t="shared" si="98"/>
        <v>163.41029152029387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0</v>
      </c>
      <c r="EB130" s="21">
        <f>EXP(-LN(2)/25)*EB129+(1-EXP(-LN(2)/25))/(LN(2)/25)*Calculateur!DW130*Calculateur!DY130*VLOOKUP('Données projet'!$B$14,Paramètres!$A$1:$I$89,3,0)*0.475*44/12</f>
        <v>0.22550704758567475</v>
      </c>
      <c r="EC130" s="21">
        <f>EXP(-LN(2)/2)*EC129+(1-EXP(-LN(2)/2))/(LN(2)/2)*DW130*DZ130*VLOOKUP('Données projet'!$B$14,Paramètres!$A$1:$I$89,3,0)*0.475*44/12</f>
        <v>1.6620871729802424E-14</v>
      </c>
      <c r="ED130" s="22">
        <f t="shared" si="72"/>
        <v>0.22550704758569137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-1.1368683772161603E-13</v>
      </c>
      <c r="EK130" s="17">
        <f>EJ130*VLOOKUP('Données projet'!$B$15,Paramètres!$A$1:$I$89,3,0)*VLOOKUP('Données projet'!$B$15,Paramètres!$A$1:$I$89,5,0)</f>
        <v>-5.3205440053716299E-14</v>
      </c>
      <c r="EL130" s="13" t="e">
        <f t="shared" si="99"/>
        <v>#NUM!</v>
      </c>
      <c r="EM130" s="20" t="e">
        <f t="shared" si="73"/>
        <v>#NUM!</v>
      </c>
      <c r="EN130" s="59" t="e">
        <f t="shared" si="74"/>
        <v>#NUM!</v>
      </c>
      <c r="EO130" s="59">
        <f ca="1">AVERAGE(OFFSET($EN$3,0,0,'Données projet'!$E$15+1,1))-AVERAGE(OFFSET($H$3,0,0,'Données projet'!$E$15+1,1))</f>
        <v>123.60520571614535</v>
      </c>
      <c r="EP130" s="59">
        <f t="shared" si="100"/>
        <v>119.00926870519527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0.12702449727737458</v>
      </c>
      <c r="EW130" s="21">
        <f>EXP(-LN(2)/25)*EW129+(1-EXP(-LN(2)/25))/(LN(2)/25)*Calculateur!ER130*Calculateur!ET130*VLOOKUP('Données projet'!$B$15,Paramètres!$A$1:$I$89,3,0)*0.475*44/12</f>
        <v>0.32444185433221867</v>
      </c>
      <c r="EX130" s="21">
        <f>EXP(-LN(2)/2)*EX129+(1-EXP(-LN(2)/2))/(LN(2)/2)*ER130*EU130*VLOOKUP('Données projet'!$B$15,Paramètres!$A$1:$I$89,3,0)*0.475*44/12</f>
        <v>1.5358545178599334E-14</v>
      </c>
      <c r="EY130" s="22">
        <f t="shared" si="75"/>
        <v>0.45146635160960863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-8.5265128291212022E-14</v>
      </c>
      <c r="FF130" s="17">
        <f>FE130*VLOOKUP('Données projet'!$B$16,Paramètres!$A$1:$I$89,3,0)*VLOOKUP('Données projet'!$B$16,Paramètres!$A$1:$I$89,5,0)</f>
        <v>-6.2516392063116648E-14</v>
      </c>
      <c r="FG130" s="13" t="e">
        <f t="shared" si="101"/>
        <v>#NUM!</v>
      </c>
      <c r="FH130" s="20" t="e">
        <f t="shared" si="76"/>
        <v>#NUM!</v>
      </c>
      <c r="FI130" s="59" t="e">
        <f t="shared" si="77"/>
        <v>#NUM!</v>
      </c>
      <c r="FJ130" s="59">
        <f ca="1">AVERAGE(OFFSET($FI$3,0,0,'Données projet'!$E$16+1,1))-AVERAGE(OFFSET($H$3,0,0,'Données projet'!$E$16+1,1))</f>
        <v>124.15919323713428</v>
      </c>
      <c r="FK130" s="59">
        <f t="shared" si="102"/>
        <v>157.85954678210715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0</v>
      </c>
      <c r="FR130" s="21">
        <f>EXP(-LN(2)/25)*FR129+(1-EXP(-LN(2)/25))/(LN(2)/25)*Calculateur!FM130*Calculateur!FO130*VLOOKUP('Données projet'!$B$16,Paramètres!$A$1:$I$89,3,0)*0.475*44/12</f>
        <v>0.34139686589992335</v>
      </c>
      <c r="FS130" s="21">
        <f>EXP(-LN(2)/2)*FS129+(1-EXP(-LN(2)/2))/(LN(2)/2)*FM130*FP130*VLOOKUP('Données projet'!$B$16,Paramètres!$A$1:$I$89,3,0)*0.475*44/12</f>
        <v>1.853295373028147E-14</v>
      </c>
      <c r="FT130" s="22">
        <f t="shared" si="78"/>
        <v>0.34139686589994189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-1.1368683772161603E-13</v>
      </c>
      <c r="O131" s="13">
        <f>N131*VLOOKUP('Données projet'!$B$9,Paramètres!$A$1:$I$89,3,0)*VLOOKUP('Données projet'!$B$9,Paramètres!$A$1:$I$89,5,0)</f>
        <v>-1.0286385077051818E-13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237.22177246688199</v>
      </c>
      <c r="T131" s="59">
        <f t="shared" si="88"/>
        <v>149.27472147904302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</v>
      </c>
      <c r="AA131" s="21">
        <f>EXP(-LN(2)/25)*AA130+(1-EXP(-LN(2)/25))/(LN(2)/25)*Calculateur!V131*Calculateur!X131*VLOOKUP('Données projet'!$B$9,Paramètres!$A$1:$I$89,3,0)*0.475*44/12</f>
        <v>0.20518954257438024</v>
      </c>
      <c r="AB131" s="21">
        <f>EXP(-LN(2)/2)*AB130+(1-EXP(-LN(2)/2))/(LN(2)/2)*V131*Y131*VLOOKUP('Données projet'!$B$9,Paramètres!$A$1:$I$89,3,0)*0.475*44/12</f>
        <v>1.0994490392641203E-14</v>
      </c>
      <c r="AC131" s="22">
        <f t="shared" si="57"/>
        <v>0.20518954257439123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-8.5265128291212022E-14</v>
      </c>
      <c r="AJ131" s="13">
        <f>AI131*VLOOKUP('Données projet'!$B$10,Paramètres!$A$1:$I$89,3,0)*VLOOKUP('Données projet'!$B$10,Paramètres!$A$1:$I$89,5,0)</f>
        <v>-7.4487616075202836E-14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191.94797389630673</v>
      </c>
      <c r="AO131" s="59">
        <f t="shared" si="90"/>
        <v>273.52540822767878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0.36968845905724879</v>
      </c>
      <c r="AV131" s="21">
        <f>EXP(-LN(2)/25)*AV130+(1-EXP(-LN(2)/25))/(LN(2)/25)*Calculateur!AQ131*Calculateur!AS131*VLOOKUP('Données projet'!$B$10,Paramètres!$A$1:$I$89,3,0)*0.475*44/12</f>
        <v>0.9280718184163127</v>
      </c>
      <c r="AW131" s="21">
        <f>EXP(-LN(2)/2)*AW130+(1-EXP(-LN(2)/2))/(LN(2)/2)*AQ131*AT131*VLOOKUP('Données projet'!$B$10,Paramètres!$A$1:$I$89,3,0)*0.475*44/12</f>
        <v>4.1216919512389038E-14</v>
      </c>
      <c r="AX131" s="21">
        <f t="shared" si="60"/>
        <v>1.2977602774736028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72.647148358003676</v>
      </c>
      <c r="BJ131" s="59">
        <f t="shared" si="92"/>
        <v>87.231299224620898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0.18271206509759741</v>
      </c>
      <c r="BQ131" s="21">
        <f>EXP(-LN(2)/25)*BQ130+(1-EXP(-LN(2)/25))/(LN(2)/25)*Calculateur!BL131*Calculateur!BN131*VLOOKUP('Données projet'!$B$11,Paramètres!$A$1:$I$89,3,0)*0.475*44/12</f>
        <v>0.29934274906541525</v>
      </c>
      <c r="BR131" s="21">
        <f>EXP(-LN(2)/2)*BR130+(1-EXP(-LN(2)/2))/(LN(2)/2)*BL131*BO131*VLOOKUP('Données projet'!$B$11,Paramètres!$A$1:$I$89,3,0)*0.475*44/12</f>
        <v>4.0516854160990783E-15</v>
      </c>
      <c r="BS131" s="22">
        <f t="shared" si="63"/>
        <v>0.48205481416301671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5.6843418860808015E-14</v>
      </c>
      <c r="BZ131" s="13">
        <f>BY131*VLOOKUP('Données projet'!$B$12,Paramètres!$A$1:$I$89,3,0)*VLOOKUP('Données projet'!$B$12,Paramètres!$A$1:$I$89,5,0)</f>
        <v>3.3992364478763198E-14</v>
      </c>
      <c r="CA131" s="13">
        <f t="shared" si="93"/>
        <v>5.790027782444094E-13</v>
      </c>
      <c r="CB131" s="20">
        <f t="shared" si="64"/>
        <v>1.0676332069095257E-12</v>
      </c>
      <c r="CC131" s="59">
        <f t="shared" si="65"/>
        <v>293.33333333333439</v>
      </c>
      <c r="CD131" s="59">
        <f ca="1">AVERAGE(OFFSET($CC$3,0,0,'Données projet'!$E$12+1,1))-AVERAGE(OFFSET($H$3,0,0,'Données projet'!$E$12+1,1))</f>
        <v>165.39579887388538</v>
      </c>
      <c r="CE131" s="59">
        <f t="shared" si="94"/>
        <v>155.89639262545802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</v>
      </c>
      <c r="CL131" s="21">
        <f>EXP(-LN(2)/25)*CL130+(1-EXP(-LN(2)/25))/(LN(2)/25)*Calculateur!CG131*Calculateur!CI131*VLOOKUP('Données projet'!$B$12,Paramètres!$A$1:$I$89,3,0)*0.475*44/12</f>
        <v>0.48155397722223303</v>
      </c>
      <c r="CM131" s="21">
        <f>EXP(-LN(2)/2)*CM130+(1-EXP(-LN(2)/2))/(LN(2)/2)*CG131*CJ131*VLOOKUP('Données projet'!$B$12,Paramètres!$A$1:$I$89,3,0)*0.475*44/12</f>
        <v>2.4655896409656733E-14</v>
      </c>
      <c r="CN131" s="22">
        <f t="shared" si="66"/>
        <v>0.48155397722225768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3.4106051316484809E-13</v>
      </c>
      <c r="CU131" s="17">
        <f>CT131*VLOOKUP('Données projet'!$B$13,Paramètres!$A$1:$I$89,3,0)*VLOOKUP('Données projet'!$B$13,Paramètres!$A$1:$I$89,5,0)</f>
        <v>2.6602720026858149E-13</v>
      </c>
      <c r="CV131" s="13">
        <f t="shared" si="95"/>
        <v>3.5662905043956649E-12</v>
      </c>
      <c r="CW131" s="20">
        <f t="shared" si="67"/>
        <v>6.6746200022902298E-12</v>
      </c>
      <c r="CX131" s="59">
        <f t="shared" si="68"/>
        <v>293.33333333333997</v>
      </c>
      <c r="CY131" s="59">
        <f ca="1">AVERAGE(OFFSET($CX$3,0,0,'Données projet'!$E$13+1,1))-AVERAGE(OFFSET($H$3,0,0,'Données projet'!$E$13+1,1))</f>
        <v>190.06335940156185</v>
      </c>
      <c r="CZ131" s="59">
        <f t="shared" si="96"/>
        <v>166.43663896839928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0</v>
      </c>
      <c r="DG131" s="21">
        <f>EXP(-LN(2)/25)*DG130+(1-EXP(-LN(2)/25))/(LN(2)/25)*Calculateur!DB131*Calculateur!DD131*VLOOKUP('Données projet'!$B$13,Paramètres!$A$1:$I$89,3,0)*0.475*44/12</f>
        <v>0.29506924596200801</v>
      </c>
      <c r="DH131" s="21">
        <f>EXP(-LN(2)/2)*DH130+(1-EXP(-LN(2)/2))/(LN(2)/2)*DB131*DE131*VLOOKUP('Données projet'!$B$13,Paramètres!$A$1:$I$89,3,0)*0.475*44/12</f>
        <v>9.4615850300142343E-15</v>
      </c>
      <c r="DI131" s="22">
        <f t="shared" si="69"/>
        <v>0.29506924596201745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-1.1368683772161603E-13</v>
      </c>
      <c r="DP131" s="17">
        <f>DO131*VLOOKUP('Données projet'!$B$14,Paramètres!$A$1:$I$89,3,0)*VLOOKUP('Données projet'!$B$14,Paramètres!$A$1:$I$89,5,0)</f>
        <v>-1.0995790944434703E-13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261.22357949323879</v>
      </c>
      <c r="DU131" s="59">
        <f t="shared" si="98"/>
        <v>163.41029152029387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0</v>
      </c>
      <c r="EB131" s="21">
        <f>EXP(-LN(2)/25)*EB130+(1-EXP(-LN(2)/25))/(LN(2)/25)*Calculateur!DW131*Calculateur!DY131*VLOOKUP('Données projet'!$B$14,Paramètres!$A$1:$I$89,3,0)*0.475*44/12</f>
        <v>0.21934054551054424</v>
      </c>
      <c r="EC131" s="21">
        <f>EXP(-LN(2)/2)*EC130+(1-EXP(-LN(2)/2))/(LN(2)/2)*DW131*DZ131*VLOOKUP('Données projet'!$B$14,Paramètres!$A$1:$I$89,3,0)*0.475*44/12</f>
        <v>1.1752731109375076E-14</v>
      </c>
      <c r="ED131" s="22">
        <f t="shared" si="72"/>
        <v>0.21934054551055598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-1.1368683772161603E-13</v>
      </c>
      <c r="EK131" s="17">
        <f>EJ131*VLOOKUP('Données projet'!$B$15,Paramètres!$A$1:$I$89,3,0)*VLOOKUP('Données projet'!$B$15,Paramètres!$A$1:$I$89,5,0)</f>
        <v>-5.3205440053716299E-14</v>
      </c>
      <c r="EL131" s="13" t="e">
        <f t="shared" si="99"/>
        <v>#NUM!</v>
      </c>
      <c r="EM131" s="20" t="e">
        <f t="shared" si="73"/>
        <v>#NUM!</v>
      </c>
      <c r="EN131" s="59" t="e">
        <f t="shared" si="74"/>
        <v>#NUM!</v>
      </c>
      <c r="EO131" s="59">
        <f ca="1">AVERAGE(OFFSET($EN$3,0,0,'Données projet'!$E$15+1,1))-AVERAGE(OFFSET($H$3,0,0,'Données projet'!$E$15+1,1))</f>
        <v>123.60520571614535</v>
      </c>
      <c r="EP131" s="59">
        <f t="shared" si="100"/>
        <v>119.00926870519527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0.12453362436305836</v>
      </c>
      <c r="EW131" s="21">
        <f>EXP(-LN(2)/25)*EW130+(1-EXP(-LN(2)/25))/(LN(2)/25)*Calculateur!ER131*Calculateur!ET131*VLOOKUP('Données projet'!$B$15,Paramètres!$A$1:$I$89,3,0)*0.475*44/12</f>
        <v>0.31556997476384857</v>
      </c>
      <c r="EX131" s="21">
        <f>EXP(-LN(2)/2)*EX130+(1-EXP(-LN(2)/2))/(LN(2)/2)*ER131*EU131*VLOOKUP('Données projet'!$B$15,Paramètres!$A$1:$I$89,3,0)*0.475*44/12</f>
        <v>1.0860131444947544E-14</v>
      </c>
      <c r="EY131" s="22">
        <f t="shared" si="75"/>
        <v>0.44010359912691782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-8.5265128291212022E-14</v>
      </c>
      <c r="FF131" s="17">
        <f>FE131*VLOOKUP('Données projet'!$B$16,Paramètres!$A$1:$I$89,3,0)*VLOOKUP('Données projet'!$B$16,Paramètres!$A$1:$I$89,5,0)</f>
        <v>-6.2516392063116648E-14</v>
      </c>
      <c r="FG131" s="13" t="e">
        <f t="shared" si="101"/>
        <v>#NUM!</v>
      </c>
      <c r="FH131" s="20" t="e">
        <f t="shared" si="76"/>
        <v>#NUM!</v>
      </c>
      <c r="FI131" s="59" t="e">
        <f t="shared" si="77"/>
        <v>#NUM!</v>
      </c>
      <c r="FJ131" s="59">
        <f ca="1">AVERAGE(OFFSET($FI$3,0,0,'Données projet'!$E$16+1,1))-AVERAGE(OFFSET($H$3,0,0,'Données projet'!$E$16+1,1))</f>
        <v>124.15919323713428</v>
      </c>
      <c r="FK131" s="59">
        <f t="shared" si="102"/>
        <v>157.85954678210715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0</v>
      </c>
      <c r="FR131" s="21">
        <f>EXP(-LN(2)/25)*FR130+(1-EXP(-LN(2)/25))/(LN(2)/25)*Calculateur!FM131*Calculateur!FO131*VLOOKUP('Données projet'!$B$16,Paramètres!$A$1:$I$89,3,0)*0.475*44/12</f>
        <v>0.33206135064860903</v>
      </c>
      <c r="FS131" s="21">
        <f>EXP(-LN(2)/2)*FS130+(1-EXP(-LN(2)/2))/(LN(2)/2)*FM131*FP131*VLOOKUP('Données projet'!$B$16,Paramètres!$A$1:$I$89,3,0)*0.475*44/12</f>
        <v>1.3104777258098549E-14</v>
      </c>
      <c r="FT131" s="22">
        <f t="shared" si="78"/>
        <v>0.33206135064862213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-1.1368683772161603E-13</v>
      </c>
      <c r="O132" s="13">
        <f>N132*VLOOKUP('Données projet'!$B$9,Paramètres!$A$1:$I$89,3,0)*VLOOKUP('Données projet'!$B$9,Paramètres!$A$1:$I$89,5,0)</f>
        <v>-1.0286385077051818E-13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237.22177246688199</v>
      </c>
      <c r="T132" s="59">
        <f t="shared" si="88"/>
        <v>149.27472147904302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</v>
      </c>
      <c r="AA132" s="21">
        <f>EXP(-LN(2)/25)*AA131+(1-EXP(-LN(2)/25))/(LN(2)/25)*Calculateur!V132*Calculateur!X132*VLOOKUP('Données projet'!$B$9,Paramètres!$A$1:$I$89,3,0)*0.475*44/12</f>
        <v>0.19957862374223473</v>
      </c>
      <c r="AB132" s="21">
        <f>EXP(-LN(2)/2)*AB131+(1-EXP(-LN(2)/2))/(LN(2)/2)*V132*Y132*VLOOKUP('Données projet'!$B$9,Paramètres!$A$1:$I$89,3,0)*0.475*44/12</f>
        <v>7.7742787123269417E-15</v>
      </c>
      <c r="AC132" s="22">
        <f t="shared" ref="AC132:AC153" si="111">SUM(Z132:AB132)</f>
        <v>0.1995786237422425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-8.5265128291212022E-14</v>
      </c>
      <c r="AJ132" s="13">
        <f>AI132*VLOOKUP('Données projet'!$B$10,Paramètres!$A$1:$I$89,3,0)*VLOOKUP('Données projet'!$B$10,Paramètres!$A$1:$I$89,5,0)</f>
        <v>-7.4487616075202836E-14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191.94797389630673</v>
      </c>
      <c r="AO132" s="59">
        <f t="shared" si="90"/>
        <v>273.52540822767878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0.36243909386283107</v>
      </c>
      <c r="AV132" s="21">
        <f>EXP(-LN(2)/25)*AV131+(1-EXP(-LN(2)/25))/(LN(2)/25)*Calculateur!AQ132*Calculateur!AS132*VLOOKUP('Données projet'!$B$10,Paramètres!$A$1:$I$89,3,0)*0.475*44/12</f>
        <v>0.90269364573654287</v>
      </c>
      <c r="AW132" s="21">
        <f>EXP(-LN(2)/2)*AW131+(1-EXP(-LN(2)/2))/(LN(2)/2)*AQ132*AT132*VLOOKUP('Données projet'!$B$10,Paramètres!$A$1:$I$89,3,0)*0.475*44/12</f>
        <v>2.9144763286830415E-14</v>
      </c>
      <c r="AX132" s="21">
        <f t="shared" ref="AX132:AX153" si="114">SUM(AU132:AW132)</f>
        <v>1.265132739599403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72.647148358003676</v>
      </c>
      <c r="BJ132" s="59">
        <f t="shared" si="92"/>
        <v>87.231299224620898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0.17912919294438912</v>
      </c>
      <c r="BQ132" s="21">
        <f>EXP(-LN(2)/25)*BQ131+(1-EXP(-LN(2)/25))/(LN(2)/25)*Calculateur!BL132*Calculateur!BN132*VLOOKUP('Données projet'!$B$11,Paramètres!$A$1:$I$89,3,0)*0.475*44/12</f>
        <v>0.29115720585047045</v>
      </c>
      <c r="BR132" s="21">
        <f>EXP(-LN(2)/2)*BR131+(1-EXP(-LN(2)/2))/(LN(2)/2)*BL132*BO132*VLOOKUP('Données projet'!$B$11,Paramètres!$A$1:$I$89,3,0)*0.475*44/12</f>
        <v>2.8649742329582967E-15</v>
      </c>
      <c r="BS132" s="22">
        <f t="shared" ref="BS132:BS153" si="117">SUM(BP132:BR132)</f>
        <v>0.47028639879486245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5.6843418860808015E-14</v>
      </c>
      <c r="BZ132" s="13">
        <f>BY132*VLOOKUP('Données projet'!$B$12,Paramètres!$A$1:$I$89,3,0)*VLOOKUP('Données projet'!$B$12,Paramètres!$A$1:$I$89,5,0)</f>
        <v>3.3992364478763198E-14</v>
      </c>
      <c r="CA132" s="13">
        <f t="shared" si="93"/>
        <v>5.790027782444094E-13</v>
      </c>
      <c r="CB132" s="20">
        <f t="shared" ref="CB132:CB153" si="118">(BZ132+CA132)*0.475*44/12</f>
        <v>1.0676332069095257E-12</v>
      </c>
      <c r="CC132" s="59">
        <f t="shared" ref="CC132:CC195" si="119">CB132+(BT132+BU132)*44/12</f>
        <v>293.33333333333439</v>
      </c>
      <c r="CD132" s="59">
        <f ca="1">AVERAGE(OFFSET($CC$3,0,0,'Données projet'!$E$12+1,1))-AVERAGE(OFFSET($H$3,0,0,'Données projet'!$E$12+1,1))</f>
        <v>165.39579887388538</v>
      </c>
      <c r="CE132" s="59">
        <f t="shared" si="94"/>
        <v>155.89639262545802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</v>
      </c>
      <c r="CL132" s="21">
        <f>EXP(-LN(2)/25)*CL131+(1-EXP(-LN(2)/25))/(LN(2)/25)*Calculateur!CG132*Calculateur!CI132*VLOOKUP('Données projet'!$B$12,Paramètres!$A$1:$I$89,3,0)*0.475*44/12</f>
        <v>0.46838585839126801</v>
      </c>
      <c r="CM132" s="21">
        <f>EXP(-LN(2)/2)*CM131+(1-EXP(-LN(2)/2))/(LN(2)/2)*CG132*CJ132*VLOOKUP('Données projet'!$B$12,Paramètres!$A$1:$I$89,3,0)*0.475*44/12</f>
        <v>1.7434351547501326E-14</v>
      </c>
      <c r="CN132" s="22">
        <f t="shared" ref="CN132:CN153" si="120">SUM(CK132:CM132)</f>
        <v>0.46838585839128544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3.4106051316484809E-13</v>
      </c>
      <c r="CU132" s="17">
        <f>CT132*VLOOKUP('Données projet'!$B$13,Paramètres!$A$1:$I$89,3,0)*VLOOKUP('Données projet'!$B$13,Paramètres!$A$1:$I$89,5,0)</f>
        <v>2.6602720026858149E-13</v>
      </c>
      <c r="CV132" s="13">
        <f t="shared" si="95"/>
        <v>3.5662905043956649E-12</v>
      </c>
      <c r="CW132" s="20">
        <f t="shared" ref="CW132:CW153" si="121">(CU132+CV132)*0.475*44/12</f>
        <v>6.6746200022902298E-12</v>
      </c>
      <c r="CX132" s="59">
        <f t="shared" ref="CX132:CX195" si="122">CW132+(CO132+CP132)*44/12</f>
        <v>293.33333333333997</v>
      </c>
      <c r="CY132" s="59">
        <f ca="1">AVERAGE(OFFSET($CX$3,0,0,'Données projet'!$E$13+1,1))-AVERAGE(OFFSET($H$3,0,0,'Données projet'!$E$13+1,1))</f>
        <v>190.06335940156185</v>
      </c>
      <c r="CZ132" s="59">
        <f t="shared" si="96"/>
        <v>166.43663896839928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0</v>
      </c>
      <c r="DG132" s="21">
        <f>EXP(-LN(2)/25)*DG131+(1-EXP(-LN(2)/25))/(LN(2)/25)*Calculateur!DB132*Calculateur!DD132*VLOOKUP('Données projet'!$B$13,Paramètres!$A$1:$I$89,3,0)*0.475*44/12</f>
        <v>0.28700056191415962</v>
      </c>
      <c r="DH132" s="21">
        <f>EXP(-LN(2)/2)*DH131+(1-EXP(-LN(2)/2))/(LN(2)/2)*DB132*DE132*VLOOKUP('Données projet'!$B$13,Paramètres!$A$1:$I$89,3,0)*0.475*44/12</f>
        <v>6.6903509354961889E-15</v>
      </c>
      <c r="DI132" s="22">
        <f t="shared" ref="DI132:DI153" si="123">SUM(DF132:DH132)</f>
        <v>0.28700056191416634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-1.1368683772161603E-13</v>
      </c>
      <c r="DP132" s="17">
        <f>DO132*VLOOKUP('Données projet'!$B$14,Paramètres!$A$1:$I$89,3,0)*VLOOKUP('Données projet'!$B$14,Paramètres!$A$1:$I$89,5,0)</f>
        <v>-1.0995790944434703E-13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261.22357949323879</v>
      </c>
      <c r="DU132" s="59">
        <f t="shared" si="98"/>
        <v>163.41029152029387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0</v>
      </c>
      <c r="EB132" s="21">
        <f>EXP(-LN(2)/25)*EB131+(1-EXP(-LN(2)/25))/(LN(2)/25)*Calculateur!DW132*Calculateur!DY132*VLOOKUP('Données projet'!$B$14,Paramètres!$A$1:$I$89,3,0)*0.475*44/12</f>
        <v>0.21334266675894042</v>
      </c>
      <c r="EC132" s="21">
        <f>EXP(-LN(2)/2)*EC131+(1-EXP(-LN(2)/2))/(LN(2)/2)*DW132*DZ132*VLOOKUP('Données projet'!$B$14,Paramètres!$A$1:$I$89,3,0)*0.475*44/12</f>
        <v>8.3104358649012119E-15</v>
      </c>
      <c r="ED132" s="22">
        <f t="shared" ref="ED132:ED153" si="126">SUM(EA132:EC132)</f>
        <v>0.21334266675894872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-1.1368683772161603E-13</v>
      </c>
      <c r="EK132" s="17">
        <f>EJ132*VLOOKUP('Données projet'!$B$15,Paramètres!$A$1:$I$89,3,0)*VLOOKUP('Données projet'!$B$15,Paramètres!$A$1:$I$89,5,0)</f>
        <v>-5.3205440053716299E-14</v>
      </c>
      <c r="EL132" s="13" t="e">
        <f t="shared" si="99"/>
        <v>#NUM!</v>
      </c>
      <c r="EM132" s="20" t="e">
        <f t="shared" ref="EM132:EM153" si="127">(EK132+EL132)*0.475*44/12</f>
        <v>#NUM!</v>
      </c>
      <c r="EN132" s="59" t="e">
        <f t="shared" ref="EN132:EN195" si="128">EM132+(EE132+EF132)*44/12</f>
        <v>#NUM!</v>
      </c>
      <c r="EO132" s="59">
        <f ca="1">AVERAGE(OFFSET($EN$3,0,0,'Données projet'!$E$15+1,1))-AVERAGE(OFFSET($H$3,0,0,'Données projet'!$E$15+1,1))</f>
        <v>123.60520571614535</v>
      </c>
      <c r="EP132" s="59">
        <f t="shared" si="100"/>
        <v>119.00926870519527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0.12209159594730941</v>
      </c>
      <c r="EW132" s="21">
        <f>EXP(-LN(2)/25)*EW131+(1-EXP(-LN(2)/25))/(LN(2)/25)*Calculateur!ER132*Calculateur!ET132*VLOOKUP('Données projet'!$B$15,Paramètres!$A$1:$I$89,3,0)*0.475*44/12</f>
        <v>0.30694069720882738</v>
      </c>
      <c r="EX132" s="21">
        <f>EXP(-LN(2)/2)*EX131+(1-EXP(-LN(2)/2))/(LN(2)/2)*ER132*EU132*VLOOKUP('Données projet'!$B$15,Paramètres!$A$1:$I$89,3,0)*0.475*44/12</f>
        <v>7.6792725892996668E-15</v>
      </c>
      <c r="EY132" s="22">
        <f t="shared" ref="EY132:EY153" si="129">SUM(EV132:EX132)</f>
        <v>0.42903229315614444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-8.5265128291212022E-14</v>
      </c>
      <c r="FF132" s="17">
        <f>FE132*VLOOKUP('Données projet'!$B$16,Paramètres!$A$1:$I$89,3,0)*VLOOKUP('Données projet'!$B$16,Paramètres!$A$1:$I$89,5,0)</f>
        <v>-6.2516392063116648E-14</v>
      </c>
      <c r="FG132" s="13" t="e">
        <f t="shared" si="101"/>
        <v>#NUM!</v>
      </c>
      <c r="FH132" s="20" t="e">
        <f t="shared" ref="FH132:FH153" si="130">(FF132+FG132)*0.475*44/12</f>
        <v>#NUM!</v>
      </c>
      <c r="FI132" s="59" t="e">
        <f t="shared" ref="FI132:FI195" si="131">FH132+(EZ132+FA132)*44/12</f>
        <v>#NUM!</v>
      </c>
      <c r="FJ132" s="59">
        <f ca="1">AVERAGE(OFFSET($FI$3,0,0,'Données projet'!$E$16+1,1))-AVERAGE(OFFSET($H$3,0,0,'Données projet'!$E$16+1,1))</f>
        <v>124.15919323713428</v>
      </c>
      <c r="FK132" s="59">
        <f t="shared" si="102"/>
        <v>157.85954678210715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0</v>
      </c>
      <c r="FR132" s="21">
        <f>EXP(-LN(2)/25)*FR131+(1-EXP(-LN(2)/25))/(LN(2)/25)*Calculateur!FM132*Calculateur!FO132*VLOOKUP('Données projet'!$B$16,Paramètres!$A$1:$I$89,3,0)*0.475*44/12</f>
        <v>0.32298111555277531</v>
      </c>
      <c r="FS132" s="21">
        <f>EXP(-LN(2)/2)*FS131+(1-EXP(-LN(2)/2))/(LN(2)/2)*FM132*FP132*VLOOKUP('Données projet'!$B$16,Paramètres!$A$1:$I$89,3,0)*0.475*44/12</f>
        <v>9.2664768651407348E-15</v>
      </c>
      <c r="FT132" s="22">
        <f t="shared" ref="FT132:FT153" si="132">SUM(FQ132:FS132)</f>
        <v>0.32298111555278458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-1.1368683772161603E-13</v>
      </c>
      <c r="O133" s="13">
        <f>N133*VLOOKUP('Données projet'!$B$9,Paramètres!$A$1:$I$89,3,0)*VLOOKUP('Données projet'!$B$9,Paramètres!$A$1:$I$89,5,0)</f>
        <v>-1.0286385077051818E-13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237.22177246688199</v>
      </c>
      <c r="T133" s="59">
        <f t="shared" ref="T133:T196" si="142">$T$3</f>
        <v>149.27472147904302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</v>
      </c>
      <c r="AA133" s="21">
        <f>EXP(-LN(2)/25)*AA132+(1-EXP(-LN(2)/25))/(LN(2)/25)*Calculateur!V133*Calculateur!X133*VLOOKUP('Données projet'!$B$9,Paramètres!$A$1:$I$89,3,0)*0.475*44/12</f>
        <v>0.19412113578061965</v>
      </c>
      <c r="AB133" s="21">
        <f>EXP(-LN(2)/2)*AB132+(1-EXP(-LN(2)/2))/(LN(2)/2)*V133*Y133*VLOOKUP('Données projet'!$B$9,Paramètres!$A$1:$I$89,3,0)*0.475*44/12</f>
        <v>5.4972451963206013E-15</v>
      </c>
      <c r="AC133" s="22">
        <f t="shared" si="111"/>
        <v>0.19412113578062515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-8.5265128291212022E-14</v>
      </c>
      <c r="AJ133" s="13">
        <f>AI133*VLOOKUP('Données projet'!$B$10,Paramètres!$A$1:$I$89,3,0)*VLOOKUP('Données projet'!$B$10,Paramètres!$A$1:$I$89,5,0)</f>
        <v>-7.4487616075202836E-14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191.94797389630673</v>
      </c>
      <c r="AO133" s="59">
        <f t="shared" ref="AO133:AO196" si="144">$AO$3</f>
        <v>273.52540822767878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0.35533188429819973</v>
      </c>
      <c r="AV133" s="21">
        <f>EXP(-LN(2)/25)*AV132+(1-EXP(-LN(2)/25))/(LN(2)/25)*Calculateur!AQ133*Calculateur!AS133*VLOOKUP('Données projet'!$B$10,Paramètres!$A$1:$I$89,3,0)*0.475*44/12</f>
        <v>0.87800944052328145</v>
      </c>
      <c r="AW133" s="21">
        <f>EXP(-LN(2)/2)*AW132+(1-EXP(-LN(2)/2))/(LN(2)/2)*AQ133*AT133*VLOOKUP('Données projet'!$B$10,Paramètres!$A$1:$I$89,3,0)*0.475*44/12</f>
        <v>2.0608459756194519E-14</v>
      </c>
      <c r="AX133" s="21">
        <f t="shared" si="114"/>
        <v>1.2333413248215017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72.647148358003676</v>
      </c>
      <c r="BJ133" s="59">
        <f t="shared" ref="BJ133:BJ196" si="146">$BJ$3</f>
        <v>87.231299224620898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0.17561657872876901</v>
      </c>
      <c r="BQ133" s="21">
        <f>EXP(-LN(2)/25)*BQ132+(1-EXP(-LN(2)/25))/(LN(2)/25)*Calculateur!BL133*Calculateur!BN133*VLOOKUP('Données projet'!$B$11,Paramètres!$A$1:$I$89,3,0)*0.475*44/12</f>
        <v>0.28319549674519734</v>
      </c>
      <c r="BR133" s="21">
        <f>EXP(-LN(2)/2)*BR132+(1-EXP(-LN(2)/2))/(LN(2)/2)*BL133*BO133*VLOOKUP('Données projet'!$B$11,Paramètres!$A$1:$I$89,3,0)*0.475*44/12</f>
        <v>2.0258427080495391E-15</v>
      </c>
      <c r="BS133" s="22">
        <f t="shared" si="117"/>
        <v>0.45881207547396835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5.6843418860808015E-14</v>
      </c>
      <c r="BZ133" s="13">
        <f>BY133*VLOOKUP('Données projet'!$B$12,Paramètres!$A$1:$I$89,3,0)*VLOOKUP('Données projet'!$B$12,Paramètres!$A$1:$I$89,5,0)</f>
        <v>3.3992364478763198E-14</v>
      </c>
      <c r="CA133" s="13">
        <f t="shared" ref="CA133:CA153" si="147">EXP(-1.0587+0.8836*LN(BZ133)+0.284)</f>
        <v>5.790027782444094E-13</v>
      </c>
      <c r="CB133" s="20">
        <f t="shared" si="118"/>
        <v>1.0676332069095257E-12</v>
      </c>
      <c r="CC133" s="59">
        <f t="shared" si="119"/>
        <v>293.33333333333439</v>
      </c>
      <c r="CD133" s="59">
        <f ca="1">AVERAGE(OFFSET($CC$3,0,0,'Données projet'!$E$12+1,1))-AVERAGE(OFFSET($H$3,0,0,'Données projet'!$E$12+1,1))</f>
        <v>165.39579887388538</v>
      </c>
      <c r="CE133" s="59">
        <f t="shared" ref="CE133:CE196" si="148">$CE$3</f>
        <v>155.89639262545802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</v>
      </c>
      <c r="CL133" s="21">
        <f>EXP(-LN(2)/25)*CL132+(1-EXP(-LN(2)/25))/(LN(2)/25)*Calculateur!CG133*Calculateur!CI133*VLOOKUP('Données projet'!$B$12,Paramètres!$A$1:$I$89,3,0)*0.475*44/12</f>
        <v>0.45557782246221701</v>
      </c>
      <c r="CM133" s="21">
        <f>EXP(-LN(2)/2)*CM132+(1-EXP(-LN(2)/2))/(LN(2)/2)*CG133*CJ133*VLOOKUP('Données projet'!$B$12,Paramètres!$A$1:$I$89,3,0)*0.475*44/12</f>
        <v>1.2327948204828367E-14</v>
      </c>
      <c r="CN133" s="22">
        <f t="shared" si="120"/>
        <v>0.45557782246222933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3.4106051316484809E-13</v>
      </c>
      <c r="CU133" s="17">
        <f>CT133*VLOOKUP('Données projet'!$B$13,Paramètres!$A$1:$I$89,3,0)*VLOOKUP('Données projet'!$B$13,Paramètres!$A$1:$I$89,5,0)</f>
        <v>2.6602720026858149E-13</v>
      </c>
      <c r="CV133" s="13">
        <f t="shared" ref="CV133:CV153" si="149">EXP(-1.0587+0.8836*LN(CU133)+0.284)</f>
        <v>3.5662905043956649E-12</v>
      </c>
      <c r="CW133" s="20">
        <f t="shared" si="121"/>
        <v>6.6746200022902298E-12</v>
      </c>
      <c r="CX133" s="59">
        <f t="shared" si="122"/>
        <v>293.33333333333997</v>
      </c>
      <c r="CY133" s="59">
        <f ca="1">AVERAGE(OFFSET($CX$3,0,0,'Données projet'!$E$13+1,1))-AVERAGE(OFFSET($H$3,0,0,'Données projet'!$E$13+1,1))</f>
        <v>190.06335940156185</v>
      </c>
      <c r="CZ133" s="59">
        <f t="shared" ref="CZ133:CZ196" si="150">$CZ$3</f>
        <v>166.43663896839928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0</v>
      </c>
      <c r="DG133" s="21">
        <f>EXP(-LN(2)/25)*DG132+(1-EXP(-LN(2)/25))/(LN(2)/25)*Calculateur!DB133*Calculateur!DD133*VLOOKUP('Données projet'!$B$13,Paramètres!$A$1:$I$89,3,0)*0.475*44/12</f>
        <v>0.27915251645591332</v>
      </c>
      <c r="DH133" s="21">
        <f>EXP(-LN(2)/2)*DH132+(1-EXP(-LN(2)/2))/(LN(2)/2)*DB133*DE133*VLOOKUP('Données projet'!$B$13,Paramètres!$A$1:$I$89,3,0)*0.475*44/12</f>
        <v>4.7307925150071171E-15</v>
      </c>
      <c r="DI133" s="22">
        <f t="shared" si="123"/>
        <v>0.27915251645591804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-1.1368683772161603E-13</v>
      </c>
      <c r="DP133" s="17">
        <f>DO133*VLOOKUP('Données projet'!$B$14,Paramètres!$A$1:$I$89,3,0)*VLOOKUP('Données projet'!$B$14,Paramètres!$A$1:$I$89,5,0)</f>
        <v>-1.0995790944434703E-13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261.22357949323879</v>
      </c>
      <c r="DU133" s="59">
        <f t="shared" ref="DU133:DU196" si="152">$DU$3</f>
        <v>163.41029152029387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0</v>
      </c>
      <c r="EB133" s="21">
        <f>EXP(-LN(2)/25)*EB132+(1-EXP(-LN(2)/25))/(LN(2)/25)*Calculateur!DW133*Calculateur!DY133*VLOOKUP('Données projet'!$B$14,Paramètres!$A$1:$I$89,3,0)*0.475*44/12</f>
        <v>0.20750880031721394</v>
      </c>
      <c r="EC133" s="21">
        <f>EXP(-LN(2)/2)*EC132+(1-EXP(-LN(2)/2))/(LN(2)/2)*DW133*DZ133*VLOOKUP('Données projet'!$B$14,Paramètres!$A$1:$I$89,3,0)*0.475*44/12</f>
        <v>5.8763655546875382E-15</v>
      </c>
      <c r="ED133" s="22">
        <f t="shared" si="126"/>
        <v>0.20750880031721983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-1.1368683772161603E-13</v>
      </c>
      <c r="EK133" s="17">
        <f>EJ133*VLOOKUP('Données projet'!$B$15,Paramètres!$A$1:$I$89,3,0)*VLOOKUP('Données projet'!$B$15,Paramètres!$A$1:$I$89,5,0)</f>
        <v>-5.3205440053716299E-14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123.60520571614535</v>
      </c>
      <c r="EP133" s="59">
        <f t="shared" ref="EP133:EP196" si="154">$EP$3</f>
        <v>119.00926870519527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0.11969745421930304</v>
      </c>
      <c r="EW133" s="21">
        <f>EXP(-LN(2)/25)*EW132+(1-EXP(-LN(2)/25))/(LN(2)/25)*Calculateur!ER133*Calculateur!ET133*VLOOKUP('Données projet'!$B$15,Paramètres!$A$1:$I$89,3,0)*0.475*44/12</f>
        <v>0.29854738770234224</v>
      </c>
      <c r="EX133" s="21">
        <f>EXP(-LN(2)/2)*EX132+(1-EXP(-LN(2)/2))/(LN(2)/2)*ER133*EU133*VLOOKUP('Données projet'!$B$15,Paramètres!$A$1:$I$89,3,0)*0.475*44/12</f>
        <v>5.4300657224737718E-15</v>
      </c>
      <c r="EY133" s="22">
        <f t="shared" si="129"/>
        <v>0.41824484192165073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-8.5265128291212022E-14</v>
      </c>
      <c r="FF133" s="17">
        <f>FE133*VLOOKUP('Données projet'!$B$16,Paramètres!$A$1:$I$89,3,0)*VLOOKUP('Données projet'!$B$16,Paramètres!$A$1:$I$89,5,0)</f>
        <v>-6.2516392063116648E-14</v>
      </c>
      <c r="FG133" s="13" t="e">
        <f t="shared" ref="FG133:FG153" si="155">EXP(-1.0587+0.8836*LN(FF133)+0.284)</f>
        <v>#NUM!</v>
      </c>
      <c r="FH133" s="20" t="e">
        <f t="shared" si="130"/>
        <v>#NUM!</v>
      </c>
      <c r="FI133" s="59" t="e">
        <f t="shared" si="131"/>
        <v>#NUM!</v>
      </c>
      <c r="FJ133" s="59">
        <f ca="1">AVERAGE(OFFSET($FI$3,0,0,'Données projet'!$E$16+1,1))-AVERAGE(OFFSET($H$3,0,0,'Données projet'!$E$16+1,1))</f>
        <v>124.15919323713428</v>
      </c>
      <c r="FK133" s="59">
        <f t="shared" ref="FK133:FK196" si="156">$FK$3</f>
        <v>157.85954678210715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0</v>
      </c>
      <c r="FR133" s="21">
        <f>EXP(-LN(2)/25)*FR132+(1-EXP(-LN(2)/25))/(LN(2)/25)*Calculateur!FM133*Calculateur!FO133*VLOOKUP('Données projet'!$B$16,Paramètres!$A$1:$I$89,3,0)*0.475*44/12</f>
        <v>0.31414917996314601</v>
      </c>
      <c r="FS133" s="21">
        <f>EXP(-LN(2)/2)*FS132+(1-EXP(-LN(2)/2))/(LN(2)/2)*FM133*FP133*VLOOKUP('Données projet'!$B$16,Paramètres!$A$1:$I$89,3,0)*0.475*44/12</f>
        <v>6.5523886290492745E-15</v>
      </c>
      <c r="FT133" s="22">
        <f t="shared" si="132"/>
        <v>0.31414917996315256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-1.1368683772161603E-13</v>
      </c>
      <c r="O134" s="13">
        <f>N134*VLOOKUP('Données projet'!$B$9,Paramètres!$A$1:$I$89,3,0)*VLOOKUP('Données projet'!$B$9,Paramètres!$A$1:$I$89,5,0)</f>
        <v>-1.0286385077051818E-13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237.22177246688199</v>
      </c>
      <c r="T134" s="59">
        <f t="shared" si="142"/>
        <v>149.27472147904302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</v>
      </c>
      <c r="AA134" s="21">
        <f>EXP(-LN(2)/25)*AA133+(1-EXP(-LN(2)/25))/(LN(2)/25)*Calculateur!V134*Calculateur!X134*VLOOKUP('Données projet'!$B$9,Paramètres!$A$1:$I$89,3,0)*0.475*44/12</f>
        <v>0.18881288311431174</v>
      </c>
      <c r="AB134" s="21">
        <f>EXP(-LN(2)/2)*AB133+(1-EXP(-LN(2)/2))/(LN(2)/2)*V134*Y134*VLOOKUP('Données projet'!$B$9,Paramètres!$A$1:$I$89,3,0)*0.475*44/12</f>
        <v>3.8871393561634708E-15</v>
      </c>
      <c r="AC134" s="22">
        <f t="shared" si="111"/>
        <v>0.18881288311431563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-8.5265128291212022E-14</v>
      </c>
      <c r="AJ134" s="13">
        <f>AI134*VLOOKUP('Données projet'!$B$10,Paramètres!$A$1:$I$89,3,0)*VLOOKUP('Données projet'!$B$10,Paramètres!$A$1:$I$89,5,0)</f>
        <v>-7.4487616075202836E-14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191.94797389630673</v>
      </c>
      <c r="AO134" s="59">
        <f t="shared" si="144"/>
        <v>273.52540822767878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0.34836404277816102</v>
      </c>
      <c r="AV134" s="21">
        <f>EXP(-LN(2)/25)*AV133+(1-EXP(-LN(2)/25))/(LN(2)/25)*Calculateur!AQ134*Calculateur!AS134*VLOOKUP('Données projet'!$B$10,Paramètres!$A$1:$I$89,3,0)*0.475*44/12</f>
        <v>0.85400022619966254</v>
      </c>
      <c r="AW134" s="21">
        <f>EXP(-LN(2)/2)*AW133+(1-EXP(-LN(2)/2))/(LN(2)/2)*AQ134*AT134*VLOOKUP('Données projet'!$B$10,Paramètres!$A$1:$I$89,3,0)*0.475*44/12</f>
        <v>1.4572381643415208E-14</v>
      </c>
      <c r="AX134" s="21">
        <f t="shared" si="114"/>
        <v>1.2023642689778382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72.647148358003676</v>
      </c>
      <c r="BJ134" s="59">
        <f t="shared" si="146"/>
        <v>87.231299224620898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0.17217284473543409</v>
      </c>
      <c r="BQ134" s="21">
        <f>EXP(-LN(2)/25)*BQ133+(1-EXP(-LN(2)/25))/(LN(2)/25)*Calculateur!BL134*Calculateur!BN134*VLOOKUP('Données projet'!$B$11,Paramètres!$A$1:$I$89,3,0)*0.475*44/12</f>
        <v>0.27545150099409599</v>
      </c>
      <c r="BR134" s="21">
        <f>EXP(-LN(2)/2)*BR133+(1-EXP(-LN(2)/2))/(LN(2)/2)*BL134*BO134*VLOOKUP('Données projet'!$B$11,Paramètres!$A$1:$I$89,3,0)*0.475*44/12</f>
        <v>1.4324871164791484E-15</v>
      </c>
      <c r="BS134" s="22">
        <f t="shared" si="117"/>
        <v>0.44762434572953153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5.6843418860808015E-14</v>
      </c>
      <c r="BZ134" s="13">
        <f>BY134*VLOOKUP('Données projet'!$B$12,Paramètres!$A$1:$I$89,3,0)*VLOOKUP('Données projet'!$B$12,Paramètres!$A$1:$I$89,5,0)</f>
        <v>3.3992364478763198E-14</v>
      </c>
      <c r="CA134" s="13">
        <f t="shared" si="147"/>
        <v>5.790027782444094E-13</v>
      </c>
      <c r="CB134" s="20">
        <f t="shared" si="118"/>
        <v>1.0676332069095257E-12</v>
      </c>
      <c r="CC134" s="59">
        <f t="shared" si="119"/>
        <v>293.33333333333439</v>
      </c>
      <c r="CD134" s="59">
        <f ca="1">AVERAGE(OFFSET($CC$3,0,0,'Données projet'!$E$12+1,1))-AVERAGE(OFFSET($H$3,0,0,'Données projet'!$E$12+1,1))</f>
        <v>165.39579887388538</v>
      </c>
      <c r="CE134" s="59">
        <f t="shared" si="148"/>
        <v>155.89639262545802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</v>
      </c>
      <c r="CL134" s="21">
        <f>EXP(-LN(2)/25)*CL133+(1-EXP(-LN(2)/25))/(LN(2)/25)*Calculateur!CG134*Calculateur!CI134*VLOOKUP('Données projet'!$B$12,Paramètres!$A$1:$I$89,3,0)*0.475*44/12</f>
        <v>0.44312002294919123</v>
      </c>
      <c r="CM134" s="21">
        <f>EXP(-LN(2)/2)*CM133+(1-EXP(-LN(2)/2))/(LN(2)/2)*CG134*CJ134*VLOOKUP('Données projet'!$B$12,Paramètres!$A$1:$I$89,3,0)*0.475*44/12</f>
        <v>8.717175773750663E-15</v>
      </c>
      <c r="CN134" s="22">
        <f t="shared" si="120"/>
        <v>0.44312002294919994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3.4106051316484809E-13</v>
      </c>
      <c r="CU134" s="17">
        <f>CT134*VLOOKUP('Données projet'!$B$13,Paramètres!$A$1:$I$89,3,0)*VLOOKUP('Données projet'!$B$13,Paramètres!$A$1:$I$89,5,0)</f>
        <v>2.6602720026858149E-13</v>
      </c>
      <c r="CV134" s="13">
        <f t="shared" si="149"/>
        <v>3.5662905043956649E-12</v>
      </c>
      <c r="CW134" s="20">
        <f t="shared" si="121"/>
        <v>6.6746200022902298E-12</v>
      </c>
      <c r="CX134" s="59">
        <f t="shared" si="122"/>
        <v>293.33333333333997</v>
      </c>
      <c r="CY134" s="59">
        <f ca="1">AVERAGE(OFFSET($CX$3,0,0,'Données projet'!$E$13+1,1))-AVERAGE(OFFSET($H$3,0,0,'Données projet'!$E$13+1,1))</f>
        <v>190.06335940156185</v>
      </c>
      <c r="CZ134" s="59">
        <f t="shared" si="150"/>
        <v>166.43663896839928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</v>
      </c>
      <c r="DG134" s="21">
        <f>EXP(-LN(2)/25)*DG133+(1-EXP(-LN(2)/25))/(LN(2)/25)*Calculateur!DB134*Calculateur!DD134*VLOOKUP('Données projet'!$B$13,Paramètres!$A$1:$I$89,3,0)*0.475*44/12</f>
        <v>0.27151907621343352</v>
      </c>
      <c r="DH134" s="21">
        <f>EXP(-LN(2)/2)*DH133+(1-EXP(-LN(2)/2))/(LN(2)/2)*DB134*DE134*VLOOKUP('Données projet'!$B$13,Paramètres!$A$1:$I$89,3,0)*0.475*44/12</f>
        <v>3.3451754677480945E-15</v>
      </c>
      <c r="DI134" s="22">
        <f t="shared" si="123"/>
        <v>0.27151907621343685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-1.1368683772161603E-13</v>
      </c>
      <c r="DP134" s="17">
        <f>DO134*VLOOKUP('Données projet'!$B$14,Paramètres!$A$1:$I$89,3,0)*VLOOKUP('Données projet'!$B$14,Paramètres!$A$1:$I$89,5,0)</f>
        <v>-1.0995790944434703E-13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261.22357949323879</v>
      </c>
      <c r="DU134" s="59">
        <f t="shared" si="152"/>
        <v>163.41029152029387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0</v>
      </c>
      <c r="EB134" s="21">
        <f>EXP(-LN(2)/25)*EB133+(1-EXP(-LN(2)/25))/(LN(2)/25)*Calculateur!DW134*Calculateur!DY134*VLOOKUP('Données projet'!$B$14,Paramètres!$A$1:$I$89,3,0)*0.475*44/12</f>
        <v>0.20183446126012619</v>
      </c>
      <c r="EC134" s="21">
        <f>EXP(-LN(2)/2)*EC133+(1-EXP(-LN(2)/2))/(LN(2)/2)*DW134*DZ134*VLOOKUP('Données projet'!$B$14,Paramètres!$A$1:$I$89,3,0)*0.475*44/12</f>
        <v>4.1552179324506059E-15</v>
      </c>
      <c r="ED134" s="22">
        <f t="shared" si="126"/>
        <v>0.20183446126013035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-1.1368683772161603E-13</v>
      </c>
      <c r="EK134" s="17">
        <f>EJ134*VLOOKUP('Données projet'!$B$15,Paramètres!$A$1:$I$89,3,0)*VLOOKUP('Données projet'!$B$15,Paramètres!$A$1:$I$89,5,0)</f>
        <v>-5.3205440053716299E-14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123.60520571614535</v>
      </c>
      <c r="EP134" s="59">
        <f t="shared" si="154"/>
        <v>119.00926870519527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0.11735026015030062</v>
      </c>
      <c r="EW134" s="21">
        <f>EXP(-LN(2)/25)*EW133+(1-EXP(-LN(2)/25))/(LN(2)/25)*Calculateur!ER134*Calculateur!ET134*VLOOKUP('Données projet'!$B$15,Paramètres!$A$1:$I$89,3,0)*0.475*44/12</f>
        <v>0.29038359368569688</v>
      </c>
      <c r="EX134" s="21">
        <f>EXP(-LN(2)/2)*EX133+(1-EXP(-LN(2)/2))/(LN(2)/2)*ER134*EU134*VLOOKUP('Données projet'!$B$15,Paramètres!$A$1:$I$89,3,0)*0.475*44/12</f>
        <v>3.8396362946498334E-15</v>
      </c>
      <c r="EY134" s="22">
        <f t="shared" si="129"/>
        <v>0.4077338538360013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-8.5265128291212022E-14</v>
      </c>
      <c r="FF134" s="17">
        <f>FE134*VLOOKUP('Données projet'!$B$16,Paramètres!$A$1:$I$89,3,0)*VLOOKUP('Données projet'!$B$16,Paramètres!$A$1:$I$89,5,0)</f>
        <v>-6.2516392063116648E-14</v>
      </c>
      <c r="FG134" s="13" t="e">
        <f t="shared" si="155"/>
        <v>#NUM!</v>
      </c>
      <c r="FH134" s="20" t="e">
        <f t="shared" si="130"/>
        <v>#NUM!</v>
      </c>
      <c r="FI134" s="59" t="e">
        <f t="shared" si="131"/>
        <v>#NUM!</v>
      </c>
      <c r="FJ134" s="59">
        <f ca="1">AVERAGE(OFFSET($FI$3,0,0,'Données projet'!$E$16+1,1))-AVERAGE(OFFSET($H$3,0,0,'Données projet'!$E$16+1,1))</f>
        <v>124.15919323713428</v>
      </c>
      <c r="FK134" s="59">
        <f t="shared" si="156"/>
        <v>157.85954678210715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0</v>
      </c>
      <c r="FR134" s="21">
        <f>EXP(-LN(2)/25)*FR133+(1-EXP(-LN(2)/25))/(LN(2)/25)*Calculateur!FM134*Calculateur!FO134*VLOOKUP('Données projet'!$B$16,Paramètres!$A$1:$I$89,3,0)*0.475*44/12</f>
        <v>0.30555875411666639</v>
      </c>
      <c r="FS134" s="21">
        <f>EXP(-LN(2)/2)*FS133+(1-EXP(-LN(2)/2))/(LN(2)/2)*FM134*FP134*VLOOKUP('Données projet'!$B$16,Paramètres!$A$1:$I$89,3,0)*0.475*44/12</f>
        <v>4.6332384325703674E-15</v>
      </c>
      <c r="FT134" s="22">
        <f t="shared" si="132"/>
        <v>0.30555875411667099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-1.1368683772161603E-13</v>
      </c>
      <c r="O135" s="13">
        <f>N135*VLOOKUP('Données projet'!$B$9,Paramètres!$A$1:$I$89,3,0)*VLOOKUP('Données projet'!$B$9,Paramètres!$A$1:$I$89,5,0)</f>
        <v>-1.0286385077051818E-13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237.22177246688199</v>
      </c>
      <c r="T135" s="59">
        <f t="shared" si="142"/>
        <v>149.27472147904302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</v>
      </c>
      <c r="AA135" s="21">
        <f>EXP(-LN(2)/25)*AA134+(1-EXP(-LN(2)/25))/(LN(2)/25)*Calculateur!V135*Calculateur!X135*VLOOKUP('Données projet'!$B$9,Paramètres!$A$1:$I$89,3,0)*0.475*44/12</f>
        <v>0.1836497848963129</v>
      </c>
      <c r="AB135" s="21">
        <f>EXP(-LN(2)/2)*AB134+(1-EXP(-LN(2)/2))/(LN(2)/2)*V135*Y135*VLOOKUP('Données projet'!$B$9,Paramètres!$A$1:$I$89,3,0)*0.475*44/12</f>
        <v>2.7486225981603006E-15</v>
      </c>
      <c r="AC135" s="22">
        <f t="shared" si="111"/>
        <v>0.18364978489631564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-8.5265128291212022E-14</v>
      </c>
      <c r="AJ135" s="13">
        <f>AI135*VLOOKUP('Données projet'!$B$10,Paramètres!$A$1:$I$89,3,0)*VLOOKUP('Données projet'!$B$10,Paramètres!$A$1:$I$89,5,0)</f>
        <v>-7.4487616075202836E-14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191.94797389630673</v>
      </c>
      <c r="AO135" s="59">
        <f t="shared" si="144"/>
        <v>273.52540822767878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0.34153283638036663</v>
      </c>
      <c r="AV135" s="21">
        <f>EXP(-LN(2)/25)*AV134+(1-EXP(-LN(2)/25))/(LN(2)/25)*Calculateur!AQ135*Calculateur!AS135*VLOOKUP('Données projet'!$B$10,Paramètres!$A$1:$I$89,3,0)*0.475*44/12</f>
        <v>0.83064754510431271</v>
      </c>
      <c r="AW135" s="21">
        <f>EXP(-LN(2)/2)*AW134+(1-EXP(-LN(2)/2))/(LN(2)/2)*AQ135*AT135*VLOOKUP('Données projet'!$B$10,Paramètres!$A$1:$I$89,3,0)*0.475*44/12</f>
        <v>1.0304229878097259E-14</v>
      </c>
      <c r="AX135" s="21">
        <f t="shared" si="114"/>
        <v>1.1721803814846896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72.647148358003676</v>
      </c>
      <c r="BJ135" s="59">
        <f t="shared" si="146"/>
        <v>87.231299224620898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0.16879664026523813</v>
      </c>
      <c r="BQ135" s="21">
        <f>EXP(-LN(2)/25)*BQ134+(1-EXP(-LN(2)/25))/(LN(2)/25)*Calculateur!BL135*Calculateur!BN135*VLOOKUP('Données projet'!$B$11,Paramètres!$A$1:$I$89,3,0)*0.475*44/12</f>
        <v>0.26791926521404757</v>
      </c>
      <c r="BR135" s="21">
        <f>EXP(-LN(2)/2)*BR134+(1-EXP(-LN(2)/2))/(LN(2)/2)*BL135*BO135*VLOOKUP('Données projet'!$B$11,Paramètres!$A$1:$I$89,3,0)*0.475*44/12</f>
        <v>1.0129213540247696E-15</v>
      </c>
      <c r="BS135" s="22">
        <f t="shared" si="117"/>
        <v>0.43671590547928674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5.6843418860808015E-14</v>
      </c>
      <c r="BZ135" s="13">
        <f>BY135*VLOOKUP('Données projet'!$B$12,Paramètres!$A$1:$I$89,3,0)*VLOOKUP('Données projet'!$B$12,Paramètres!$A$1:$I$89,5,0)</f>
        <v>3.3992364478763198E-14</v>
      </c>
      <c r="CA135" s="13">
        <f t="shared" si="147"/>
        <v>5.790027782444094E-13</v>
      </c>
      <c r="CB135" s="20">
        <f t="shared" si="118"/>
        <v>1.0676332069095257E-12</v>
      </c>
      <c r="CC135" s="59">
        <f t="shared" si="119"/>
        <v>293.33333333333439</v>
      </c>
      <c r="CD135" s="59">
        <f ca="1">AVERAGE(OFFSET($CC$3,0,0,'Données projet'!$E$12+1,1))-AVERAGE(OFFSET($H$3,0,0,'Données projet'!$E$12+1,1))</f>
        <v>165.39579887388538</v>
      </c>
      <c r="CE135" s="59">
        <f t="shared" si="148"/>
        <v>155.89639262545802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</v>
      </c>
      <c r="CL135" s="21">
        <f>EXP(-LN(2)/25)*CL134+(1-EXP(-LN(2)/25))/(LN(2)/25)*Calculateur!CG135*Calculateur!CI135*VLOOKUP('Données projet'!$B$12,Paramètres!$A$1:$I$89,3,0)*0.475*44/12</f>
        <v>0.43100288261897635</v>
      </c>
      <c r="CM135" s="21">
        <f>EXP(-LN(2)/2)*CM134+(1-EXP(-LN(2)/2))/(LN(2)/2)*CG135*CJ135*VLOOKUP('Données projet'!$B$12,Paramètres!$A$1:$I$89,3,0)*0.475*44/12</f>
        <v>6.1639741024141833E-15</v>
      </c>
      <c r="CN135" s="22">
        <f t="shared" si="120"/>
        <v>0.43100288261898251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3.4106051316484809E-13</v>
      </c>
      <c r="CU135" s="17">
        <f>CT135*VLOOKUP('Données projet'!$B$13,Paramètres!$A$1:$I$89,3,0)*VLOOKUP('Données projet'!$B$13,Paramètres!$A$1:$I$89,5,0)</f>
        <v>2.6602720026858149E-13</v>
      </c>
      <c r="CV135" s="13">
        <f t="shared" si="149"/>
        <v>3.5662905043956649E-12</v>
      </c>
      <c r="CW135" s="20">
        <f t="shared" si="121"/>
        <v>6.6746200022902298E-12</v>
      </c>
      <c r="CX135" s="59">
        <f t="shared" si="122"/>
        <v>293.33333333333997</v>
      </c>
      <c r="CY135" s="59">
        <f ca="1">AVERAGE(OFFSET($CX$3,0,0,'Données projet'!$E$13+1,1))-AVERAGE(OFFSET($H$3,0,0,'Données projet'!$E$13+1,1))</f>
        <v>190.06335940156185</v>
      </c>
      <c r="CZ135" s="59">
        <f t="shared" si="150"/>
        <v>166.43663896839928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</v>
      </c>
      <c r="DG135" s="21">
        <f>EXP(-LN(2)/25)*DG134+(1-EXP(-LN(2)/25))/(LN(2)/25)*Calculateur!DB135*Calculateur!DD135*VLOOKUP('Données projet'!$B$13,Paramètres!$A$1:$I$89,3,0)*0.475*44/12</f>
        <v>0.26409437279580955</v>
      </c>
      <c r="DH135" s="21">
        <f>EXP(-LN(2)/2)*DH134+(1-EXP(-LN(2)/2))/(LN(2)/2)*DB135*DE135*VLOOKUP('Données projet'!$B$13,Paramètres!$A$1:$I$89,3,0)*0.475*44/12</f>
        <v>2.3653962575035586E-15</v>
      </c>
      <c r="DI135" s="22">
        <f t="shared" si="123"/>
        <v>0.26409437279581194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-1.1368683772161603E-13</v>
      </c>
      <c r="DP135" s="17">
        <f>DO135*VLOOKUP('Données projet'!$B$14,Paramètres!$A$1:$I$89,3,0)*VLOOKUP('Données projet'!$B$14,Paramètres!$A$1:$I$89,5,0)</f>
        <v>-1.0995790944434703E-13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261.22357949323879</v>
      </c>
      <c r="DU135" s="59">
        <f t="shared" si="152"/>
        <v>163.41029152029387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0</v>
      </c>
      <c r="EB135" s="21">
        <f>EXP(-LN(2)/25)*EB134+(1-EXP(-LN(2)/25))/(LN(2)/25)*Calculateur!DW135*Calculateur!DY135*VLOOKUP('Données projet'!$B$14,Paramètres!$A$1:$I$89,3,0)*0.475*44/12</f>
        <v>0.19631528730295503</v>
      </c>
      <c r="EC135" s="21">
        <f>EXP(-LN(2)/2)*EC134+(1-EXP(-LN(2)/2))/(LN(2)/2)*DW135*DZ135*VLOOKUP('Données projet'!$B$14,Paramètres!$A$1:$I$89,3,0)*0.475*44/12</f>
        <v>2.9381827773437691E-15</v>
      </c>
      <c r="ED135" s="22">
        <f t="shared" si="126"/>
        <v>0.19631528730295797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-1.1368683772161603E-13</v>
      </c>
      <c r="EK135" s="17">
        <f>EJ135*VLOOKUP('Données projet'!$B$15,Paramètres!$A$1:$I$89,3,0)*VLOOKUP('Données projet'!$B$15,Paramètres!$A$1:$I$89,5,0)</f>
        <v>-5.3205440053716299E-14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123.60520571614535</v>
      </c>
      <c r="EP135" s="59">
        <f t="shared" si="154"/>
        <v>119.00926870519527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0.11504909312534431</v>
      </c>
      <c r="EW135" s="21">
        <f>EXP(-LN(2)/25)*EW134+(1-EXP(-LN(2)/25))/(LN(2)/25)*Calculateur!ER135*Calculateur!ET135*VLOOKUP('Données projet'!$B$15,Paramètres!$A$1:$I$89,3,0)*0.475*44/12</f>
        <v>0.28244303904575196</v>
      </c>
      <c r="EX135" s="21">
        <f>EXP(-LN(2)/2)*EX134+(1-EXP(-LN(2)/2))/(LN(2)/2)*ER135*EU135*VLOOKUP('Données projet'!$B$15,Paramètres!$A$1:$I$89,3,0)*0.475*44/12</f>
        <v>2.7150328612368859E-15</v>
      </c>
      <c r="EY135" s="22">
        <f t="shared" si="129"/>
        <v>0.39749213217109897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-8.5265128291212022E-14</v>
      </c>
      <c r="FF135" s="17">
        <f>FE135*VLOOKUP('Données projet'!$B$16,Paramètres!$A$1:$I$89,3,0)*VLOOKUP('Données projet'!$B$16,Paramètres!$A$1:$I$89,5,0)</f>
        <v>-6.2516392063116648E-14</v>
      </c>
      <c r="FG135" s="13" t="e">
        <f t="shared" si="155"/>
        <v>#NUM!</v>
      </c>
      <c r="FH135" s="20" t="e">
        <f t="shared" si="130"/>
        <v>#NUM!</v>
      </c>
      <c r="FI135" s="59" t="e">
        <f t="shared" si="131"/>
        <v>#NUM!</v>
      </c>
      <c r="FJ135" s="59">
        <f ca="1">AVERAGE(OFFSET($FI$3,0,0,'Données projet'!$E$16+1,1))-AVERAGE(OFFSET($H$3,0,0,'Données projet'!$E$16+1,1))</f>
        <v>124.15919323713428</v>
      </c>
      <c r="FK135" s="59">
        <f t="shared" si="156"/>
        <v>157.85954678210715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0</v>
      </c>
      <c r="FR135" s="21">
        <f>EXP(-LN(2)/25)*FR134+(1-EXP(-LN(2)/25))/(LN(2)/25)*Calculateur!FM135*Calculateur!FO135*VLOOKUP('Données projet'!$B$16,Paramètres!$A$1:$I$89,3,0)*0.475*44/12</f>
        <v>0.29720323391670961</v>
      </c>
      <c r="FS135" s="21">
        <f>EXP(-LN(2)/2)*FS134+(1-EXP(-LN(2)/2))/(LN(2)/2)*FM135*FP135*VLOOKUP('Données projet'!$B$16,Paramètres!$A$1:$I$89,3,0)*0.475*44/12</f>
        <v>3.2761943145246373E-15</v>
      </c>
      <c r="FT135" s="22">
        <f t="shared" si="132"/>
        <v>0.29720323391671288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-1.1368683772161603E-13</v>
      </c>
      <c r="O136" s="13">
        <f>N136*VLOOKUP('Données projet'!$B$9,Paramètres!$A$1:$I$89,3,0)*VLOOKUP('Données projet'!$B$9,Paramètres!$A$1:$I$89,5,0)</f>
        <v>-1.0286385077051818E-13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237.22177246688199</v>
      </c>
      <c r="T136" s="59">
        <f t="shared" si="142"/>
        <v>149.27472147904302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</v>
      </c>
      <c r="AA136" s="21">
        <f>EXP(-LN(2)/25)*AA135+(1-EXP(-LN(2)/25))/(LN(2)/25)*Calculateur!V136*Calculateur!X136*VLOOKUP('Données projet'!$B$9,Paramètres!$A$1:$I$89,3,0)*0.475*44/12</f>
        <v>0.17862787187060078</v>
      </c>
      <c r="AB136" s="21">
        <f>EXP(-LN(2)/2)*AB135+(1-EXP(-LN(2)/2))/(LN(2)/2)*V136*Y136*VLOOKUP('Données projet'!$B$9,Paramètres!$A$1:$I$89,3,0)*0.475*44/12</f>
        <v>1.9435696780817354E-15</v>
      </c>
      <c r="AC136" s="22">
        <f t="shared" si="111"/>
        <v>0.17862787187060272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-8.5265128291212022E-14</v>
      </c>
      <c r="AJ136" s="13">
        <f>AI136*VLOOKUP('Données projet'!$B$10,Paramètres!$A$1:$I$89,3,0)*VLOOKUP('Données projet'!$B$10,Paramètres!$A$1:$I$89,5,0)</f>
        <v>-7.4487616075202836E-14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191.94797389630673</v>
      </c>
      <c r="AO136" s="59">
        <f t="shared" si="144"/>
        <v>273.52540822767878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0.3348355857734085</v>
      </c>
      <c r="AV136" s="21">
        <f>EXP(-LN(2)/25)*AV135+(1-EXP(-LN(2)/25))/(LN(2)/25)*Calculateur!AQ136*Calculateur!AS136*VLOOKUP('Données projet'!$B$10,Paramètres!$A$1:$I$89,3,0)*0.475*44/12</f>
        <v>0.80793344430157932</v>
      </c>
      <c r="AW136" s="21">
        <f>EXP(-LN(2)/2)*AW135+(1-EXP(-LN(2)/2))/(LN(2)/2)*AQ136*AT136*VLOOKUP('Données projet'!$B$10,Paramètres!$A$1:$I$89,3,0)*0.475*44/12</f>
        <v>7.2861908217076038E-15</v>
      </c>
      <c r="AX136" s="21">
        <f t="shared" si="114"/>
        <v>1.1427690300749951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72.647148358003676</v>
      </c>
      <c r="BJ136" s="59">
        <f t="shared" si="146"/>
        <v>87.231299224620898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0.16548664110542133</v>
      </c>
      <c r="BQ136" s="21">
        <f>EXP(-LN(2)/25)*BQ135+(1-EXP(-LN(2)/25))/(LN(2)/25)*Calculateur!BL136*Calculateur!BN136*VLOOKUP('Données projet'!$B$11,Paramètres!$A$1:$I$89,3,0)*0.475*44/12</f>
        <v>0.26059299881750764</v>
      </c>
      <c r="BR136" s="21">
        <f>EXP(-LN(2)/2)*BR135+(1-EXP(-LN(2)/2))/(LN(2)/2)*BL136*BO136*VLOOKUP('Données projet'!$B$11,Paramètres!$A$1:$I$89,3,0)*0.475*44/12</f>
        <v>7.1624355823957419E-16</v>
      </c>
      <c r="BS136" s="22">
        <f t="shared" si="117"/>
        <v>0.42607963992292969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5.6843418860808015E-14</v>
      </c>
      <c r="BZ136" s="13">
        <f>BY136*VLOOKUP('Données projet'!$B$12,Paramètres!$A$1:$I$89,3,0)*VLOOKUP('Données projet'!$B$12,Paramètres!$A$1:$I$89,5,0)</f>
        <v>3.3992364478763198E-14</v>
      </c>
      <c r="CA136" s="13">
        <f t="shared" si="147"/>
        <v>5.790027782444094E-13</v>
      </c>
      <c r="CB136" s="20">
        <f t="shared" si="118"/>
        <v>1.0676332069095257E-12</v>
      </c>
      <c r="CC136" s="59">
        <f t="shared" si="119"/>
        <v>293.33333333333439</v>
      </c>
      <c r="CD136" s="59">
        <f ca="1">AVERAGE(OFFSET($CC$3,0,0,'Données projet'!$E$12+1,1))-AVERAGE(OFFSET($H$3,0,0,'Données projet'!$E$12+1,1))</f>
        <v>165.39579887388538</v>
      </c>
      <c r="CE136" s="59">
        <f t="shared" si="148"/>
        <v>155.89639262545802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</v>
      </c>
      <c r="CL136" s="21">
        <f>EXP(-LN(2)/25)*CL135+(1-EXP(-LN(2)/25))/(LN(2)/25)*Calculateur!CG136*Calculateur!CI136*VLOOKUP('Données projet'!$B$12,Paramètres!$A$1:$I$89,3,0)*0.475*44/12</f>
        <v>0.41921708612830388</v>
      </c>
      <c r="CM136" s="21">
        <f>EXP(-LN(2)/2)*CM135+(1-EXP(-LN(2)/2))/(LN(2)/2)*CG136*CJ136*VLOOKUP('Données projet'!$B$12,Paramètres!$A$1:$I$89,3,0)*0.475*44/12</f>
        <v>4.3585878868753315E-15</v>
      </c>
      <c r="CN136" s="22">
        <f t="shared" si="120"/>
        <v>0.41921708612830827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3.4106051316484809E-13</v>
      </c>
      <c r="CU136" s="17">
        <f>CT136*VLOOKUP('Données projet'!$B$13,Paramètres!$A$1:$I$89,3,0)*VLOOKUP('Données projet'!$B$13,Paramètres!$A$1:$I$89,5,0)</f>
        <v>2.6602720026858149E-13</v>
      </c>
      <c r="CV136" s="13">
        <f t="shared" si="149"/>
        <v>3.5662905043956649E-12</v>
      </c>
      <c r="CW136" s="20">
        <f t="shared" si="121"/>
        <v>6.6746200022902298E-12</v>
      </c>
      <c r="CX136" s="59">
        <f t="shared" si="122"/>
        <v>293.33333333333997</v>
      </c>
      <c r="CY136" s="59">
        <f ca="1">AVERAGE(OFFSET($CX$3,0,0,'Données projet'!$E$13+1,1))-AVERAGE(OFFSET($H$3,0,0,'Données projet'!$E$13+1,1))</f>
        <v>190.06335940156185</v>
      </c>
      <c r="CZ136" s="59">
        <f t="shared" si="150"/>
        <v>166.43663896839928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</v>
      </c>
      <c r="DG136" s="21">
        <f>EXP(-LN(2)/25)*DG135+(1-EXP(-LN(2)/25))/(LN(2)/25)*Calculateur!DB136*Calculateur!DD136*VLOOKUP('Données projet'!$B$13,Paramètres!$A$1:$I$89,3,0)*0.475*44/12</f>
        <v>0.25687269828358866</v>
      </c>
      <c r="DH136" s="21">
        <f>EXP(-LN(2)/2)*DH135+(1-EXP(-LN(2)/2))/(LN(2)/2)*DB136*DE136*VLOOKUP('Données projet'!$B$13,Paramètres!$A$1:$I$89,3,0)*0.475*44/12</f>
        <v>1.6725877338740472E-15</v>
      </c>
      <c r="DI136" s="22">
        <f t="shared" si="123"/>
        <v>0.25687269828359033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-1.1368683772161603E-13</v>
      </c>
      <c r="DP136" s="17">
        <f>DO136*VLOOKUP('Données projet'!$B$14,Paramètres!$A$1:$I$89,3,0)*VLOOKUP('Données projet'!$B$14,Paramètres!$A$1:$I$89,5,0)</f>
        <v>-1.0995790944434703E-13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261.22357949323879</v>
      </c>
      <c r="DU136" s="59">
        <f t="shared" si="152"/>
        <v>163.41029152029387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0</v>
      </c>
      <c r="EB136" s="21">
        <f>EXP(-LN(2)/25)*EB135+(1-EXP(-LN(2)/25))/(LN(2)/25)*Calculateur!DW136*Calculateur!DY136*VLOOKUP('Données projet'!$B$14,Paramètres!$A$1:$I$89,3,0)*0.475*44/12</f>
        <v>0.19094703544788344</v>
      </c>
      <c r="EC136" s="21">
        <f>EXP(-LN(2)/2)*EC135+(1-EXP(-LN(2)/2))/(LN(2)/2)*DW136*DZ136*VLOOKUP('Données projet'!$B$14,Paramètres!$A$1:$I$89,3,0)*0.475*44/12</f>
        <v>2.077608966225303E-15</v>
      </c>
      <c r="ED136" s="22">
        <f t="shared" si="126"/>
        <v>0.19094703544788552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-1.1368683772161603E-13</v>
      </c>
      <c r="EK136" s="17">
        <f>EJ136*VLOOKUP('Données projet'!$B$15,Paramètres!$A$1:$I$89,3,0)*VLOOKUP('Données projet'!$B$15,Paramètres!$A$1:$I$89,5,0)</f>
        <v>-5.3205440053716299E-14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123.60520571614535</v>
      </c>
      <c r="EP136" s="59">
        <f t="shared" si="154"/>
        <v>119.00926870519527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0.11279305058217411</v>
      </c>
      <c r="EW136" s="21">
        <f>EXP(-LN(2)/25)*EW135+(1-EXP(-LN(2)/25))/(LN(2)/25)*Calculateur!ER136*Calculateur!ET136*VLOOKUP('Données projet'!$B$15,Paramètres!$A$1:$I$89,3,0)*0.475*44/12</f>
        <v>0.27471961929001198</v>
      </c>
      <c r="EX136" s="21">
        <f>EXP(-LN(2)/2)*EX135+(1-EXP(-LN(2)/2))/(LN(2)/2)*ER136*EU136*VLOOKUP('Données projet'!$B$15,Paramètres!$A$1:$I$89,3,0)*0.475*44/12</f>
        <v>1.9198181473249167E-15</v>
      </c>
      <c r="EY136" s="22">
        <f t="shared" si="129"/>
        <v>0.38751266987218802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-8.5265128291212022E-14</v>
      </c>
      <c r="FF136" s="17">
        <f>FE136*VLOOKUP('Données projet'!$B$16,Paramètres!$A$1:$I$89,3,0)*VLOOKUP('Données projet'!$B$16,Paramètres!$A$1:$I$89,5,0)</f>
        <v>-6.2516392063116648E-14</v>
      </c>
      <c r="FG136" s="13" t="e">
        <f t="shared" si="155"/>
        <v>#NUM!</v>
      </c>
      <c r="FH136" s="20" t="e">
        <f t="shared" si="130"/>
        <v>#NUM!</v>
      </c>
      <c r="FI136" s="59" t="e">
        <f t="shared" si="131"/>
        <v>#NUM!</v>
      </c>
      <c r="FJ136" s="59">
        <f ca="1">AVERAGE(OFFSET($FI$3,0,0,'Données projet'!$E$16+1,1))-AVERAGE(OFFSET($H$3,0,0,'Données projet'!$E$16+1,1))</f>
        <v>124.15919323713428</v>
      </c>
      <c r="FK136" s="59">
        <f t="shared" si="156"/>
        <v>157.85954678210715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0</v>
      </c>
      <c r="FR136" s="21">
        <f>EXP(-LN(2)/25)*FR135+(1-EXP(-LN(2)/25))/(LN(2)/25)*Calculateur!FM136*Calculateur!FO136*VLOOKUP('Données projet'!$B$16,Paramètres!$A$1:$I$89,3,0)*0.475*44/12</f>
        <v>0.2890761958560184</v>
      </c>
      <c r="FS136" s="21">
        <f>EXP(-LN(2)/2)*FS135+(1-EXP(-LN(2)/2))/(LN(2)/2)*FM136*FP136*VLOOKUP('Données projet'!$B$16,Paramètres!$A$1:$I$89,3,0)*0.475*44/12</f>
        <v>2.3166192162851837E-15</v>
      </c>
      <c r="FT136" s="22">
        <f t="shared" si="132"/>
        <v>0.28907619585602073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-1.1368683772161603E-13</v>
      </c>
      <c r="O137" s="13">
        <f>N137*VLOOKUP('Données projet'!$B$9,Paramètres!$A$1:$I$89,3,0)*VLOOKUP('Données projet'!$B$9,Paramètres!$A$1:$I$89,5,0)</f>
        <v>-1.0286385077051818E-13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237.22177246688199</v>
      </c>
      <c r="T137" s="59">
        <f t="shared" si="142"/>
        <v>149.27472147904302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</v>
      </c>
      <c r="AA137" s="21">
        <f>EXP(-LN(2)/25)*AA136+(1-EXP(-LN(2)/25))/(LN(2)/25)*Calculateur!V137*Calculateur!X137*VLOOKUP('Données projet'!$B$9,Paramètres!$A$1:$I$89,3,0)*0.475*44/12</f>
        <v>0.17374328332066769</v>
      </c>
      <c r="AB137" s="21">
        <f>EXP(-LN(2)/2)*AB136+(1-EXP(-LN(2)/2))/(LN(2)/2)*V137*Y137*VLOOKUP('Données projet'!$B$9,Paramètres!$A$1:$I$89,3,0)*0.475*44/12</f>
        <v>1.3743112990801503E-15</v>
      </c>
      <c r="AC137" s="22">
        <f t="shared" si="111"/>
        <v>0.17374328332066907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-8.5265128291212022E-14</v>
      </c>
      <c r="AJ137" s="13">
        <f>AI137*VLOOKUP('Données projet'!$B$10,Paramètres!$A$1:$I$89,3,0)*VLOOKUP('Données projet'!$B$10,Paramètres!$A$1:$I$89,5,0)</f>
        <v>-7.4487616075202836E-14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191.94797389630673</v>
      </c>
      <c r="AO137" s="59">
        <f t="shared" si="144"/>
        <v>273.52540822767878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0.32826966416593328</v>
      </c>
      <c r="AV137" s="21">
        <f>EXP(-LN(2)/25)*AV136+(1-EXP(-LN(2)/25))/(LN(2)/25)*Calculateur!AQ137*Calculateur!AS137*VLOOKUP('Données projet'!$B$10,Paramètres!$A$1:$I$89,3,0)*0.475*44/12</f>
        <v>0.7858404617797794</v>
      </c>
      <c r="AW137" s="21">
        <f>EXP(-LN(2)/2)*AW136+(1-EXP(-LN(2)/2))/(LN(2)/2)*AQ137*AT137*VLOOKUP('Données projet'!$B$10,Paramètres!$A$1:$I$89,3,0)*0.475*44/12</f>
        <v>5.1521149390486297E-15</v>
      </c>
      <c r="AX137" s="21">
        <f t="shared" si="114"/>
        <v>1.1141101259457178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72.647148358003676</v>
      </c>
      <c r="BJ137" s="59">
        <f t="shared" si="146"/>
        <v>87.231299224620898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0.16224154901022841</v>
      </c>
      <c r="BQ137" s="21">
        <f>EXP(-LN(2)/25)*BQ136+(1-EXP(-LN(2)/25))/(LN(2)/25)*Calculateur!BL137*Calculateur!BN137*VLOOKUP('Données projet'!$B$11,Paramètres!$A$1:$I$89,3,0)*0.475*44/12</f>
        <v>0.25346706956085269</v>
      </c>
      <c r="BR137" s="21">
        <f>EXP(-LN(2)/2)*BR136+(1-EXP(-LN(2)/2))/(LN(2)/2)*BL137*BO137*VLOOKUP('Données projet'!$B$11,Paramètres!$A$1:$I$89,3,0)*0.475*44/12</f>
        <v>5.0646067701238479E-16</v>
      </c>
      <c r="BS137" s="22">
        <f t="shared" si="117"/>
        <v>0.4157086185710816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5.6843418860808015E-14</v>
      </c>
      <c r="BZ137" s="13">
        <f>BY137*VLOOKUP('Données projet'!$B$12,Paramètres!$A$1:$I$89,3,0)*VLOOKUP('Données projet'!$B$12,Paramètres!$A$1:$I$89,5,0)</f>
        <v>3.3992364478763198E-14</v>
      </c>
      <c r="CA137" s="13">
        <f t="shared" si="147"/>
        <v>5.790027782444094E-13</v>
      </c>
      <c r="CB137" s="20">
        <f t="shared" si="118"/>
        <v>1.0676332069095257E-12</v>
      </c>
      <c r="CC137" s="59">
        <f t="shared" si="119"/>
        <v>293.33333333333439</v>
      </c>
      <c r="CD137" s="59">
        <f ca="1">AVERAGE(OFFSET($CC$3,0,0,'Données projet'!$E$12+1,1))-AVERAGE(OFFSET($H$3,0,0,'Données projet'!$E$12+1,1))</f>
        <v>165.39579887388538</v>
      </c>
      <c r="CE137" s="59">
        <f t="shared" si="148"/>
        <v>155.89639262545802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</v>
      </c>
      <c r="CL137" s="21">
        <f>EXP(-LN(2)/25)*CL136+(1-EXP(-LN(2)/25))/(LN(2)/25)*Calculateur!CG137*Calculateur!CI137*VLOOKUP('Données projet'!$B$12,Paramètres!$A$1:$I$89,3,0)*0.475*44/12</f>
        <v>0.407753572862457</v>
      </c>
      <c r="CM137" s="21">
        <f>EXP(-LN(2)/2)*CM136+(1-EXP(-LN(2)/2))/(LN(2)/2)*CG137*CJ137*VLOOKUP('Données projet'!$B$12,Paramètres!$A$1:$I$89,3,0)*0.475*44/12</f>
        <v>3.0819870512070916E-15</v>
      </c>
      <c r="CN137" s="22">
        <f t="shared" si="120"/>
        <v>0.40775357286246011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3.4106051316484809E-13</v>
      </c>
      <c r="CU137" s="17">
        <f>CT137*VLOOKUP('Données projet'!$B$13,Paramètres!$A$1:$I$89,3,0)*VLOOKUP('Données projet'!$B$13,Paramètres!$A$1:$I$89,5,0)</f>
        <v>2.6602720026858149E-13</v>
      </c>
      <c r="CV137" s="13">
        <f t="shared" si="149"/>
        <v>3.5662905043956649E-12</v>
      </c>
      <c r="CW137" s="20">
        <f t="shared" si="121"/>
        <v>6.6746200022902298E-12</v>
      </c>
      <c r="CX137" s="59">
        <f t="shared" si="122"/>
        <v>293.33333333333997</v>
      </c>
      <c r="CY137" s="59">
        <f ca="1">AVERAGE(OFFSET($CX$3,0,0,'Données projet'!$E$13+1,1))-AVERAGE(OFFSET($H$3,0,0,'Données projet'!$E$13+1,1))</f>
        <v>190.06335940156185</v>
      </c>
      <c r="CZ137" s="59">
        <f t="shared" si="150"/>
        <v>166.43663896839928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</v>
      </c>
      <c r="DG137" s="21">
        <f>EXP(-LN(2)/25)*DG136+(1-EXP(-LN(2)/25))/(LN(2)/25)*Calculateur!DB137*Calculateur!DD137*VLOOKUP('Données projet'!$B$13,Paramètres!$A$1:$I$89,3,0)*0.475*44/12</f>
        <v>0.24984850084067581</v>
      </c>
      <c r="DH137" s="21">
        <f>EXP(-LN(2)/2)*DH136+(1-EXP(-LN(2)/2))/(LN(2)/2)*DB137*DE137*VLOOKUP('Données projet'!$B$13,Paramètres!$A$1:$I$89,3,0)*0.475*44/12</f>
        <v>1.1826981287517793E-15</v>
      </c>
      <c r="DI137" s="22">
        <f t="shared" si="123"/>
        <v>0.249848500840677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-1.1368683772161603E-13</v>
      </c>
      <c r="DP137" s="17">
        <f>DO137*VLOOKUP('Données projet'!$B$14,Paramètres!$A$1:$I$89,3,0)*VLOOKUP('Données projet'!$B$14,Paramètres!$A$1:$I$89,5,0)</f>
        <v>-1.0995790944434703E-13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261.22357949323879</v>
      </c>
      <c r="DU137" s="59">
        <f t="shared" si="152"/>
        <v>163.41029152029387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0</v>
      </c>
      <c r="EB137" s="21">
        <f>EXP(-LN(2)/25)*EB136+(1-EXP(-LN(2)/25))/(LN(2)/25)*Calculateur!DW137*Calculateur!DY137*VLOOKUP('Données projet'!$B$14,Paramètres!$A$1:$I$89,3,0)*0.475*44/12</f>
        <v>0.18572557872209289</v>
      </c>
      <c r="EC137" s="21">
        <f>EXP(-LN(2)/2)*EC136+(1-EXP(-LN(2)/2))/(LN(2)/2)*DW137*DZ137*VLOOKUP('Données projet'!$B$14,Paramètres!$A$1:$I$89,3,0)*0.475*44/12</f>
        <v>1.4690913886718845E-15</v>
      </c>
      <c r="ED137" s="22">
        <f t="shared" si="126"/>
        <v>0.18572557872209436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-1.1368683772161603E-13</v>
      </c>
      <c r="EK137" s="17">
        <f>EJ137*VLOOKUP('Données projet'!$B$15,Paramètres!$A$1:$I$89,3,0)*VLOOKUP('Données projet'!$B$15,Paramètres!$A$1:$I$89,5,0)</f>
        <v>-5.3205440053716299E-14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123.60520571614535</v>
      </c>
      <c r="EP137" s="59">
        <f t="shared" si="154"/>
        <v>119.00926870519527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0.11058124765722539</v>
      </c>
      <c r="EW137" s="21">
        <f>EXP(-LN(2)/25)*EW136+(1-EXP(-LN(2)/25))/(LN(2)/25)*Calculateur!ER137*Calculateur!ET137*VLOOKUP('Données projet'!$B$15,Paramètres!$A$1:$I$89,3,0)*0.475*44/12</f>
        <v>0.26720739685364969</v>
      </c>
      <c r="EX137" s="21">
        <f>EXP(-LN(2)/2)*EX136+(1-EXP(-LN(2)/2))/(LN(2)/2)*ER137*EU137*VLOOKUP('Données projet'!$B$15,Paramètres!$A$1:$I$89,3,0)*0.475*44/12</f>
        <v>1.357516430618443E-15</v>
      </c>
      <c r="EY137" s="22">
        <f t="shared" si="129"/>
        <v>0.3777886445108764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-8.5265128291212022E-14</v>
      </c>
      <c r="FF137" s="17">
        <f>FE137*VLOOKUP('Données projet'!$B$16,Paramètres!$A$1:$I$89,3,0)*VLOOKUP('Données projet'!$B$16,Paramètres!$A$1:$I$89,5,0)</f>
        <v>-6.2516392063116648E-14</v>
      </c>
      <c r="FG137" s="13" t="e">
        <f t="shared" si="155"/>
        <v>#NUM!</v>
      </c>
      <c r="FH137" s="20" t="e">
        <f t="shared" si="130"/>
        <v>#NUM!</v>
      </c>
      <c r="FI137" s="59" t="e">
        <f t="shared" si="131"/>
        <v>#NUM!</v>
      </c>
      <c r="FJ137" s="59">
        <f ca="1">AVERAGE(OFFSET($FI$3,0,0,'Données projet'!$E$16+1,1))-AVERAGE(OFFSET($H$3,0,0,'Données projet'!$E$16+1,1))</f>
        <v>124.15919323713428</v>
      </c>
      <c r="FK137" s="59">
        <f t="shared" si="156"/>
        <v>157.85954678210715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0</v>
      </c>
      <c r="FR137" s="21">
        <f>EXP(-LN(2)/25)*FR136+(1-EXP(-LN(2)/25))/(LN(2)/25)*Calculateur!FM137*Calculateur!FO137*VLOOKUP('Données projet'!$B$16,Paramètres!$A$1:$I$89,3,0)*0.475*44/12</f>
        <v>0.28117139207847913</v>
      </c>
      <c r="FS137" s="21">
        <f>EXP(-LN(2)/2)*FS136+(1-EXP(-LN(2)/2))/(LN(2)/2)*FM137*FP137*VLOOKUP('Données projet'!$B$16,Paramètres!$A$1:$I$89,3,0)*0.475*44/12</f>
        <v>1.6380971572623186E-15</v>
      </c>
      <c r="FT137" s="22">
        <f t="shared" si="132"/>
        <v>0.2811713920784808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-1.1368683772161603E-13</v>
      </c>
      <c r="O138" s="13">
        <f>N138*VLOOKUP('Données projet'!$B$9,Paramètres!$A$1:$I$89,3,0)*VLOOKUP('Données projet'!$B$9,Paramètres!$A$1:$I$89,5,0)</f>
        <v>-1.0286385077051818E-13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237.22177246688199</v>
      </c>
      <c r="T138" s="59">
        <f t="shared" si="142"/>
        <v>149.27472147904302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</v>
      </c>
      <c r="AA138" s="21">
        <f>EXP(-LN(2)/25)*AA137+(1-EXP(-LN(2)/25))/(LN(2)/25)*Calculateur!V138*Calculateur!X138*VLOOKUP('Données projet'!$B$9,Paramètres!$A$1:$I$89,3,0)*0.475*44/12</f>
        <v>0.16899226410150187</v>
      </c>
      <c r="AB138" s="21">
        <f>EXP(-LN(2)/2)*AB137+(1-EXP(-LN(2)/2))/(LN(2)/2)*V138*Y138*VLOOKUP('Données projet'!$B$9,Paramètres!$A$1:$I$89,3,0)*0.475*44/12</f>
        <v>9.7178483904086771E-16</v>
      </c>
      <c r="AC138" s="22">
        <f t="shared" si="111"/>
        <v>0.16899226410150284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-8.5265128291212022E-14</v>
      </c>
      <c r="AJ138" s="13">
        <f>AI138*VLOOKUP('Données projet'!$B$10,Paramètres!$A$1:$I$89,3,0)*VLOOKUP('Données projet'!$B$10,Paramètres!$A$1:$I$89,5,0)</f>
        <v>-7.4487616075202836E-14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191.94797389630673</v>
      </c>
      <c r="AO138" s="59">
        <f t="shared" si="144"/>
        <v>273.52540822767878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0.3218324962763639</v>
      </c>
      <c r="AV138" s="21">
        <f>EXP(-LN(2)/25)*AV137+(1-EXP(-LN(2)/25))/(LN(2)/25)*Calculateur!AQ138*Calculateur!AS138*VLOOKUP('Données projet'!$B$10,Paramètres!$A$1:$I$89,3,0)*0.475*44/12</f>
        <v>0.7643516130268575</v>
      </c>
      <c r="AW138" s="21">
        <f>EXP(-LN(2)/2)*AW137+(1-EXP(-LN(2)/2))/(LN(2)/2)*AQ138*AT138*VLOOKUP('Données projet'!$B$10,Paramètres!$A$1:$I$89,3,0)*0.475*44/12</f>
        <v>3.6430954108538019E-15</v>
      </c>
      <c r="AX138" s="21">
        <f t="shared" si="114"/>
        <v>1.086184109303225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72.647148358003676</v>
      </c>
      <c r="BJ138" s="59">
        <f t="shared" si="146"/>
        <v>87.231299224620898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0.15906009119171149</v>
      </c>
      <c r="BQ138" s="21">
        <f>EXP(-LN(2)/25)*BQ137+(1-EXP(-LN(2)/25))/(LN(2)/25)*Calculateur!BL138*Calculateur!BN138*VLOOKUP('Données projet'!$B$11,Paramètres!$A$1:$I$89,3,0)*0.475*44/12</f>
        <v>0.24653599921445729</v>
      </c>
      <c r="BR138" s="21">
        <f>EXP(-LN(2)/2)*BR137+(1-EXP(-LN(2)/2))/(LN(2)/2)*BL138*BO138*VLOOKUP('Données projet'!$B$11,Paramètres!$A$1:$I$89,3,0)*0.475*44/12</f>
        <v>3.5812177911978709E-16</v>
      </c>
      <c r="BS138" s="22">
        <f t="shared" si="117"/>
        <v>0.40559609040616912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5.6843418860808015E-14</v>
      </c>
      <c r="BZ138" s="13">
        <f>BY138*VLOOKUP('Données projet'!$B$12,Paramètres!$A$1:$I$89,3,0)*VLOOKUP('Données projet'!$B$12,Paramètres!$A$1:$I$89,5,0)</f>
        <v>3.3992364478763198E-14</v>
      </c>
      <c r="CA138" s="13">
        <f t="shared" si="147"/>
        <v>5.790027782444094E-13</v>
      </c>
      <c r="CB138" s="20">
        <f t="shared" si="118"/>
        <v>1.0676332069095257E-12</v>
      </c>
      <c r="CC138" s="59">
        <f t="shared" si="119"/>
        <v>293.33333333333439</v>
      </c>
      <c r="CD138" s="59">
        <f ca="1">AVERAGE(OFFSET($CC$3,0,0,'Données projet'!$E$12+1,1))-AVERAGE(OFFSET($H$3,0,0,'Données projet'!$E$12+1,1))</f>
        <v>165.39579887388538</v>
      </c>
      <c r="CE138" s="59">
        <f t="shared" si="148"/>
        <v>155.89639262545802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</v>
      </c>
      <c r="CL138" s="21">
        <f>EXP(-LN(2)/25)*CL137+(1-EXP(-LN(2)/25))/(LN(2)/25)*Calculateur!CG138*Calculateur!CI138*VLOOKUP('Données projet'!$B$12,Paramètres!$A$1:$I$89,3,0)*0.475*44/12</f>
        <v>0.39660352996970466</v>
      </c>
      <c r="CM138" s="21">
        <f>EXP(-LN(2)/2)*CM137+(1-EXP(-LN(2)/2))/(LN(2)/2)*CG138*CJ138*VLOOKUP('Données projet'!$B$12,Paramètres!$A$1:$I$89,3,0)*0.475*44/12</f>
        <v>2.1792939434376657E-15</v>
      </c>
      <c r="CN138" s="22">
        <f t="shared" si="120"/>
        <v>0.39660352996970683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3.4106051316484809E-13</v>
      </c>
      <c r="CU138" s="17">
        <f>CT138*VLOOKUP('Données projet'!$B$13,Paramètres!$A$1:$I$89,3,0)*VLOOKUP('Données projet'!$B$13,Paramètres!$A$1:$I$89,5,0)</f>
        <v>2.6602720026858149E-13</v>
      </c>
      <c r="CV138" s="13">
        <f t="shared" si="149"/>
        <v>3.5662905043956649E-12</v>
      </c>
      <c r="CW138" s="20">
        <f t="shared" si="121"/>
        <v>6.6746200022902298E-12</v>
      </c>
      <c r="CX138" s="59">
        <f t="shared" si="122"/>
        <v>293.33333333333997</v>
      </c>
      <c r="CY138" s="59">
        <f ca="1">AVERAGE(OFFSET($CX$3,0,0,'Données projet'!$E$13+1,1))-AVERAGE(OFFSET($H$3,0,0,'Données projet'!$E$13+1,1))</f>
        <v>190.06335940156185</v>
      </c>
      <c r="CZ138" s="59">
        <f t="shared" si="150"/>
        <v>166.43663896839928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</v>
      </c>
      <c r="DG138" s="21">
        <f>EXP(-LN(2)/25)*DG137+(1-EXP(-LN(2)/25))/(LN(2)/25)*Calculateur!DB138*Calculateur!DD138*VLOOKUP('Données projet'!$B$13,Paramètres!$A$1:$I$89,3,0)*0.475*44/12</f>
        <v>0.24301638044622589</v>
      </c>
      <c r="DH138" s="21">
        <f>EXP(-LN(2)/2)*DH137+(1-EXP(-LN(2)/2))/(LN(2)/2)*DB138*DE138*VLOOKUP('Données projet'!$B$13,Paramètres!$A$1:$I$89,3,0)*0.475*44/12</f>
        <v>8.3629386693702362E-16</v>
      </c>
      <c r="DI138" s="22">
        <f t="shared" si="123"/>
        <v>0.24301638044622673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-1.1368683772161603E-13</v>
      </c>
      <c r="DP138" s="17">
        <f>DO138*VLOOKUP('Données projet'!$B$14,Paramètres!$A$1:$I$89,3,0)*VLOOKUP('Données projet'!$B$14,Paramètres!$A$1:$I$89,5,0)</f>
        <v>-1.0995790944434703E-13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261.22357949323879</v>
      </c>
      <c r="DU138" s="59">
        <f t="shared" si="152"/>
        <v>163.41029152029387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0</v>
      </c>
      <c r="EB138" s="21">
        <f>EXP(-LN(2)/25)*EB137+(1-EXP(-LN(2)/25))/(LN(2)/25)*Calculateur!DW138*Calculateur!DY138*VLOOKUP('Données projet'!$B$14,Paramètres!$A$1:$I$89,3,0)*0.475*44/12</f>
        <v>0.18064690300505357</v>
      </c>
      <c r="EC138" s="21">
        <f>EXP(-LN(2)/2)*EC137+(1-EXP(-LN(2)/2))/(LN(2)/2)*DW138*DZ138*VLOOKUP('Données projet'!$B$14,Paramètres!$A$1:$I$89,3,0)*0.475*44/12</f>
        <v>1.0388044831126515E-15</v>
      </c>
      <c r="ED138" s="22">
        <f t="shared" si="126"/>
        <v>0.18064690300505459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-1.1368683772161603E-13</v>
      </c>
      <c r="EK138" s="17">
        <f>EJ138*VLOOKUP('Données projet'!$B$15,Paramètres!$A$1:$I$89,3,0)*VLOOKUP('Données projet'!$B$15,Paramètres!$A$1:$I$89,5,0)</f>
        <v>-5.3205440053716299E-14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123.60520571614535</v>
      </c>
      <c r="EP138" s="59">
        <f t="shared" si="154"/>
        <v>119.00926870519527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0.10841281683856835</v>
      </c>
      <c r="EW138" s="21">
        <f>EXP(-LN(2)/25)*EW137+(1-EXP(-LN(2)/25))/(LN(2)/25)*Calculateur!ER138*Calculateur!ET138*VLOOKUP('Données projet'!$B$15,Paramètres!$A$1:$I$89,3,0)*0.475*44/12</f>
        <v>0.25990059653486036</v>
      </c>
      <c r="EX138" s="21">
        <f>EXP(-LN(2)/2)*EX137+(1-EXP(-LN(2)/2))/(LN(2)/2)*ER138*EU138*VLOOKUP('Données projet'!$B$15,Paramètres!$A$1:$I$89,3,0)*0.475*44/12</f>
        <v>9.5990907366245835E-16</v>
      </c>
      <c r="EY138" s="22">
        <f t="shared" si="129"/>
        <v>0.36831341337342965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-8.5265128291212022E-14</v>
      </c>
      <c r="FF138" s="17">
        <f>FE138*VLOOKUP('Données projet'!$B$16,Paramètres!$A$1:$I$89,3,0)*VLOOKUP('Données projet'!$B$16,Paramètres!$A$1:$I$89,5,0)</f>
        <v>-6.2516392063116648E-14</v>
      </c>
      <c r="FG138" s="13" t="e">
        <f t="shared" si="155"/>
        <v>#NUM!</v>
      </c>
      <c r="FH138" s="20" t="e">
        <f t="shared" si="130"/>
        <v>#NUM!</v>
      </c>
      <c r="FI138" s="59" t="e">
        <f t="shared" si="131"/>
        <v>#NUM!</v>
      </c>
      <c r="FJ138" s="59">
        <f ca="1">AVERAGE(OFFSET($FI$3,0,0,'Données projet'!$E$16+1,1))-AVERAGE(OFFSET($H$3,0,0,'Données projet'!$E$16+1,1))</f>
        <v>124.15919323713428</v>
      </c>
      <c r="FK138" s="59">
        <f t="shared" si="156"/>
        <v>157.85954678210715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0</v>
      </c>
      <c r="FR138" s="21">
        <f>EXP(-LN(2)/25)*FR137+(1-EXP(-LN(2)/25))/(LN(2)/25)*Calculateur!FM138*Calculateur!FO138*VLOOKUP('Données projet'!$B$16,Paramètres!$A$1:$I$89,3,0)*0.475*44/12</f>
        <v>0.27348274557593222</v>
      </c>
      <c r="FS138" s="21">
        <f>EXP(-LN(2)/2)*FS137+(1-EXP(-LN(2)/2))/(LN(2)/2)*FM138*FP138*VLOOKUP('Données projet'!$B$16,Paramètres!$A$1:$I$89,3,0)*0.475*44/12</f>
        <v>1.1583096081425918E-15</v>
      </c>
      <c r="FT138" s="22">
        <f t="shared" si="132"/>
        <v>0.27348274557593338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-1.1368683772161603E-13</v>
      </c>
      <c r="O139" s="13">
        <f>N139*VLOOKUP('Données projet'!$B$9,Paramètres!$A$1:$I$89,3,0)*VLOOKUP('Données projet'!$B$9,Paramètres!$A$1:$I$89,5,0)</f>
        <v>-1.0286385077051818E-13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237.22177246688199</v>
      </c>
      <c r="T139" s="59">
        <f t="shared" si="142"/>
        <v>149.27472147904302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</v>
      </c>
      <c r="AA139" s="21">
        <f>EXP(-LN(2)/25)*AA138+(1-EXP(-LN(2)/25))/(LN(2)/25)*Calculateur!V139*Calculateur!X139*VLOOKUP('Données projet'!$B$9,Paramètres!$A$1:$I$89,3,0)*0.475*44/12</f>
        <v>0.16437116175272937</v>
      </c>
      <c r="AB139" s="21">
        <f>EXP(-LN(2)/2)*AB138+(1-EXP(-LN(2)/2))/(LN(2)/2)*V139*Y139*VLOOKUP('Données projet'!$B$9,Paramètres!$A$1:$I$89,3,0)*0.475*44/12</f>
        <v>6.8715564954007516E-16</v>
      </c>
      <c r="AC139" s="22">
        <f t="shared" si="111"/>
        <v>0.16437116175273006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-8.5265128291212022E-14</v>
      </c>
      <c r="AJ139" s="13">
        <f>AI139*VLOOKUP('Données projet'!$B$10,Paramètres!$A$1:$I$89,3,0)*VLOOKUP('Données projet'!$B$10,Paramètres!$A$1:$I$89,5,0)</f>
        <v>-7.4487616075202836E-14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191.94797389630673</v>
      </c>
      <c r="AO139" s="59">
        <f t="shared" si="144"/>
        <v>273.52540822767878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0.31552155732282428</v>
      </c>
      <c r="AV139" s="21">
        <f>EXP(-LN(2)/25)*AV138+(1-EXP(-LN(2)/25))/(LN(2)/25)*Calculateur!AQ139*Calculateur!AS139*VLOOKUP('Données projet'!$B$10,Paramètres!$A$1:$I$89,3,0)*0.475*44/12</f>
        <v>0.74345037797313374</v>
      </c>
      <c r="AW139" s="21">
        <f>EXP(-LN(2)/2)*AW138+(1-EXP(-LN(2)/2))/(LN(2)/2)*AQ139*AT139*VLOOKUP('Données projet'!$B$10,Paramètres!$A$1:$I$89,3,0)*0.475*44/12</f>
        <v>2.5760574695243149E-15</v>
      </c>
      <c r="AX139" s="21">
        <f t="shared" si="114"/>
        <v>1.0589719352959608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72.647148358003676</v>
      </c>
      <c r="BJ139" s="59">
        <f t="shared" si="146"/>
        <v>87.231299224620898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0.15594101982051803</v>
      </c>
      <c r="BQ139" s="21">
        <f>EXP(-LN(2)/25)*BQ138+(1-EXP(-LN(2)/25))/(LN(2)/25)*Calculateur!BL139*Calculateur!BN139*VLOOKUP('Données projet'!$B$11,Paramètres!$A$1:$I$89,3,0)*0.475*44/12</f>
        <v>0.23979445935117322</v>
      </c>
      <c r="BR139" s="21">
        <f>EXP(-LN(2)/2)*BR138+(1-EXP(-LN(2)/2))/(LN(2)/2)*BL139*BO139*VLOOKUP('Données projet'!$B$11,Paramètres!$A$1:$I$89,3,0)*0.475*44/12</f>
        <v>2.5323033850619239E-16</v>
      </c>
      <c r="BS139" s="22">
        <f t="shared" si="117"/>
        <v>0.39573547917169155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5.6843418860808015E-14</v>
      </c>
      <c r="BZ139" s="13">
        <f>BY139*VLOOKUP('Données projet'!$B$12,Paramètres!$A$1:$I$89,3,0)*VLOOKUP('Données projet'!$B$12,Paramètres!$A$1:$I$89,5,0)</f>
        <v>3.3992364478763198E-14</v>
      </c>
      <c r="CA139" s="13">
        <f t="shared" si="147"/>
        <v>5.790027782444094E-13</v>
      </c>
      <c r="CB139" s="20">
        <f t="shared" si="118"/>
        <v>1.0676332069095257E-12</v>
      </c>
      <c r="CC139" s="59">
        <f t="shared" si="119"/>
        <v>293.33333333333439</v>
      </c>
      <c r="CD139" s="59">
        <f ca="1">AVERAGE(OFFSET($CC$3,0,0,'Données projet'!$E$12+1,1))-AVERAGE(OFFSET($H$3,0,0,'Données projet'!$E$12+1,1))</f>
        <v>165.39579887388538</v>
      </c>
      <c r="CE139" s="59">
        <f t="shared" si="148"/>
        <v>155.89639262545802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</v>
      </c>
      <c r="CL139" s="21">
        <f>EXP(-LN(2)/25)*CL138+(1-EXP(-LN(2)/25))/(LN(2)/25)*Calculateur!CG139*Calculateur!CI139*VLOOKUP('Données projet'!$B$12,Paramètres!$A$1:$I$89,3,0)*0.475*44/12</f>
        <v>0.3857583855862099</v>
      </c>
      <c r="CM139" s="21">
        <f>EXP(-LN(2)/2)*CM138+(1-EXP(-LN(2)/2))/(LN(2)/2)*CG139*CJ139*VLOOKUP('Données projet'!$B$12,Paramètres!$A$1:$I$89,3,0)*0.475*44/12</f>
        <v>1.5409935256035458E-15</v>
      </c>
      <c r="CN139" s="22">
        <f t="shared" si="120"/>
        <v>0.38575838558621145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3.4106051316484809E-13</v>
      </c>
      <c r="CU139" s="17">
        <f>CT139*VLOOKUP('Données projet'!$B$13,Paramètres!$A$1:$I$89,3,0)*VLOOKUP('Données projet'!$B$13,Paramètres!$A$1:$I$89,5,0)</f>
        <v>2.6602720026858149E-13</v>
      </c>
      <c r="CV139" s="13">
        <f t="shared" si="149"/>
        <v>3.5662905043956649E-12</v>
      </c>
      <c r="CW139" s="20">
        <f t="shared" si="121"/>
        <v>6.6746200022902298E-12</v>
      </c>
      <c r="CX139" s="59">
        <f t="shared" si="122"/>
        <v>293.33333333333997</v>
      </c>
      <c r="CY139" s="59">
        <f ca="1">AVERAGE(OFFSET($CX$3,0,0,'Données projet'!$E$13+1,1))-AVERAGE(OFFSET($H$3,0,0,'Données projet'!$E$13+1,1))</f>
        <v>190.06335940156185</v>
      </c>
      <c r="CZ139" s="59">
        <f t="shared" si="150"/>
        <v>166.43663896839928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</v>
      </c>
      <c r="DG139" s="21">
        <f>EXP(-LN(2)/25)*DG138+(1-EXP(-LN(2)/25))/(LN(2)/25)*Calculateur!DB139*Calculateur!DD139*VLOOKUP('Données projet'!$B$13,Paramètres!$A$1:$I$89,3,0)*0.475*44/12</f>
        <v>0.23637108474324783</v>
      </c>
      <c r="DH139" s="21">
        <f>EXP(-LN(2)/2)*DH138+(1-EXP(-LN(2)/2))/(LN(2)/2)*DB139*DE139*VLOOKUP('Données projet'!$B$13,Paramètres!$A$1:$I$89,3,0)*0.475*44/12</f>
        <v>5.9134906437588964E-16</v>
      </c>
      <c r="DI139" s="22">
        <f t="shared" si="123"/>
        <v>0.23637108474324842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-1.1368683772161603E-13</v>
      </c>
      <c r="DP139" s="17">
        <f>DO139*VLOOKUP('Données projet'!$B$14,Paramètres!$A$1:$I$89,3,0)*VLOOKUP('Données projet'!$B$14,Paramètres!$A$1:$I$89,5,0)</f>
        <v>-1.0995790944434703E-13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261.22357949323879</v>
      </c>
      <c r="DU139" s="59">
        <f t="shared" si="152"/>
        <v>163.41029152029387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0</v>
      </c>
      <c r="EB139" s="21">
        <f>EXP(-LN(2)/25)*EB138+(1-EXP(-LN(2)/25))/(LN(2)/25)*Calculateur!DW139*Calculateur!DY139*VLOOKUP('Données projet'!$B$14,Paramètres!$A$1:$I$89,3,0)*0.475*44/12</f>
        <v>0.17570710394257263</v>
      </c>
      <c r="EC139" s="21">
        <f>EXP(-LN(2)/2)*EC138+(1-EXP(-LN(2)/2))/(LN(2)/2)*DW139*DZ139*VLOOKUP('Données projet'!$B$14,Paramètres!$A$1:$I$89,3,0)*0.475*44/12</f>
        <v>7.3454569433594227E-16</v>
      </c>
      <c r="ED139" s="22">
        <f t="shared" si="126"/>
        <v>0.17570710394257336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-1.1368683772161603E-13</v>
      </c>
      <c r="EK139" s="17">
        <f>EJ139*VLOOKUP('Données projet'!$B$15,Paramètres!$A$1:$I$89,3,0)*VLOOKUP('Données projet'!$B$15,Paramètres!$A$1:$I$89,5,0)</f>
        <v>-5.3205440053716299E-14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123.60520571614535</v>
      </c>
      <c r="EP139" s="59">
        <f t="shared" si="154"/>
        <v>119.00926870519527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0.10628690762565296</v>
      </c>
      <c r="EW139" s="21">
        <f>EXP(-LN(2)/25)*EW138+(1-EXP(-LN(2)/25))/(LN(2)/25)*Calculateur!ER139*Calculateur!ET139*VLOOKUP('Données projet'!$B$15,Paramètres!$A$1:$I$89,3,0)*0.475*44/12</f>
        <v>0.25279360105503623</v>
      </c>
      <c r="EX139" s="21">
        <f>EXP(-LN(2)/2)*EX138+(1-EXP(-LN(2)/2))/(LN(2)/2)*ER139*EU139*VLOOKUP('Données projet'!$B$15,Paramètres!$A$1:$I$89,3,0)*0.475*44/12</f>
        <v>6.7875821530922148E-16</v>
      </c>
      <c r="EY139" s="22">
        <f t="shared" si="129"/>
        <v>0.35908050868068986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-8.5265128291212022E-14</v>
      </c>
      <c r="FF139" s="17">
        <f>FE139*VLOOKUP('Données projet'!$B$16,Paramètres!$A$1:$I$89,3,0)*VLOOKUP('Données projet'!$B$16,Paramètres!$A$1:$I$89,5,0)</f>
        <v>-6.2516392063116648E-14</v>
      </c>
      <c r="FG139" s="13" t="e">
        <f t="shared" si="155"/>
        <v>#NUM!</v>
      </c>
      <c r="FH139" s="20" t="e">
        <f t="shared" si="130"/>
        <v>#NUM!</v>
      </c>
      <c r="FI139" s="59" t="e">
        <f t="shared" si="131"/>
        <v>#NUM!</v>
      </c>
      <c r="FJ139" s="59">
        <f ca="1">AVERAGE(OFFSET($FI$3,0,0,'Données projet'!$E$16+1,1))-AVERAGE(OFFSET($H$3,0,0,'Données projet'!$E$16+1,1))</f>
        <v>124.15919323713428</v>
      </c>
      <c r="FK139" s="59">
        <f t="shared" si="156"/>
        <v>157.85954678210715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0</v>
      </c>
      <c r="FR139" s="21">
        <f>EXP(-LN(2)/25)*FR138+(1-EXP(-LN(2)/25))/(LN(2)/25)*Calculateur!FM139*Calculateur!FO139*VLOOKUP('Données projet'!$B$16,Paramètres!$A$1:$I$89,3,0)*0.475*44/12</f>
        <v>0.26600434551632579</v>
      </c>
      <c r="FS139" s="21">
        <f>EXP(-LN(2)/2)*FS138+(1-EXP(-LN(2)/2))/(LN(2)/2)*FM139*FP139*VLOOKUP('Données projet'!$B$16,Paramètres!$A$1:$I$89,3,0)*0.475*44/12</f>
        <v>8.1904857863115931E-16</v>
      </c>
      <c r="FT139" s="22">
        <f t="shared" si="132"/>
        <v>0.26600434551632662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-1.1368683772161603E-13</v>
      </c>
      <c r="O140" s="13">
        <f>N140*VLOOKUP('Données projet'!$B$9,Paramètres!$A$1:$I$89,3,0)*VLOOKUP('Données projet'!$B$9,Paramètres!$A$1:$I$89,5,0)</f>
        <v>-1.0286385077051818E-13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237.22177246688199</v>
      </c>
      <c r="T140" s="59">
        <f t="shared" si="142"/>
        <v>149.27472147904302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</v>
      </c>
      <c r="AA140" s="21">
        <f>EXP(-LN(2)/25)*AA139+(1-EXP(-LN(2)/25))/(LN(2)/25)*Calculateur!V140*Calculateur!X140*VLOOKUP('Données projet'!$B$9,Paramètres!$A$1:$I$89,3,0)*0.475*44/12</f>
        <v>0.15987642369069727</v>
      </c>
      <c r="AB140" s="21">
        <f>EXP(-LN(2)/2)*AB139+(1-EXP(-LN(2)/2))/(LN(2)/2)*V140*Y140*VLOOKUP('Données projet'!$B$9,Paramètres!$A$1:$I$89,3,0)*0.475*44/12</f>
        <v>4.8589241952043386E-16</v>
      </c>
      <c r="AC140" s="22">
        <f t="shared" si="111"/>
        <v>0.15987642369069777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-8.5265128291212022E-14</v>
      </c>
      <c r="AJ140" s="13">
        <f>AI140*VLOOKUP('Données projet'!$B$10,Paramètres!$A$1:$I$89,3,0)*VLOOKUP('Données projet'!$B$10,Paramètres!$A$1:$I$89,5,0)</f>
        <v>-7.4487616075202836E-14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191.94797389630673</v>
      </c>
      <c r="AO140" s="59">
        <f t="shared" si="144"/>
        <v>273.52540822767878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0.3093343720328709</v>
      </c>
      <c r="AV140" s="21">
        <f>EXP(-LN(2)/25)*AV139+(1-EXP(-LN(2)/25))/(LN(2)/25)*Calculateur!AQ140*Calculateur!AS140*VLOOKUP('Données projet'!$B$10,Paramètres!$A$1:$I$89,3,0)*0.475*44/12</f>
        <v>0.72312068829110221</v>
      </c>
      <c r="AW140" s="21">
        <f>EXP(-LN(2)/2)*AW139+(1-EXP(-LN(2)/2))/(LN(2)/2)*AQ140*AT140*VLOOKUP('Données projet'!$B$10,Paramètres!$A$1:$I$89,3,0)*0.475*44/12</f>
        <v>1.821547705426901E-15</v>
      </c>
      <c r="AX140" s="21">
        <f t="shared" si="114"/>
        <v>1.0324550603239748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72.647148358003676</v>
      </c>
      <c r="BJ140" s="59">
        <f t="shared" si="146"/>
        <v>87.231299224620898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0.15288311153646797</v>
      </c>
      <c r="BQ140" s="21">
        <f>EXP(-LN(2)/25)*BQ139+(1-EXP(-LN(2)/25))/(LN(2)/25)*Calculateur!BL140*Calculateur!BN140*VLOOKUP('Données projet'!$B$11,Paramètres!$A$1:$I$89,3,0)*0.475*44/12</f>
        <v>0.23323726724997282</v>
      </c>
      <c r="BR140" s="21">
        <f>EXP(-LN(2)/2)*BR139+(1-EXP(-LN(2)/2))/(LN(2)/2)*BL140*BO140*VLOOKUP('Données projet'!$B$11,Paramètres!$A$1:$I$89,3,0)*0.475*44/12</f>
        <v>1.7906088955989355E-16</v>
      </c>
      <c r="BS140" s="22">
        <f t="shared" si="117"/>
        <v>0.38612037878644095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5.6843418860808015E-14</v>
      </c>
      <c r="BZ140" s="13">
        <f>BY140*VLOOKUP('Données projet'!$B$12,Paramètres!$A$1:$I$89,3,0)*VLOOKUP('Données projet'!$B$12,Paramètres!$A$1:$I$89,5,0)</f>
        <v>3.3992364478763198E-14</v>
      </c>
      <c r="CA140" s="13">
        <f t="shared" si="147"/>
        <v>5.790027782444094E-13</v>
      </c>
      <c r="CB140" s="20">
        <f t="shared" si="118"/>
        <v>1.0676332069095257E-12</v>
      </c>
      <c r="CC140" s="59">
        <f t="shared" si="119"/>
        <v>293.33333333333439</v>
      </c>
      <c r="CD140" s="59">
        <f ca="1">AVERAGE(OFFSET($CC$3,0,0,'Données projet'!$E$12+1,1))-AVERAGE(OFFSET($H$3,0,0,'Données projet'!$E$12+1,1))</f>
        <v>165.39579887388538</v>
      </c>
      <c r="CE140" s="59">
        <f t="shared" si="148"/>
        <v>155.89639262545802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</v>
      </c>
      <c r="CL140" s="21">
        <f>EXP(-LN(2)/25)*CL139+(1-EXP(-LN(2)/25))/(LN(2)/25)*Calculateur!CG140*Calculateur!CI140*VLOOKUP('Données projet'!$B$12,Paramètres!$A$1:$I$89,3,0)*0.475*44/12</f>
        <v>0.37520980224620315</v>
      </c>
      <c r="CM140" s="21">
        <f>EXP(-LN(2)/2)*CM139+(1-EXP(-LN(2)/2))/(LN(2)/2)*CG140*CJ140*VLOOKUP('Données projet'!$B$12,Paramètres!$A$1:$I$89,3,0)*0.475*44/12</f>
        <v>1.0896469717188329E-15</v>
      </c>
      <c r="CN140" s="22">
        <f t="shared" si="120"/>
        <v>0.37520980224620426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3.4106051316484809E-13</v>
      </c>
      <c r="CU140" s="17">
        <f>CT140*VLOOKUP('Données projet'!$B$13,Paramètres!$A$1:$I$89,3,0)*VLOOKUP('Données projet'!$B$13,Paramètres!$A$1:$I$89,5,0)</f>
        <v>2.6602720026858149E-13</v>
      </c>
      <c r="CV140" s="13">
        <f t="shared" si="149"/>
        <v>3.5662905043956649E-12</v>
      </c>
      <c r="CW140" s="20">
        <f t="shared" si="121"/>
        <v>6.6746200022902298E-12</v>
      </c>
      <c r="CX140" s="59">
        <f t="shared" si="122"/>
        <v>293.33333333333997</v>
      </c>
      <c r="CY140" s="59">
        <f ca="1">AVERAGE(OFFSET($CX$3,0,0,'Données projet'!$E$13+1,1))-AVERAGE(OFFSET($H$3,0,0,'Données projet'!$E$13+1,1))</f>
        <v>190.06335940156185</v>
      </c>
      <c r="CZ140" s="59">
        <f t="shared" si="150"/>
        <v>166.43663896839928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</v>
      </c>
      <c r="DG140" s="21">
        <f>EXP(-LN(2)/25)*DG139+(1-EXP(-LN(2)/25))/(LN(2)/25)*Calculateur!DB140*Calculateur!DD140*VLOOKUP('Données projet'!$B$13,Paramètres!$A$1:$I$89,3,0)*0.475*44/12</f>
        <v>0.2299075050007286</v>
      </c>
      <c r="DH140" s="21">
        <f>EXP(-LN(2)/2)*DH139+(1-EXP(-LN(2)/2))/(LN(2)/2)*DB140*DE140*VLOOKUP('Données projet'!$B$13,Paramètres!$A$1:$I$89,3,0)*0.475*44/12</f>
        <v>4.1814693346851181E-16</v>
      </c>
      <c r="DI140" s="22">
        <f t="shared" si="123"/>
        <v>0.22990750500072901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-1.1368683772161603E-13</v>
      </c>
      <c r="DP140" s="17">
        <f>DO140*VLOOKUP('Données projet'!$B$14,Paramètres!$A$1:$I$89,3,0)*VLOOKUP('Données projet'!$B$14,Paramètres!$A$1:$I$89,5,0)</f>
        <v>-1.0995790944434703E-13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261.22357949323879</v>
      </c>
      <c r="DU140" s="59">
        <f t="shared" si="152"/>
        <v>163.41029152029387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0</v>
      </c>
      <c r="EB140" s="21">
        <f>EXP(-LN(2)/25)*EB139+(1-EXP(-LN(2)/25))/(LN(2)/25)*Calculateur!DW140*Calculateur!DY140*VLOOKUP('Données projet'!$B$14,Paramètres!$A$1:$I$89,3,0)*0.475*44/12</f>
        <v>0.17090238394522797</v>
      </c>
      <c r="EC140" s="21">
        <f>EXP(-LN(2)/2)*EC139+(1-EXP(-LN(2)/2))/(LN(2)/2)*DW140*DZ140*VLOOKUP('Données projet'!$B$14,Paramètres!$A$1:$I$89,3,0)*0.475*44/12</f>
        <v>5.1940224155632574E-16</v>
      </c>
      <c r="ED140" s="22">
        <f t="shared" si="126"/>
        <v>0.1709023839452285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-1.1368683772161603E-13</v>
      </c>
      <c r="EK140" s="17">
        <f>EJ140*VLOOKUP('Données projet'!$B$15,Paramètres!$A$1:$I$89,3,0)*VLOOKUP('Données projet'!$B$15,Paramètres!$A$1:$I$89,5,0)</f>
        <v>-5.3205440053716299E-14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123.60520571614535</v>
      </c>
      <c r="EP140" s="59">
        <f t="shared" si="154"/>
        <v>119.00926870519527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0.10420268619572626</v>
      </c>
      <c r="EW140" s="21">
        <f>EXP(-LN(2)/25)*EW139+(1-EXP(-LN(2)/25))/(LN(2)/25)*Calculateur!ER140*Calculateur!ET140*VLOOKUP('Données projet'!$B$15,Paramètres!$A$1:$I$89,3,0)*0.475*44/12</f>
        <v>0.24588094674034855</v>
      </c>
      <c r="EX140" s="21">
        <f>EXP(-LN(2)/2)*EX139+(1-EXP(-LN(2)/2))/(LN(2)/2)*ER140*EU140*VLOOKUP('Données projet'!$B$15,Paramètres!$A$1:$I$89,3,0)*0.475*44/12</f>
        <v>4.7995453683122918E-16</v>
      </c>
      <c r="EY140" s="22">
        <f t="shared" si="129"/>
        <v>0.35008363293607531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-8.5265128291212022E-14</v>
      </c>
      <c r="FF140" s="17">
        <f>FE140*VLOOKUP('Données projet'!$B$16,Paramètres!$A$1:$I$89,3,0)*VLOOKUP('Données projet'!$B$16,Paramètres!$A$1:$I$89,5,0)</f>
        <v>-6.2516392063116648E-14</v>
      </c>
      <c r="FG140" s="13" t="e">
        <f t="shared" si="155"/>
        <v>#NUM!</v>
      </c>
      <c r="FH140" s="20" t="e">
        <f t="shared" si="130"/>
        <v>#NUM!</v>
      </c>
      <c r="FI140" s="59" t="e">
        <f t="shared" si="131"/>
        <v>#NUM!</v>
      </c>
      <c r="FJ140" s="59">
        <f ca="1">AVERAGE(OFFSET($FI$3,0,0,'Données projet'!$E$16+1,1))-AVERAGE(OFFSET($H$3,0,0,'Données projet'!$E$16+1,1))</f>
        <v>124.15919323713428</v>
      </c>
      <c r="FK140" s="59">
        <f t="shared" si="156"/>
        <v>157.85954678210715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0</v>
      </c>
      <c r="FR140" s="21">
        <f>EXP(-LN(2)/25)*FR139+(1-EXP(-LN(2)/25))/(LN(2)/25)*Calculateur!FM140*Calculateur!FO140*VLOOKUP('Données projet'!$B$16,Paramètres!$A$1:$I$89,3,0)*0.475*44/12</f>
        <v>0.25873044269962131</v>
      </c>
      <c r="FS140" s="21">
        <f>EXP(-LN(2)/2)*FS139+(1-EXP(-LN(2)/2))/(LN(2)/2)*FM140*FP140*VLOOKUP('Données projet'!$B$16,Paramètres!$A$1:$I$89,3,0)*0.475*44/12</f>
        <v>5.7915480407129592E-16</v>
      </c>
      <c r="FT140" s="22">
        <f t="shared" si="132"/>
        <v>0.25873044269962187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-1.1368683772161603E-13</v>
      </c>
      <c r="O141" s="13">
        <f>N141*VLOOKUP('Données projet'!$B$9,Paramètres!$A$1:$I$89,3,0)*VLOOKUP('Données projet'!$B$9,Paramètres!$A$1:$I$89,5,0)</f>
        <v>-1.0286385077051818E-13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237.22177246688199</v>
      </c>
      <c r="T141" s="59">
        <f t="shared" si="142"/>
        <v>149.27472147904302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</v>
      </c>
      <c r="AA141" s="21">
        <f>EXP(-LN(2)/25)*AA140+(1-EXP(-LN(2)/25))/(LN(2)/25)*Calculateur!V141*Calculateur!X141*VLOOKUP('Données projet'!$B$9,Paramètres!$A$1:$I$89,3,0)*0.475*44/12</f>
        <v>0.15550459447733944</v>
      </c>
      <c r="AB141" s="21">
        <f>EXP(-LN(2)/2)*AB140+(1-EXP(-LN(2)/2))/(LN(2)/2)*V141*Y141*VLOOKUP('Données projet'!$B$9,Paramètres!$A$1:$I$89,3,0)*0.475*44/12</f>
        <v>3.4357782477003758E-16</v>
      </c>
      <c r="AC141" s="22">
        <f t="shared" si="111"/>
        <v>0.15550459447733977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-8.5265128291212022E-14</v>
      </c>
      <c r="AJ141" s="13">
        <f>AI141*VLOOKUP('Données projet'!$B$10,Paramètres!$A$1:$I$89,3,0)*VLOOKUP('Données projet'!$B$10,Paramètres!$A$1:$I$89,5,0)</f>
        <v>-7.4487616075202836E-14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191.94797389630673</v>
      </c>
      <c r="AO141" s="59">
        <f t="shared" si="144"/>
        <v>273.52540822767878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0.30326851367264307</v>
      </c>
      <c r="AV141" s="21">
        <f>EXP(-LN(2)/25)*AV140+(1-EXP(-LN(2)/25))/(LN(2)/25)*Calculateur!AQ141*Calculateur!AS141*VLOOKUP('Données projet'!$B$10,Paramètres!$A$1:$I$89,3,0)*0.475*44/12</f>
        <v>0.70334691504251778</v>
      </c>
      <c r="AW141" s="21">
        <f>EXP(-LN(2)/2)*AW140+(1-EXP(-LN(2)/2))/(LN(2)/2)*AQ141*AT141*VLOOKUP('Données projet'!$B$10,Paramètres!$A$1:$I$89,3,0)*0.475*44/12</f>
        <v>1.2880287347621574E-15</v>
      </c>
      <c r="AX141" s="21">
        <f t="shared" si="114"/>
        <v>1.0066154287151621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72.647148358003676</v>
      </c>
      <c r="BJ141" s="59">
        <f t="shared" si="146"/>
        <v>87.231299224620898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0.14988516696872825</v>
      </c>
      <c r="BQ141" s="21">
        <f>EXP(-LN(2)/25)*BQ140+(1-EXP(-LN(2)/25))/(LN(2)/25)*Calculateur!BL141*Calculateur!BN141*VLOOKUP('Données projet'!$B$11,Paramètres!$A$1:$I$89,3,0)*0.475*44/12</f>
        <v>0.22685938191160751</v>
      </c>
      <c r="BR141" s="21">
        <f>EXP(-LN(2)/2)*BR140+(1-EXP(-LN(2)/2))/(LN(2)/2)*BL141*BO141*VLOOKUP('Données projet'!$B$11,Paramètres!$A$1:$I$89,3,0)*0.475*44/12</f>
        <v>1.266151692530962E-16</v>
      </c>
      <c r="BS141" s="22">
        <f t="shared" si="117"/>
        <v>0.37674454888033587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5.6843418860808015E-14</v>
      </c>
      <c r="BZ141" s="13">
        <f>BY141*VLOOKUP('Données projet'!$B$12,Paramètres!$A$1:$I$89,3,0)*VLOOKUP('Données projet'!$B$12,Paramètres!$A$1:$I$89,5,0)</f>
        <v>3.3992364478763198E-14</v>
      </c>
      <c r="CA141" s="13">
        <f t="shared" si="147"/>
        <v>5.790027782444094E-13</v>
      </c>
      <c r="CB141" s="20">
        <f t="shared" si="118"/>
        <v>1.0676332069095257E-12</v>
      </c>
      <c r="CC141" s="59">
        <f t="shared" si="119"/>
        <v>293.33333333333439</v>
      </c>
      <c r="CD141" s="59">
        <f ca="1">AVERAGE(OFFSET($CC$3,0,0,'Données projet'!$E$12+1,1))-AVERAGE(OFFSET($H$3,0,0,'Données projet'!$E$12+1,1))</f>
        <v>165.39579887388538</v>
      </c>
      <c r="CE141" s="59">
        <f t="shared" si="148"/>
        <v>155.89639262545802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</v>
      </c>
      <c r="CL141" s="21">
        <f>EXP(-LN(2)/25)*CL140+(1-EXP(-LN(2)/25))/(LN(2)/25)*Calculateur!CG141*Calculateur!CI141*VLOOKUP('Données projet'!$B$12,Paramètres!$A$1:$I$89,3,0)*0.475*44/12</f>
        <v>0.36494967047235477</v>
      </c>
      <c r="CM141" s="21">
        <f>EXP(-LN(2)/2)*CM140+(1-EXP(-LN(2)/2))/(LN(2)/2)*CG141*CJ141*VLOOKUP('Données projet'!$B$12,Paramètres!$A$1:$I$89,3,0)*0.475*44/12</f>
        <v>7.7049676280177291E-16</v>
      </c>
      <c r="CN141" s="22">
        <f t="shared" si="120"/>
        <v>0.36494967047235555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3.4106051316484809E-13</v>
      </c>
      <c r="CU141" s="17">
        <f>CT141*VLOOKUP('Données projet'!$B$13,Paramètres!$A$1:$I$89,3,0)*VLOOKUP('Données projet'!$B$13,Paramètres!$A$1:$I$89,5,0)</f>
        <v>2.6602720026858149E-13</v>
      </c>
      <c r="CV141" s="13">
        <f t="shared" si="149"/>
        <v>3.5662905043956649E-12</v>
      </c>
      <c r="CW141" s="20">
        <f t="shared" si="121"/>
        <v>6.6746200022902298E-12</v>
      </c>
      <c r="CX141" s="59">
        <f t="shared" si="122"/>
        <v>293.33333333333997</v>
      </c>
      <c r="CY141" s="59">
        <f ca="1">AVERAGE(OFFSET($CX$3,0,0,'Données projet'!$E$13+1,1))-AVERAGE(OFFSET($H$3,0,0,'Données projet'!$E$13+1,1))</f>
        <v>190.06335940156185</v>
      </c>
      <c r="CZ141" s="59">
        <f t="shared" si="150"/>
        <v>166.43663896839928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</v>
      </c>
      <c r="DG141" s="21">
        <f>EXP(-LN(2)/25)*DG140+(1-EXP(-LN(2)/25))/(LN(2)/25)*Calculateur!DB141*Calculateur!DD141*VLOOKUP('Données projet'!$B$13,Paramètres!$A$1:$I$89,3,0)*0.475*44/12</f>
        <v>0.22362067218617346</v>
      </c>
      <c r="DH141" s="21">
        <f>EXP(-LN(2)/2)*DH140+(1-EXP(-LN(2)/2))/(LN(2)/2)*DB141*DE141*VLOOKUP('Données projet'!$B$13,Paramètres!$A$1:$I$89,3,0)*0.475*44/12</f>
        <v>2.9567453218794482E-16</v>
      </c>
      <c r="DI141" s="22">
        <f t="shared" si="123"/>
        <v>0.22362067218617376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-1.1368683772161603E-13</v>
      </c>
      <c r="DP141" s="17">
        <f>DO141*VLOOKUP('Données projet'!$B$14,Paramètres!$A$1:$I$89,3,0)*VLOOKUP('Données projet'!$B$14,Paramètres!$A$1:$I$89,5,0)</f>
        <v>-1.0995790944434703E-13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261.22357949323879</v>
      </c>
      <c r="DU141" s="59">
        <f t="shared" si="152"/>
        <v>163.41029152029387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0</v>
      </c>
      <c r="EB141" s="21">
        <f>EXP(-LN(2)/25)*EB140+(1-EXP(-LN(2)/25))/(LN(2)/25)*Calculateur!DW141*Calculateur!DY141*VLOOKUP('Données projet'!$B$14,Paramètres!$A$1:$I$89,3,0)*0.475*44/12</f>
        <v>0.16622904926887994</v>
      </c>
      <c r="EC141" s="21">
        <f>EXP(-LN(2)/2)*EC140+(1-EXP(-LN(2)/2))/(LN(2)/2)*DW141*DZ141*VLOOKUP('Données projet'!$B$14,Paramètres!$A$1:$I$89,3,0)*0.475*44/12</f>
        <v>3.6727284716797114E-16</v>
      </c>
      <c r="ED141" s="22">
        <f t="shared" si="126"/>
        <v>0.1662290492688803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-1.1368683772161603E-13</v>
      </c>
      <c r="EK141" s="17">
        <f>EJ141*VLOOKUP('Données projet'!$B$15,Paramètres!$A$1:$I$89,3,0)*VLOOKUP('Données projet'!$B$15,Paramètres!$A$1:$I$89,5,0)</f>
        <v>-5.3205440053716299E-14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123.60520571614535</v>
      </c>
      <c r="EP141" s="59">
        <f t="shared" si="154"/>
        <v>119.00926870519527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0.10215933507679088</v>
      </c>
      <c r="EW141" s="21">
        <f>EXP(-LN(2)/25)*EW140+(1-EXP(-LN(2)/25))/(LN(2)/25)*Calculateur!ER141*Calculateur!ET141*VLOOKUP('Données projet'!$B$15,Paramètres!$A$1:$I$89,3,0)*0.475*44/12</f>
        <v>0.23915731932141671</v>
      </c>
      <c r="EX141" s="21">
        <f>EXP(-LN(2)/2)*EX140+(1-EXP(-LN(2)/2))/(LN(2)/2)*ER141*EU141*VLOOKUP('Données projet'!$B$15,Paramètres!$A$1:$I$89,3,0)*0.475*44/12</f>
        <v>3.3937910765461074E-16</v>
      </c>
      <c r="EY141" s="22">
        <f t="shared" si="129"/>
        <v>0.34131665439820791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-8.5265128291212022E-14</v>
      </c>
      <c r="FF141" s="17">
        <f>FE141*VLOOKUP('Données projet'!$B$16,Paramètres!$A$1:$I$89,3,0)*VLOOKUP('Données projet'!$B$16,Paramètres!$A$1:$I$89,5,0)</f>
        <v>-6.2516392063116648E-14</v>
      </c>
      <c r="FG141" s="13" t="e">
        <f t="shared" si="155"/>
        <v>#NUM!</v>
      </c>
      <c r="FH141" s="20" t="e">
        <f t="shared" si="130"/>
        <v>#NUM!</v>
      </c>
      <c r="FI141" s="59" t="e">
        <f t="shared" si="131"/>
        <v>#NUM!</v>
      </c>
      <c r="FJ141" s="59">
        <f ca="1">AVERAGE(OFFSET($FI$3,0,0,'Données projet'!$E$16+1,1))-AVERAGE(OFFSET($H$3,0,0,'Données projet'!$E$16+1,1))</f>
        <v>124.15919323713428</v>
      </c>
      <c r="FK141" s="59">
        <f t="shared" si="156"/>
        <v>157.85954678210715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0</v>
      </c>
      <c r="FR141" s="21">
        <f>EXP(-LN(2)/25)*FR140+(1-EXP(-LN(2)/25))/(LN(2)/25)*Calculateur!FM141*Calculateur!FO141*VLOOKUP('Données projet'!$B$16,Paramètres!$A$1:$I$89,3,0)*0.475*44/12</f>
        <v>0.25165544513795751</v>
      </c>
      <c r="FS141" s="21">
        <f>EXP(-LN(2)/2)*FS140+(1-EXP(-LN(2)/2))/(LN(2)/2)*FM141*FP141*VLOOKUP('Données projet'!$B$16,Paramètres!$A$1:$I$89,3,0)*0.475*44/12</f>
        <v>4.0952428931557966E-16</v>
      </c>
      <c r="FT141" s="22">
        <f t="shared" si="132"/>
        <v>0.2516554451379579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-1.1368683772161603E-13</v>
      </c>
      <c r="O142" s="13">
        <f>N142*VLOOKUP('Données projet'!$B$9,Paramètres!$A$1:$I$89,3,0)*VLOOKUP('Données projet'!$B$9,Paramètres!$A$1:$I$89,5,0)</f>
        <v>-1.0286385077051818E-13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237.22177246688199</v>
      </c>
      <c r="T142" s="59">
        <f t="shared" si="142"/>
        <v>149.27472147904302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</v>
      </c>
      <c r="AA142" s="21">
        <f>EXP(-LN(2)/25)*AA141+(1-EXP(-LN(2)/25))/(LN(2)/25)*Calculateur!V142*Calculateur!X142*VLOOKUP('Données projet'!$B$9,Paramètres!$A$1:$I$89,3,0)*0.475*44/12</f>
        <v>0.15125231316372539</v>
      </c>
      <c r="AB142" s="21">
        <f>EXP(-LN(2)/2)*AB141+(1-EXP(-LN(2)/2))/(LN(2)/2)*V142*Y142*VLOOKUP('Données projet'!$B$9,Paramètres!$A$1:$I$89,3,0)*0.475*44/12</f>
        <v>2.4294620976021693E-16</v>
      </c>
      <c r="AC142" s="22">
        <f t="shared" si="111"/>
        <v>0.15125231316372564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-8.5265128291212022E-14</v>
      </c>
      <c r="AJ142" s="13">
        <f>AI142*VLOOKUP('Données projet'!$B$10,Paramètres!$A$1:$I$89,3,0)*VLOOKUP('Données projet'!$B$10,Paramètres!$A$1:$I$89,5,0)</f>
        <v>-7.4487616075202836E-14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191.94797389630673</v>
      </c>
      <c r="AO142" s="59">
        <f t="shared" si="144"/>
        <v>273.52540822767878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0.29732160309505107</v>
      </c>
      <c r="AV142" s="21">
        <f>EXP(-LN(2)/25)*AV141+(1-EXP(-LN(2)/25))/(LN(2)/25)*Calculateur!AQ142*Calculateur!AS142*VLOOKUP('Données projet'!$B$10,Paramètres!$A$1:$I$89,3,0)*0.475*44/12</f>
        <v>0.6841138566632734</v>
      </c>
      <c r="AW142" s="21">
        <f>EXP(-LN(2)/2)*AW141+(1-EXP(-LN(2)/2))/(LN(2)/2)*AQ142*AT142*VLOOKUP('Données projet'!$B$10,Paramètres!$A$1:$I$89,3,0)*0.475*44/12</f>
        <v>9.1077385271345048E-16</v>
      </c>
      <c r="AX142" s="21">
        <f t="shared" si="114"/>
        <v>0.98143545975832536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72.647148358003676</v>
      </c>
      <c r="BJ142" s="59">
        <f t="shared" si="146"/>
        <v>87.231299224620898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0.14694601026539628</v>
      </c>
      <c r="BQ142" s="21">
        <f>EXP(-LN(2)/25)*BQ141+(1-EXP(-LN(2)/25))/(LN(2)/25)*Calculateur!BL142*Calculateur!BN142*VLOOKUP('Données projet'!$B$11,Paramètres!$A$1:$I$89,3,0)*0.475*44/12</f>
        <v>0.22065590018321821</v>
      </c>
      <c r="BR142" s="21">
        <f>EXP(-LN(2)/2)*BR141+(1-EXP(-LN(2)/2))/(LN(2)/2)*BL142*BO142*VLOOKUP('Données projet'!$B$11,Paramètres!$A$1:$I$89,3,0)*0.475*44/12</f>
        <v>8.9530444779946773E-17</v>
      </c>
      <c r="BS142" s="22">
        <f t="shared" si="117"/>
        <v>0.36760191044861457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5.6843418860808015E-14</v>
      </c>
      <c r="BZ142" s="13">
        <f>BY142*VLOOKUP('Données projet'!$B$12,Paramètres!$A$1:$I$89,3,0)*VLOOKUP('Données projet'!$B$12,Paramètres!$A$1:$I$89,5,0)</f>
        <v>3.3992364478763198E-14</v>
      </c>
      <c r="CA142" s="13">
        <f t="shared" si="147"/>
        <v>5.790027782444094E-13</v>
      </c>
      <c r="CB142" s="20">
        <f t="shared" si="118"/>
        <v>1.0676332069095257E-12</v>
      </c>
      <c r="CC142" s="59">
        <f t="shared" si="119"/>
        <v>293.33333333333439</v>
      </c>
      <c r="CD142" s="59">
        <f ca="1">AVERAGE(OFFSET($CC$3,0,0,'Données projet'!$E$12+1,1))-AVERAGE(OFFSET($H$3,0,0,'Données projet'!$E$12+1,1))</f>
        <v>165.39579887388538</v>
      </c>
      <c r="CE142" s="59">
        <f t="shared" si="148"/>
        <v>155.89639262545802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</v>
      </c>
      <c r="CL142" s="21">
        <f>EXP(-LN(2)/25)*CL141+(1-EXP(-LN(2)/25))/(LN(2)/25)*Calculateur!CG142*Calculateur!CI142*VLOOKUP('Données projet'!$B$12,Paramètres!$A$1:$I$89,3,0)*0.475*44/12</f>
        <v>0.35497010254141914</v>
      </c>
      <c r="CM142" s="21">
        <f>EXP(-LN(2)/2)*CM141+(1-EXP(-LN(2)/2))/(LN(2)/2)*CG142*CJ142*VLOOKUP('Données projet'!$B$12,Paramètres!$A$1:$I$89,3,0)*0.475*44/12</f>
        <v>5.4482348585941644E-16</v>
      </c>
      <c r="CN142" s="22">
        <f t="shared" si="120"/>
        <v>0.3549701025414197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3.4106051316484809E-13</v>
      </c>
      <c r="CU142" s="17">
        <f>CT142*VLOOKUP('Données projet'!$B$13,Paramètres!$A$1:$I$89,3,0)*VLOOKUP('Données projet'!$B$13,Paramètres!$A$1:$I$89,5,0)</f>
        <v>2.6602720026858149E-13</v>
      </c>
      <c r="CV142" s="13">
        <f t="shared" si="149"/>
        <v>3.5662905043956649E-12</v>
      </c>
      <c r="CW142" s="20">
        <f t="shared" si="121"/>
        <v>6.6746200022902298E-12</v>
      </c>
      <c r="CX142" s="59">
        <f t="shared" si="122"/>
        <v>293.33333333333997</v>
      </c>
      <c r="CY142" s="59">
        <f ca="1">AVERAGE(OFFSET($CX$3,0,0,'Données projet'!$E$13+1,1))-AVERAGE(OFFSET($H$3,0,0,'Données projet'!$E$13+1,1))</f>
        <v>190.06335940156185</v>
      </c>
      <c r="CZ142" s="59">
        <f t="shared" si="150"/>
        <v>166.43663896839928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</v>
      </c>
      <c r="DG142" s="21">
        <f>EXP(-LN(2)/25)*DG141+(1-EXP(-LN(2)/25))/(LN(2)/25)*Calculateur!DB142*Calculateur!DD142*VLOOKUP('Données projet'!$B$13,Paramètres!$A$1:$I$89,3,0)*0.475*44/12</f>
        <v>0.21750575314554249</v>
      </c>
      <c r="DH142" s="21">
        <f>EXP(-LN(2)/2)*DH141+(1-EXP(-LN(2)/2))/(LN(2)/2)*DB142*DE142*VLOOKUP('Données projet'!$B$13,Paramètres!$A$1:$I$89,3,0)*0.475*44/12</f>
        <v>2.090734667342559E-16</v>
      </c>
      <c r="DI142" s="22">
        <f t="shared" si="123"/>
        <v>0.21750575314554271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-1.1368683772161603E-13</v>
      </c>
      <c r="DP142" s="17">
        <f>DO142*VLOOKUP('Données projet'!$B$14,Paramètres!$A$1:$I$89,3,0)*VLOOKUP('Données projet'!$B$14,Paramètres!$A$1:$I$89,5,0)</f>
        <v>-1.0995790944434703E-13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261.22357949323879</v>
      </c>
      <c r="DU142" s="59">
        <f t="shared" si="152"/>
        <v>163.41029152029387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0</v>
      </c>
      <c r="EB142" s="21">
        <f>EXP(-LN(2)/25)*EB141+(1-EXP(-LN(2)/25))/(LN(2)/25)*Calculateur!DW142*Calculateur!DY142*VLOOKUP('Données projet'!$B$14,Paramètres!$A$1:$I$89,3,0)*0.475*44/12</f>
        <v>0.16168350717501664</v>
      </c>
      <c r="EC142" s="21">
        <f>EXP(-LN(2)/2)*EC141+(1-EXP(-LN(2)/2))/(LN(2)/2)*DW142*DZ142*VLOOKUP('Données projet'!$B$14,Paramètres!$A$1:$I$89,3,0)*0.475*44/12</f>
        <v>2.5970112077816287E-16</v>
      </c>
      <c r="ED142" s="22">
        <f t="shared" si="126"/>
        <v>0.16168350717501689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-1.1368683772161603E-13</v>
      </c>
      <c r="EK142" s="17">
        <f>EJ142*VLOOKUP('Données projet'!$B$15,Paramètres!$A$1:$I$89,3,0)*VLOOKUP('Données projet'!$B$15,Paramètres!$A$1:$I$89,5,0)</f>
        <v>-5.3205440053716299E-14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123.60520571614535</v>
      </c>
      <c r="EP142" s="59">
        <f t="shared" si="154"/>
        <v>119.00926870519527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0.1001560528269767</v>
      </c>
      <c r="EW142" s="21">
        <f>EXP(-LN(2)/25)*EW141+(1-EXP(-LN(2)/25))/(LN(2)/25)*Calculateur!ER142*Calculateur!ET142*VLOOKUP('Données projet'!$B$15,Paramètres!$A$1:$I$89,3,0)*0.475*44/12</f>
        <v>0.23261754984783575</v>
      </c>
      <c r="EX142" s="21">
        <f>EXP(-LN(2)/2)*EX141+(1-EXP(-LN(2)/2))/(LN(2)/2)*ER142*EU142*VLOOKUP('Données projet'!$B$15,Paramètres!$A$1:$I$89,3,0)*0.475*44/12</f>
        <v>2.3997726841561459E-16</v>
      </c>
      <c r="EY142" s="22">
        <f t="shared" si="129"/>
        <v>0.33277360267481271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-8.5265128291212022E-14</v>
      </c>
      <c r="FF142" s="17">
        <f>FE142*VLOOKUP('Données projet'!$B$16,Paramètres!$A$1:$I$89,3,0)*VLOOKUP('Données projet'!$B$16,Paramètres!$A$1:$I$89,5,0)</f>
        <v>-6.2516392063116648E-14</v>
      </c>
      <c r="FG142" s="13" t="e">
        <f t="shared" si="155"/>
        <v>#NUM!</v>
      </c>
      <c r="FH142" s="20" t="e">
        <f t="shared" si="130"/>
        <v>#NUM!</v>
      </c>
      <c r="FI142" s="59" t="e">
        <f t="shared" si="131"/>
        <v>#NUM!</v>
      </c>
      <c r="FJ142" s="59">
        <f ca="1">AVERAGE(OFFSET($FI$3,0,0,'Données projet'!$E$16+1,1))-AVERAGE(OFFSET($H$3,0,0,'Données projet'!$E$16+1,1))</f>
        <v>124.15919323713428</v>
      </c>
      <c r="FK142" s="59">
        <f t="shared" si="156"/>
        <v>157.85954678210715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0</v>
      </c>
      <c r="FR142" s="21">
        <f>EXP(-LN(2)/25)*FR141+(1-EXP(-LN(2)/25))/(LN(2)/25)*Calculateur!FM142*Calculateur!FO142*VLOOKUP('Données projet'!$B$16,Paramètres!$A$1:$I$89,3,0)*0.475*44/12</f>
        <v>0.24477391375667537</v>
      </c>
      <c r="FS142" s="21">
        <f>EXP(-LN(2)/2)*FS141+(1-EXP(-LN(2)/2))/(LN(2)/2)*FM142*FP142*VLOOKUP('Données projet'!$B$16,Paramètres!$A$1:$I$89,3,0)*0.475*44/12</f>
        <v>2.8957740203564796E-16</v>
      </c>
      <c r="FT142" s="22">
        <f t="shared" si="132"/>
        <v>0.24477391375667565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-1.1368683772161603E-13</v>
      </c>
      <c r="O143" s="13">
        <f>N143*VLOOKUP('Données projet'!$B$9,Paramètres!$A$1:$I$89,3,0)*VLOOKUP('Données projet'!$B$9,Paramètres!$A$1:$I$89,5,0)</f>
        <v>-1.0286385077051818E-13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237.22177246688199</v>
      </c>
      <c r="T143" s="59">
        <f t="shared" si="142"/>
        <v>149.27472147904302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</v>
      </c>
      <c r="AA143" s="21">
        <f>EXP(-LN(2)/25)*AA142+(1-EXP(-LN(2)/25))/(LN(2)/25)*Calculateur!V143*Calculateur!X143*VLOOKUP('Données projet'!$B$9,Paramètres!$A$1:$I$89,3,0)*0.475*44/12</f>
        <v>0.14711631070624986</v>
      </c>
      <c r="AB143" s="21">
        <f>EXP(-LN(2)/2)*AB142+(1-EXP(-LN(2)/2))/(LN(2)/2)*V143*Y143*VLOOKUP('Données projet'!$B$9,Paramètres!$A$1:$I$89,3,0)*0.475*44/12</f>
        <v>1.7178891238501879E-16</v>
      </c>
      <c r="AC143" s="22">
        <f t="shared" si="111"/>
        <v>0.14711631070625003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-8.5265128291212022E-14</v>
      </c>
      <c r="AJ143" s="13">
        <f>AI143*VLOOKUP('Données projet'!$B$10,Paramètres!$A$1:$I$89,3,0)*VLOOKUP('Données projet'!$B$10,Paramètres!$A$1:$I$89,5,0)</f>
        <v>-7.4487616075202836E-14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191.94797389630673</v>
      </c>
      <c r="AO143" s="59">
        <f t="shared" si="144"/>
        <v>273.52540822767878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0.29149130780662835</v>
      </c>
      <c r="AV143" s="21">
        <f>EXP(-LN(2)/25)*AV142+(1-EXP(-LN(2)/25))/(LN(2)/25)*Calculateur!AQ143*Calculateur!AS143*VLOOKUP('Données projet'!$B$10,Paramètres!$A$1:$I$89,3,0)*0.475*44/12</f>
        <v>0.66540672727683203</v>
      </c>
      <c r="AW143" s="21">
        <f>EXP(-LN(2)/2)*AW142+(1-EXP(-LN(2)/2))/(LN(2)/2)*AQ143*AT143*VLOOKUP('Données projet'!$B$10,Paramètres!$A$1:$I$89,3,0)*0.475*44/12</f>
        <v>6.4401436738107871E-16</v>
      </c>
      <c r="AX143" s="21">
        <f t="shared" si="114"/>
        <v>0.95689803508346105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72.647148358003676</v>
      </c>
      <c r="BJ143" s="59">
        <f t="shared" si="146"/>
        <v>87.231299224620898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0.14406448863230806</v>
      </c>
      <c r="BQ143" s="21">
        <f>EXP(-LN(2)/25)*BQ142+(1-EXP(-LN(2)/25))/(LN(2)/25)*Calculateur!BL143*Calculateur!BN143*VLOOKUP('Données projet'!$B$11,Paramètres!$A$1:$I$89,3,0)*0.475*44/12</f>
        <v>0.21462205298891862</v>
      </c>
      <c r="BR143" s="21">
        <f>EXP(-LN(2)/2)*BR142+(1-EXP(-LN(2)/2))/(LN(2)/2)*BL143*BO143*VLOOKUP('Données projet'!$B$11,Paramètres!$A$1:$I$89,3,0)*0.475*44/12</f>
        <v>6.3307584626548098E-17</v>
      </c>
      <c r="BS143" s="22">
        <f t="shared" si="117"/>
        <v>0.35868654162122676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5.6843418860808015E-14</v>
      </c>
      <c r="BZ143" s="13">
        <f>BY143*VLOOKUP('Données projet'!$B$12,Paramètres!$A$1:$I$89,3,0)*VLOOKUP('Données projet'!$B$12,Paramètres!$A$1:$I$89,5,0)</f>
        <v>3.3992364478763198E-14</v>
      </c>
      <c r="CA143" s="13">
        <f t="shared" si="147"/>
        <v>5.790027782444094E-13</v>
      </c>
      <c r="CB143" s="20">
        <f t="shared" si="118"/>
        <v>1.0676332069095257E-12</v>
      </c>
      <c r="CC143" s="59">
        <f t="shared" si="119"/>
        <v>293.33333333333439</v>
      </c>
      <c r="CD143" s="59">
        <f ca="1">AVERAGE(OFFSET($CC$3,0,0,'Données projet'!$E$12+1,1))-AVERAGE(OFFSET($H$3,0,0,'Données projet'!$E$12+1,1))</f>
        <v>165.39579887388538</v>
      </c>
      <c r="CE143" s="59">
        <f t="shared" si="148"/>
        <v>155.89639262545802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</v>
      </c>
      <c r="CL143" s="21">
        <f>EXP(-LN(2)/25)*CL142+(1-EXP(-LN(2)/25))/(LN(2)/25)*Calculateur!CG143*Calculateur!CI143*VLOOKUP('Données projet'!$B$12,Paramètres!$A$1:$I$89,3,0)*0.475*44/12</f>
        <v>0.34526342642035762</v>
      </c>
      <c r="CM143" s="21">
        <f>EXP(-LN(2)/2)*CM142+(1-EXP(-LN(2)/2))/(LN(2)/2)*CG143*CJ143*VLOOKUP('Données projet'!$B$12,Paramètres!$A$1:$I$89,3,0)*0.475*44/12</f>
        <v>3.8524838140088645E-16</v>
      </c>
      <c r="CN143" s="22">
        <f t="shared" si="120"/>
        <v>0.34526342642035801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3.4106051316484809E-13</v>
      </c>
      <c r="CU143" s="17">
        <f>CT143*VLOOKUP('Données projet'!$B$13,Paramètres!$A$1:$I$89,3,0)*VLOOKUP('Données projet'!$B$13,Paramètres!$A$1:$I$89,5,0)</f>
        <v>2.6602720026858149E-13</v>
      </c>
      <c r="CV143" s="13">
        <f t="shared" si="149"/>
        <v>3.5662905043956649E-12</v>
      </c>
      <c r="CW143" s="20">
        <f t="shared" si="121"/>
        <v>6.6746200022902298E-12</v>
      </c>
      <c r="CX143" s="59">
        <f t="shared" si="122"/>
        <v>293.33333333333997</v>
      </c>
      <c r="CY143" s="59">
        <f ca="1">AVERAGE(OFFSET($CX$3,0,0,'Données projet'!$E$13+1,1))-AVERAGE(OFFSET($H$3,0,0,'Données projet'!$E$13+1,1))</f>
        <v>190.06335940156185</v>
      </c>
      <c r="CZ143" s="59">
        <f t="shared" si="150"/>
        <v>166.43663896839928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</v>
      </c>
      <c r="DG143" s="21">
        <f>EXP(-LN(2)/25)*DG142+(1-EXP(-LN(2)/25))/(LN(2)/25)*Calculateur!DB143*Calculateur!DD143*VLOOKUP('Données projet'!$B$13,Paramètres!$A$1:$I$89,3,0)*0.475*44/12</f>
        <v>0.21155804688764718</v>
      </c>
      <c r="DH143" s="21">
        <f>EXP(-LN(2)/2)*DH142+(1-EXP(-LN(2)/2))/(LN(2)/2)*DB143*DE143*VLOOKUP('Données projet'!$B$13,Paramètres!$A$1:$I$89,3,0)*0.475*44/12</f>
        <v>1.4783726609397241E-16</v>
      </c>
      <c r="DI143" s="22">
        <f t="shared" si="123"/>
        <v>0.21155804688764732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-1.1368683772161603E-13</v>
      </c>
      <c r="DP143" s="17">
        <f>DO143*VLOOKUP('Données projet'!$B$14,Paramètres!$A$1:$I$89,3,0)*VLOOKUP('Données projet'!$B$14,Paramètres!$A$1:$I$89,5,0)</f>
        <v>-1.0995790944434703E-13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261.22357949323879</v>
      </c>
      <c r="DU143" s="59">
        <f t="shared" si="152"/>
        <v>163.41029152029387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0</v>
      </c>
      <c r="EB143" s="21">
        <f>EXP(-LN(2)/25)*EB142+(1-EXP(-LN(2)/25))/(LN(2)/25)*Calculateur!DW143*Calculateur!DY143*VLOOKUP('Données projet'!$B$14,Paramètres!$A$1:$I$89,3,0)*0.475*44/12</f>
        <v>0.15726226316874969</v>
      </c>
      <c r="EC143" s="21">
        <f>EXP(-LN(2)/2)*EC142+(1-EXP(-LN(2)/2))/(LN(2)/2)*DW143*DZ143*VLOOKUP('Données projet'!$B$14,Paramètres!$A$1:$I$89,3,0)*0.475*44/12</f>
        <v>1.8363642358398557E-16</v>
      </c>
      <c r="ED143" s="22">
        <f t="shared" si="126"/>
        <v>0.15726226316874989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-1.1368683772161603E-13</v>
      </c>
      <c r="EK143" s="17">
        <f>EJ143*VLOOKUP('Données projet'!$B$15,Paramètres!$A$1:$I$89,3,0)*VLOOKUP('Données projet'!$B$15,Paramètres!$A$1:$I$89,5,0)</f>
        <v>-5.3205440053716299E-14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123.60520571614535</v>
      </c>
      <c r="EP143" s="59">
        <f t="shared" si="154"/>
        <v>119.00926870519527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9.8192053720199859E-2</v>
      </c>
      <c r="EW143" s="21">
        <f>EXP(-LN(2)/25)*EW142+(1-EXP(-LN(2)/25))/(LN(2)/25)*Calculateur!ER143*Calculateur!ET143*VLOOKUP('Données projet'!$B$15,Paramètres!$A$1:$I$89,3,0)*0.475*44/12</f>
        <v>0.22625661071442138</v>
      </c>
      <c r="EX143" s="21">
        <f>EXP(-LN(2)/2)*EX142+(1-EXP(-LN(2)/2))/(LN(2)/2)*ER143*EU143*VLOOKUP('Données projet'!$B$15,Paramètres!$A$1:$I$89,3,0)*0.475*44/12</f>
        <v>1.6968955382730537E-16</v>
      </c>
      <c r="EY143" s="22">
        <f t="shared" si="129"/>
        <v>0.32444866443462139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-8.5265128291212022E-14</v>
      </c>
      <c r="FF143" s="17">
        <f>FE143*VLOOKUP('Données projet'!$B$16,Paramètres!$A$1:$I$89,3,0)*VLOOKUP('Données projet'!$B$16,Paramètres!$A$1:$I$89,5,0)</f>
        <v>-6.2516392063116648E-14</v>
      </c>
      <c r="FG143" s="13" t="e">
        <f t="shared" si="155"/>
        <v>#NUM!</v>
      </c>
      <c r="FH143" s="20" t="e">
        <f t="shared" si="130"/>
        <v>#NUM!</v>
      </c>
      <c r="FI143" s="59" t="e">
        <f t="shared" si="131"/>
        <v>#NUM!</v>
      </c>
      <c r="FJ143" s="59">
        <f ca="1">AVERAGE(OFFSET($FI$3,0,0,'Données projet'!$E$16+1,1))-AVERAGE(OFFSET($H$3,0,0,'Données projet'!$E$16+1,1))</f>
        <v>124.15919323713428</v>
      </c>
      <c r="FK143" s="59">
        <f t="shared" si="156"/>
        <v>157.85954678210715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0</v>
      </c>
      <c r="FR143" s="21">
        <f>EXP(-LN(2)/25)*FR142+(1-EXP(-LN(2)/25))/(LN(2)/25)*Calculateur!FM143*Calculateur!FO143*VLOOKUP('Données projet'!$B$16,Paramètres!$A$1:$I$89,3,0)*0.475*44/12</f>
        <v>0.23808055821289839</v>
      </c>
      <c r="FS143" s="21">
        <f>EXP(-LN(2)/2)*FS142+(1-EXP(-LN(2)/2))/(LN(2)/2)*FM143*FP143*VLOOKUP('Données projet'!$B$16,Paramètres!$A$1:$I$89,3,0)*0.475*44/12</f>
        <v>2.0476214465778983E-16</v>
      </c>
      <c r="FT143" s="22">
        <f t="shared" si="132"/>
        <v>0.23808055821289859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-1.1368683772161603E-13</v>
      </c>
      <c r="O144" s="13">
        <f>N144*VLOOKUP('Données projet'!$B$9,Paramètres!$A$1:$I$89,3,0)*VLOOKUP('Données projet'!$B$9,Paramètres!$A$1:$I$89,5,0)</f>
        <v>-1.0286385077051818E-13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237.22177246688199</v>
      </c>
      <c r="T144" s="59">
        <f t="shared" si="142"/>
        <v>149.27472147904302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</v>
      </c>
      <c r="AA144" s="21">
        <f>EXP(-LN(2)/25)*AA143+(1-EXP(-LN(2)/25))/(LN(2)/25)*Calculateur!V144*Calculateur!X144*VLOOKUP('Données projet'!$B$9,Paramètres!$A$1:$I$89,3,0)*0.475*44/12</f>
        <v>0.14309340745347693</v>
      </c>
      <c r="AB144" s="21">
        <f>EXP(-LN(2)/2)*AB143+(1-EXP(-LN(2)/2))/(LN(2)/2)*V144*Y144*VLOOKUP('Données projet'!$B$9,Paramètres!$A$1:$I$89,3,0)*0.475*44/12</f>
        <v>1.2147310488010846E-16</v>
      </c>
      <c r="AC144" s="22">
        <f t="shared" si="111"/>
        <v>0.14309340745347704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-8.5265128291212022E-14</v>
      </c>
      <c r="AJ144" s="13">
        <f>AI144*VLOOKUP('Données projet'!$B$10,Paramètres!$A$1:$I$89,3,0)*VLOOKUP('Données projet'!$B$10,Paramètres!$A$1:$I$89,5,0)</f>
        <v>-7.4487616075202836E-14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191.94797389630673</v>
      </c>
      <c r="AO144" s="59">
        <f t="shared" si="144"/>
        <v>273.52540822767878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0.2857753410526826</v>
      </c>
      <c r="AV144" s="21">
        <f>EXP(-LN(2)/25)*AV143+(1-EXP(-LN(2)/25))/(LN(2)/25)*Calculateur!AQ144*Calculateur!AS144*VLOOKUP('Données projet'!$B$10,Paramètres!$A$1:$I$89,3,0)*0.475*44/12</f>
        <v>0.64721114532722812</v>
      </c>
      <c r="AW144" s="21">
        <f>EXP(-LN(2)/2)*AW143+(1-EXP(-LN(2)/2))/(LN(2)/2)*AQ144*AT144*VLOOKUP('Données projet'!$B$10,Paramètres!$A$1:$I$89,3,0)*0.475*44/12</f>
        <v>4.5538692635672524E-16</v>
      </c>
      <c r="AX144" s="21">
        <f t="shared" si="114"/>
        <v>0.93298648637991111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72.647148358003676</v>
      </c>
      <c r="BJ144" s="59">
        <f t="shared" si="146"/>
        <v>87.231299224620898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0.14123947188089006</v>
      </c>
      <c r="BQ144" s="21">
        <f>EXP(-LN(2)/25)*BQ143+(1-EXP(-LN(2)/25))/(LN(2)/25)*Calculateur!BL144*Calculateur!BN144*VLOOKUP('Données projet'!$B$11,Paramètres!$A$1:$I$89,3,0)*0.475*44/12</f>
        <v>0.2087532016634534</v>
      </c>
      <c r="BR144" s="21">
        <f>EXP(-LN(2)/2)*BR143+(1-EXP(-LN(2)/2))/(LN(2)/2)*BL144*BO144*VLOOKUP('Données projet'!$B$11,Paramètres!$A$1:$I$89,3,0)*0.475*44/12</f>
        <v>4.4765222389973387E-17</v>
      </c>
      <c r="BS144" s="22">
        <f t="shared" si="117"/>
        <v>0.34999267354434355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5.6843418860808015E-14</v>
      </c>
      <c r="BZ144" s="13">
        <f>BY144*VLOOKUP('Données projet'!$B$12,Paramètres!$A$1:$I$89,3,0)*VLOOKUP('Données projet'!$B$12,Paramètres!$A$1:$I$89,5,0)</f>
        <v>3.3992364478763198E-14</v>
      </c>
      <c r="CA144" s="13">
        <f t="shared" si="147"/>
        <v>5.790027782444094E-13</v>
      </c>
      <c r="CB144" s="20">
        <f t="shared" si="118"/>
        <v>1.0676332069095257E-12</v>
      </c>
      <c r="CC144" s="59">
        <f t="shared" si="119"/>
        <v>293.33333333333439</v>
      </c>
      <c r="CD144" s="59">
        <f ca="1">AVERAGE(OFFSET($CC$3,0,0,'Données projet'!$E$12+1,1))-AVERAGE(OFFSET($H$3,0,0,'Données projet'!$E$12+1,1))</f>
        <v>165.39579887388538</v>
      </c>
      <c r="CE144" s="59">
        <f t="shared" si="148"/>
        <v>155.89639262545802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</v>
      </c>
      <c r="CL144" s="21">
        <f>EXP(-LN(2)/25)*CL143+(1-EXP(-LN(2)/25))/(LN(2)/25)*Calculateur!CG144*Calculateur!CI144*VLOOKUP('Données projet'!$B$12,Paramètres!$A$1:$I$89,3,0)*0.475*44/12</f>
        <v>0.33582217986827845</v>
      </c>
      <c r="CM144" s="21">
        <f>EXP(-LN(2)/2)*CM143+(1-EXP(-LN(2)/2))/(LN(2)/2)*CG144*CJ144*VLOOKUP('Données projet'!$B$12,Paramètres!$A$1:$I$89,3,0)*0.475*44/12</f>
        <v>2.7241174292970822E-16</v>
      </c>
      <c r="CN144" s="22">
        <f t="shared" si="120"/>
        <v>0.33582217986827873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3.4106051316484809E-13</v>
      </c>
      <c r="CU144" s="17">
        <f>CT144*VLOOKUP('Données projet'!$B$13,Paramètres!$A$1:$I$89,3,0)*VLOOKUP('Données projet'!$B$13,Paramètres!$A$1:$I$89,5,0)</f>
        <v>2.6602720026858149E-13</v>
      </c>
      <c r="CV144" s="13">
        <f t="shared" si="149"/>
        <v>3.5662905043956649E-12</v>
      </c>
      <c r="CW144" s="20">
        <f t="shared" si="121"/>
        <v>6.6746200022902298E-12</v>
      </c>
      <c r="CX144" s="59">
        <f t="shared" si="122"/>
        <v>293.33333333333997</v>
      </c>
      <c r="CY144" s="59">
        <f ca="1">AVERAGE(OFFSET($CX$3,0,0,'Données projet'!$E$13+1,1))-AVERAGE(OFFSET($H$3,0,0,'Données projet'!$E$13+1,1))</f>
        <v>190.06335940156185</v>
      </c>
      <c r="CZ144" s="59">
        <f t="shared" si="150"/>
        <v>166.43663896839928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</v>
      </c>
      <c r="DG144" s="21">
        <f>EXP(-LN(2)/25)*DG143+(1-EXP(-LN(2)/25))/(LN(2)/25)*Calculateur!DB144*Calculateur!DD144*VLOOKUP('Données projet'!$B$13,Paramètres!$A$1:$I$89,3,0)*0.475*44/12</f>
        <v>0.20577298097015032</v>
      </c>
      <c r="DH144" s="21">
        <f>EXP(-LN(2)/2)*DH143+(1-EXP(-LN(2)/2))/(LN(2)/2)*DB144*DE144*VLOOKUP('Données projet'!$B$13,Paramètres!$A$1:$I$89,3,0)*0.475*44/12</f>
        <v>1.0453673336712795E-16</v>
      </c>
      <c r="DI144" s="22">
        <f t="shared" si="123"/>
        <v>0.20577298097015043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-1.1368683772161603E-13</v>
      </c>
      <c r="DP144" s="17">
        <f>DO144*VLOOKUP('Données projet'!$B$14,Paramètres!$A$1:$I$89,3,0)*VLOOKUP('Données projet'!$B$14,Paramètres!$A$1:$I$89,5,0)</f>
        <v>-1.0995790944434703E-13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261.22357949323879</v>
      </c>
      <c r="DU144" s="59">
        <f t="shared" si="152"/>
        <v>163.41029152029387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0</v>
      </c>
      <c r="EB144" s="21">
        <f>EXP(-LN(2)/25)*EB143+(1-EXP(-LN(2)/25))/(LN(2)/25)*Calculateur!DW144*Calculateur!DY144*VLOOKUP('Données projet'!$B$14,Paramètres!$A$1:$I$89,3,0)*0.475*44/12</f>
        <v>0.15296191831233724</v>
      </c>
      <c r="EC144" s="21">
        <f>EXP(-LN(2)/2)*EC143+(1-EXP(-LN(2)/2))/(LN(2)/2)*DW144*DZ144*VLOOKUP('Données projet'!$B$14,Paramètres!$A$1:$I$89,3,0)*0.475*44/12</f>
        <v>1.2985056038908144E-16</v>
      </c>
      <c r="ED144" s="22">
        <f t="shared" si="126"/>
        <v>0.15296191831233738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-1.1368683772161603E-13</v>
      </c>
      <c r="EK144" s="17">
        <f>EJ144*VLOOKUP('Données projet'!$B$15,Paramètres!$A$1:$I$89,3,0)*VLOOKUP('Données projet'!$B$15,Paramètres!$A$1:$I$89,5,0)</f>
        <v>-5.3205440053716299E-14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123.60520571614535</v>
      </c>
      <c r="EP144" s="59">
        <f t="shared" si="154"/>
        <v>119.00926870519527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9.6266567437985742E-2</v>
      </c>
      <c r="EW144" s="21">
        <f>EXP(-LN(2)/25)*EW143+(1-EXP(-LN(2)/25))/(LN(2)/25)*Calculateur!ER144*Calculateur!ET144*VLOOKUP('Données projet'!$B$15,Paramètres!$A$1:$I$89,3,0)*0.475*44/12</f>
        <v>0.22006961179611748</v>
      </c>
      <c r="EX144" s="21">
        <f>EXP(-LN(2)/2)*EX143+(1-EXP(-LN(2)/2))/(LN(2)/2)*ER144*EU144*VLOOKUP('Données projet'!$B$15,Paramètres!$A$1:$I$89,3,0)*0.475*44/12</f>
        <v>1.1998863420780729E-16</v>
      </c>
      <c r="EY144" s="22">
        <f t="shared" si="129"/>
        <v>0.31633617923410334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-8.5265128291212022E-14</v>
      </c>
      <c r="FF144" s="17">
        <f>FE144*VLOOKUP('Données projet'!$B$16,Paramètres!$A$1:$I$89,3,0)*VLOOKUP('Données projet'!$B$16,Paramètres!$A$1:$I$89,5,0)</f>
        <v>-6.2516392063116648E-14</v>
      </c>
      <c r="FG144" s="13" t="e">
        <f t="shared" si="155"/>
        <v>#NUM!</v>
      </c>
      <c r="FH144" s="20" t="e">
        <f t="shared" si="130"/>
        <v>#NUM!</v>
      </c>
      <c r="FI144" s="59" t="e">
        <f t="shared" si="131"/>
        <v>#NUM!</v>
      </c>
      <c r="FJ144" s="59">
        <f ca="1">AVERAGE(OFFSET($FI$3,0,0,'Données projet'!$E$16+1,1))-AVERAGE(OFFSET($H$3,0,0,'Données projet'!$E$16+1,1))</f>
        <v>124.15919323713428</v>
      </c>
      <c r="FK144" s="59">
        <f t="shared" si="156"/>
        <v>157.85954678210715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0</v>
      </c>
      <c r="FR144" s="21">
        <f>EXP(-LN(2)/25)*FR143+(1-EXP(-LN(2)/25))/(LN(2)/25)*Calculateur!FM144*Calculateur!FO144*VLOOKUP('Données projet'!$B$16,Paramètres!$A$1:$I$89,3,0)*0.475*44/12</f>
        <v>0.23157023282845426</v>
      </c>
      <c r="FS144" s="21">
        <f>EXP(-LN(2)/2)*FS143+(1-EXP(-LN(2)/2))/(LN(2)/2)*FM144*FP144*VLOOKUP('Données projet'!$B$16,Paramètres!$A$1:$I$89,3,0)*0.475*44/12</f>
        <v>1.4478870101782398E-16</v>
      </c>
      <c r="FT144" s="22">
        <f t="shared" si="132"/>
        <v>0.2315702328284544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-1.1368683772161603E-13</v>
      </c>
      <c r="O145" s="13">
        <f>N145*VLOOKUP('Données projet'!$B$9,Paramètres!$A$1:$I$89,3,0)*VLOOKUP('Données projet'!$B$9,Paramètres!$A$1:$I$89,5,0)</f>
        <v>-1.0286385077051818E-13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237.22177246688199</v>
      </c>
      <c r="T145" s="59">
        <f t="shared" si="142"/>
        <v>149.27472147904302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</v>
      </c>
      <c r="AA145" s="21">
        <f>EXP(-LN(2)/25)*AA144+(1-EXP(-LN(2)/25))/(LN(2)/25)*Calculateur!V145*Calculateur!X145*VLOOKUP('Données projet'!$B$9,Paramètres!$A$1:$I$89,3,0)*0.475*44/12</f>
        <v>0.13918051070170634</v>
      </c>
      <c r="AB145" s="21">
        <f>EXP(-LN(2)/2)*AB144+(1-EXP(-LN(2)/2))/(LN(2)/2)*V145*Y145*VLOOKUP('Données projet'!$B$9,Paramètres!$A$1:$I$89,3,0)*0.475*44/12</f>
        <v>8.5894456192509395E-17</v>
      </c>
      <c r="AC145" s="22">
        <f t="shared" si="111"/>
        <v>0.13918051070170642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-8.5265128291212022E-14</v>
      </c>
      <c r="AJ145" s="13">
        <f>AI145*VLOOKUP('Données projet'!$B$10,Paramètres!$A$1:$I$89,3,0)*VLOOKUP('Données projet'!$B$10,Paramètres!$A$1:$I$89,5,0)</f>
        <v>-7.4487616075202836E-14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191.94797389630673</v>
      </c>
      <c r="AO145" s="59">
        <f t="shared" si="144"/>
        <v>273.52540822767878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0.28017146092038625</v>
      </c>
      <c r="AV145" s="21">
        <f>EXP(-LN(2)/25)*AV144+(1-EXP(-LN(2)/25))/(LN(2)/25)*Calculateur!AQ145*Calculateur!AS145*VLOOKUP('Données projet'!$B$10,Paramètres!$A$1:$I$89,3,0)*0.475*44/12</f>
        <v>0.62951312252290015</v>
      </c>
      <c r="AW145" s="21">
        <f>EXP(-LN(2)/2)*AW144+(1-EXP(-LN(2)/2))/(LN(2)/2)*AQ145*AT145*VLOOKUP('Données projet'!$B$10,Paramètres!$A$1:$I$89,3,0)*0.475*44/12</f>
        <v>3.2200718369053936E-16</v>
      </c>
      <c r="AX145" s="21">
        <f t="shared" si="114"/>
        <v>0.90968458344328673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72.647148358003676</v>
      </c>
      <c r="BJ145" s="59">
        <f t="shared" si="146"/>
        <v>87.231299224620898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0.1384698519848773</v>
      </c>
      <c r="BQ145" s="21">
        <f>EXP(-LN(2)/25)*BQ144+(1-EXP(-LN(2)/25))/(LN(2)/25)*Calculateur!BL145*Calculateur!BN145*VLOOKUP('Données projet'!$B$11,Paramètres!$A$1:$I$89,3,0)*0.475*44/12</f>
        <v>0.20304483438611251</v>
      </c>
      <c r="BR145" s="21">
        <f>EXP(-LN(2)/2)*BR144+(1-EXP(-LN(2)/2))/(LN(2)/2)*BL145*BO145*VLOOKUP('Données projet'!$B$11,Paramètres!$A$1:$I$89,3,0)*0.475*44/12</f>
        <v>3.1653792313274049E-17</v>
      </c>
      <c r="BS145" s="22">
        <f t="shared" si="117"/>
        <v>0.34151468637098986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5.6843418860808015E-14</v>
      </c>
      <c r="BZ145" s="13">
        <f>BY145*VLOOKUP('Données projet'!$B$12,Paramètres!$A$1:$I$89,3,0)*VLOOKUP('Données projet'!$B$12,Paramètres!$A$1:$I$89,5,0)</f>
        <v>3.3992364478763198E-14</v>
      </c>
      <c r="CA145" s="13">
        <f t="shared" si="147"/>
        <v>5.790027782444094E-13</v>
      </c>
      <c r="CB145" s="20">
        <f t="shared" si="118"/>
        <v>1.0676332069095257E-12</v>
      </c>
      <c r="CC145" s="59">
        <f t="shared" si="119"/>
        <v>293.33333333333439</v>
      </c>
      <c r="CD145" s="59">
        <f ca="1">AVERAGE(OFFSET($CC$3,0,0,'Données projet'!$E$12+1,1))-AVERAGE(OFFSET($H$3,0,0,'Données projet'!$E$12+1,1))</f>
        <v>165.39579887388538</v>
      </c>
      <c r="CE145" s="59">
        <f t="shared" si="148"/>
        <v>155.89639262545802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</v>
      </c>
      <c r="CL145" s="21">
        <f>EXP(-LN(2)/25)*CL144+(1-EXP(-LN(2)/25))/(LN(2)/25)*Calculateur!CG145*Calculateur!CI145*VLOOKUP('Données projet'!$B$12,Paramètres!$A$1:$I$89,3,0)*0.475*44/12</f>
        <v>0.32663910469965945</v>
      </c>
      <c r="CM145" s="21">
        <f>EXP(-LN(2)/2)*CM144+(1-EXP(-LN(2)/2))/(LN(2)/2)*CG145*CJ145*VLOOKUP('Données projet'!$B$12,Paramètres!$A$1:$I$89,3,0)*0.475*44/12</f>
        <v>1.9262419070044323E-16</v>
      </c>
      <c r="CN145" s="22">
        <f t="shared" si="120"/>
        <v>0.32663910469965962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3.4106051316484809E-13</v>
      </c>
      <c r="CU145" s="17">
        <f>CT145*VLOOKUP('Données projet'!$B$13,Paramètres!$A$1:$I$89,3,0)*VLOOKUP('Données projet'!$B$13,Paramètres!$A$1:$I$89,5,0)</f>
        <v>2.6602720026858149E-13</v>
      </c>
      <c r="CV145" s="13">
        <f t="shared" si="149"/>
        <v>3.5662905043956649E-12</v>
      </c>
      <c r="CW145" s="20">
        <f t="shared" si="121"/>
        <v>6.6746200022902298E-12</v>
      </c>
      <c r="CX145" s="59">
        <f t="shared" si="122"/>
        <v>293.33333333333997</v>
      </c>
      <c r="CY145" s="59">
        <f ca="1">AVERAGE(OFFSET($CX$3,0,0,'Données projet'!$E$13+1,1))-AVERAGE(OFFSET($H$3,0,0,'Données projet'!$E$13+1,1))</f>
        <v>190.06335940156185</v>
      </c>
      <c r="CZ145" s="59">
        <f t="shared" si="150"/>
        <v>166.43663896839928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</v>
      </c>
      <c r="DG145" s="21">
        <f>EXP(-LN(2)/25)*DG144+(1-EXP(-LN(2)/25))/(LN(2)/25)*Calculateur!DB145*Calculateur!DD145*VLOOKUP('Données projet'!$B$13,Paramètres!$A$1:$I$89,3,0)*0.475*44/12</f>
        <v>0.20014610798439078</v>
      </c>
      <c r="DH145" s="21">
        <f>EXP(-LN(2)/2)*DH144+(1-EXP(-LN(2)/2))/(LN(2)/2)*DB145*DE145*VLOOKUP('Données projet'!$B$13,Paramètres!$A$1:$I$89,3,0)*0.475*44/12</f>
        <v>7.3918633046986205E-17</v>
      </c>
      <c r="DI145" s="22">
        <f t="shared" si="123"/>
        <v>0.20014610798439086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-1.1368683772161603E-13</v>
      </c>
      <c r="DP145" s="17">
        <f>DO145*VLOOKUP('Données projet'!$B$14,Paramètres!$A$1:$I$89,3,0)*VLOOKUP('Données projet'!$B$14,Paramètres!$A$1:$I$89,5,0)</f>
        <v>-1.0995790944434703E-13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261.22357949323879</v>
      </c>
      <c r="DU145" s="59">
        <f t="shared" si="152"/>
        <v>163.41029152029387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0</v>
      </c>
      <c r="EB145" s="21">
        <f>EXP(-LN(2)/25)*EB144+(1-EXP(-LN(2)/25))/(LN(2)/25)*Calculateur!DW145*Calculateur!DY145*VLOOKUP('Données projet'!$B$14,Paramètres!$A$1:$I$89,3,0)*0.475*44/12</f>
        <v>0.1487791666121687</v>
      </c>
      <c r="EC145" s="21">
        <f>EXP(-LN(2)/2)*EC144+(1-EXP(-LN(2)/2))/(LN(2)/2)*DW145*DZ145*VLOOKUP('Données projet'!$B$14,Paramètres!$A$1:$I$89,3,0)*0.475*44/12</f>
        <v>9.1818211791992784E-17</v>
      </c>
      <c r="ED145" s="22">
        <f t="shared" si="126"/>
        <v>0.14877916661216878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-1.1368683772161603E-13</v>
      </c>
      <c r="EK145" s="17">
        <f>EJ145*VLOOKUP('Données projet'!$B$15,Paramètres!$A$1:$I$89,3,0)*VLOOKUP('Données projet'!$B$15,Paramètres!$A$1:$I$89,5,0)</f>
        <v>-5.3205440053716299E-14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123.60520571614535</v>
      </c>
      <c r="EP145" s="59">
        <f t="shared" si="154"/>
        <v>119.00926870519527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9.4378838767335174E-2</v>
      </c>
      <c r="EW145" s="21">
        <f>EXP(-LN(2)/25)*EW144+(1-EXP(-LN(2)/25))/(LN(2)/25)*Calculateur!ER145*Calculateur!ET145*VLOOKUP('Données projet'!$B$15,Paramètres!$A$1:$I$89,3,0)*0.475*44/12</f>
        <v>0.21405179668859473</v>
      </c>
      <c r="EX145" s="21">
        <f>EXP(-LN(2)/2)*EX144+(1-EXP(-LN(2)/2))/(LN(2)/2)*ER145*EU145*VLOOKUP('Données projet'!$B$15,Paramètres!$A$1:$I$89,3,0)*0.475*44/12</f>
        <v>8.4844776913652685E-17</v>
      </c>
      <c r="EY145" s="22">
        <f t="shared" si="129"/>
        <v>0.30843063545593002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-8.5265128291212022E-14</v>
      </c>
      <c r="FF145" s="17">
        <f>FE145*VLOOKUP('Données projet'!$B$16,Paramètres!$A$1:$I$89,3,0)*VLOOKUP('Données projet'!$B$16,Paramètres!$A$1:$I$89,5,0)</f>
        <v>-6.2516392063116648E-14</v>
      </c>
      <c r="FG145" s="13" t="e">
        <f t="shared" si="155"/>
        <v>#NUM!</v>
      </c>
      <c r="FH145" s="20" t="e">
        <f t="shared" si="130"/>
        <v>#NUM!</v>
      </c>
      <c r="FI145" s="59" t="e">
        <f t="shared" si="131"/>
        <v>#NUM!</v>
      </c>
      <c r="FJ145" s="59">
        <f ca="1">AVERAGE(OFFSET($FI$3,0,0,'Données projet'!$E$16+1,1))-AVERAGE(OFFSET($H$3,0,0,'Données projet'!$E$16+1,1))</f>
        <v>124.15919323713428</v>
      </c>
      <c r="FK145" s="59">
        <f t="shared" si="156"/>
        <v>157.85954678210715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0</v>
      </c>
      <c r="FR145" s="21">
        <f>EXP(-LN(2)/25)*FR144+(1-EXP(-LN(2)/25))/(LN(2)/25)*Calculateur!FM145*Calculateur!FO145*VLOOKUP('Données projet'!$B$16,Paramètres!$A$1:$I$89,3,0)*0.475*44/12</f>
        <v>0.2252379326340109</v>
      </c>
      <c r="FS145" s="21">
        <f>EXP(-LN(2)/2)*FS144+(1-EXP(-LN(2)/2))/(LN(2)/2)*FM145*FP145*VLOOKUP('Données projet'!$B$16,Paramètres!$A$1:$I$89,3,0)*0.475*44/12</f>
        <v>1.0238107232889491E-16</v>
      </c>
      <c r="FT145" s="22">
        <f t="shared" si="132"/>
        <v>0.22523793263401101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-1.1368683772161603E-13</v>
      </c>
      <c r="O146" s="13">
        <f>N146*VLOOKUP('Données projet'!$B$9,Paramètres!$A$1:$I$89,3,0)*VLOOKUP('Données projet'!$B$9,Paramètres!$A$1:$I$89,5,0)</f>
        <v>-1.0286385077051818E-13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237.22177246688199</v>
      </c>
      <c r="T146" s="59">
        <f t="shared" si="142"/>
        <v>149.27472147904302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</v>
      </c>
      <c r="AA146" s="21">
        <f>EXP(-LN(2)/25)*AA145+(1-EXP(-LN(2)/25))/(LN(2)/25)*Calculateur!V146*Calculateur!X146*VLOOKUP('Données projet'!$B$9,Paramètres!$A$1:$I$89,3,0)*0.475*44/12</f>
        <v>0.13537461231738324</v>
      </c>
      <c r="AB146" s="21">
        <f>EXP(-LN(2)/2)*AB145+(1-EXP(-LN(2)/2))/(LN(2)/2)*V146*Y146*VLOOKUP('Données projet'!$B$9,Paramètres!$A$1:$I$89,3,0)*0.475*44/12</f>
        <v>6.0736552440054232E-17</v>
      </c>
      <c r="AC146" s="22">
        <f t="shared" si="111"/>
        <v>0.13537461231738329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-8.5265128291212022E-14</v>
      </c>
      <c r="AJ146" s="13">
        <f>AI146*VLOOKUP('Données projet'!$B$10,Paramètres!$A$1:$I$89,3,0)*VLOOKUP('Données projet'!$B$10,Paramètres!$A$1:$I$89,5,0)</f>
        <v>-7.4487616075202836E-14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191.94797389630673</v>
      </c>
      <c r="AO146" s="59">
        <f t="shared" si="144"/>
        <v>273.52540822767878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0.27467746945945487</v>
      </c>
      <c r="AV146" s="21">
        <f>EXP(-LN(2)/25)*AV145+(1-EXP(-LN(2)/25))/(LN(2)/25)*Calculateur!AQ146*Calculateur!AS146*VLOOKUP('Données projet'!$B$10,Paramètres!$A$1:$I$89,3,0)*0.475*44/12</f>
        <v>0.61229905308285515</v>
      </c>
      <c r="AW146" s="21">
        <f>EXP(-LN(2)/2)*AW145+(1-EXP(-LN(2)/2))/(LN(2)/2)*AQ146*AT146*VLOOKUP('Données projet'!$B$10,Paramètres!$A$1:$I$89,3,0)*0.475*44/12</f>
        <v>2.2769346317836262E-16</v>
      </c>
      <c r="AX146" s="21">
        <f t="shared" si="114"/>
        <v>0.8869765225423103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72.647148358003676</v>
      </c>
      <c r="BJ146" s="59">
        <f t="shared" si="146"/>
        <v>87.231299224620898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0.13575454264572401</v>
      </c>
      <c r="BQ146" s="21">
        <f>EXP(-LN(2)/25)*BQ145+(1-EXP(-LN(2)/25))/(LN(2)/25)*Calculateur!BL146*Calculateur!BN146*VLOOKUP('Données projet'!$B$11,Paramètres!$A$1:$I$89,3,0)*0.475*44/12</f>
        <v>0.19749256271216048</v>
      </c>
      <c r="BR146" s="21">
        <f>EXP(-LN(2)/2)*BR145+(1-EXP(-LN(2)/2))/(LN(2)/2)*BL146*BO146*VLOOKUP('Données projet'!$B$11,Paramètres!$A$1:$I$89,3,0)*0.475*44/12</f>
        <v>2.2382611194986693E-17</v>
      </c>
      <c r="BS146" s="22">
        <f t="shared" si="117"/>
        <v>0.33324710535788449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5.6843418860808015E-14</v>
      </c>
      <c r="BZ146" s="13">
        <f>BY146*VLOOKUP('Données projet'!$B$12,Paramètres!$A$1:$I$89,3,0)*VLOOKUP('Données projet'!$B$12,Paramètres!$A$1:$I$89,5,0)</f>
        <v>3.3992364478763198E-14</v>
      </c>
      <c r="CA146" s="13">
        <f t="shared" si="147"/>
        <v>5.790027782444094E-13</v>
      </c>
      <c r="CB146" s="20">
        <f t="shared" si="118"/>
        <v>1.0676332069095257E-12</v>
      </c>
      <c r="CC146" s="59">
        <f t="shared" si="119"/>
        <v>293.33333333333439</v>
      </c>
      <c r="CD146" s="59">
        <f ca="1">AVERAGE(OFFSET($CC$3,0,0,'Données projet'!$E$12+1,1))-AVERAGE(OFFSET($H$3,0,0,'Données projet'!$E$12+1,1))</f>
        <v>165.39579887388538</v>
      </c>
      <c r="CE146" s="59">
        <f t="shared" si="148"/>
        <v>155.89639262545802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</v>
      </c>
      <c r="CL146" s="21">
        <f>EXP(-LN(2)/25)*CL145+(1-EXP(-LN(2)/25))/(LN(2)/25)*Calculateur!CG146*Calculateur!CI146*VLOOKUP('Données projet'!$B$12,Paramètres!$A$1:$I$89,3,0)*0.475*44/12</f>
        <v>0.31770714120444332</v>
      </c>
      <c r="CM146" s="21">
        <f>EXP(-LN(2)/2)*CM145+(1-EXP(-LN(2)/2))/(LN(2)/2)*CG146*CJ146*VLOOKUP('Données projet'!$B$12,Paramètres!$A$1:$I$89,3,0)*0.475*44/12</f>
        <v>1.3620587146485411E-16</v>
      </c>
      <c r="CN146" s="22">
        <f t="shared" si="120"/>
        <v>0.31770714120444343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3.4106051316484809E-13</v>
      </c>
      <c r="CU146" s="17">
        <f>CT146*VLOOKUP('Données projet'!$B$13,Paramètres!$A$1:$I$89,3,0)*VLOOKUP('Données projet'!$B$13,Paramètres!$A$1:$I$89,5,0)</f>
        <v>2.6602720026858149E-13</v>
      </c>
      <c r="CV146" s="13">
        <f t="shared" si="149"/>
        <v>3.5662905043956649E-12</v>
      </c>
      <c r="CW146" s="20">
        <f t="shared" si="121"/>
        <v>6.6746200022902298E-12</v>
      </c>
      <c r="CX146" s="59">
        <f t="shared" si="122"/>
        <v>293.33333333333997</v>
      </c>
      <c r="CY146" s="59">
        <f ca="1">AVERAGE(OFFSET($CX$3,0,0,'Données projet'!$E$13+1,1))-AVERAGE(OFFSET($H$3,0,0,'Données projet'!$E$13+1,1))</f>
        <v>190.06335940156185</v>
      </c>
      <c r="CZ146" s="59">
        <f t="shared" si="150"/>
        <v>166.43663896839928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</v>
      </c>
      <c r="DG146" s="21">
        <f>EXP(-LN(2)/25)*DG145+(1-EXP(-LN(2)/25))/(LN(2)/25)*Calculateur!DB146*Calculateur!DD146*VLOOKUP('Données projet'!$B$13,Paramètres!$A$1:$I$89,3,0)*0.475*44/12</f>
        <v>0.19467310213633124</v>
      </c>
      <c r="DH146" s="21">
        <f>EXP(-LN(2)/2)*DH145+(1-EXP(-LN(2)/2))/(LN(2)/2)*DB146*DE146*VLOOKUP('Données projet'!$B$13,Paramètres!$A$1:$I$89,3,0)*0.475*44/12</f>
        <v>5.2268366683563976E-17</v>
      </c>
      <c r="DI146" s="22">
        <f t="shared" si="123"/>
        <v>0.19467310213633129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-1.1368683772161603E-13</v>
      </c>
      <c r="DP146" s="17">
        <f>DO146*VLOOKUP('Données projet'!$B$14,Paramètres!$A$1:$I$89,3,0)*VLOOKUP('Données projet'!$B$14,Paramètres!$A$1:$I$89,5,0)</f>
        <v>-1.0995790944434703E-13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261.22357949323879</v>
      </c>
      <c r="DU146" s="59">
        <f t="shared" si="152"/>
        <v>163.41029152029387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0</v>
      </c>
      <c r="EB146" s="21">
        <f>EXP(-LN(2)/25)*EB145+(1-EXP(-LN(2)/25))/(LN(2)/25)*Calculateur!DW146*Calculateur!DY146*VLOOKUP('Données projet'!$B$14,Paramètres!$A$1:$I$89,3,0)*0.475*44/12</f>
        <v>0.14471079247720262</v>
      </c>
      <c r="EC146" s="21">
        <f>EXP(-LN(2)/2)*EC145+(1-EXP(-LN(2)/2))/(LN(2)/2)*DW146*DZ146*VLOOKUP('Données projet'!$B$14,Paramètres!$A$1:$I$89,3,0)*0.475*44/12</f>
        <v>6.4925280194540718E-17</v>
      </c>
      <c r="ED146" s="22">
        <f t="shared" si="126"/>
        <v>0.14471079247720267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-1.1368683772161603E-13</v>
      </c>
      <c r="EK146" s="17">
        <f>EJ146*VLOOKUP('Données projet'!$B$15,Paramètres!$A$1:$I$89,3,0)*VLOOKUP('Données projet'!$B$15,Paramètres!$A$1:$I$89,5,0)</f>
        <v>-5.3205440053716299E-14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123.60520571614535</v>
      </c>
      <c r="EP146" s="59">
        <f t="shared" si="154"/>
        <v>119.00926870519527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9.2528127304515262E-2</v>
      </c>
      <c r="EW146" s="21">
        <f>EXP(-LN(2)/25)*EW145+(1-EXP(-LN(2)/25))/(LN(2)/25)*Calculateur!ER146*Calculateur!ET146*VLOOKUP('Données projet'!$B$15,Paramètres!$A$1:$I$89,3,0)*0.475*44/12</f>
        <v>0.20819853905165034</v>
      </c>
      <c r="EX146" s="21">
        <f>EXP(-LN(2)/2)*EX145+(1-EXP(-LN(2)/2))/(LN(2)/2)*ER146*EU146*VLOOKUP('Données projet'!$B$15,Paramètres!$A$1:$I$89,3,0)*0.475*44/12</f>
        <v>5.9994317103903647E-17</v>
      </c>
      <c r="EY146" s="22">
        <f t="shared" si="129"/>
        <v>0.30072666635616568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-8.5265128291212022E-14</v>
      </c>
      <c r="FF146" s="17">
        <f>FE146*VLOOKUP('Données projet'!$B$16,Paramètres!$A$1:$I$89,3,0)*VLOOKUP('Données projet'!$B$16,Paramètres!$A$1:$I$89,5,0)</f>
        <v>-6.2516392063116648E-14</v>
      </c>
      <c r="FG146" s="13" t="e">
        <f t="shared" si="155"/>
        <v>#NUM!</v>
      </c>
      <c r="FH146" s="20" t="e">
        <f t="shared" si="130"/>
        <v>#NUM!</v>
      </c>
      <c r="FI146" s="59" t="e">
        <f t="shared" si="131"/>
        <v>#NUM!</v>
      </c>
      <c r="FJ146" s="59">
        <f ca="1">AVERAGE(OFFSET($FI$3,0,0,'Données projet'!$E$16+1,1))-AVERAGE(OFFSET($H$3,0,0,'Données projet'!$E$16+1,1))</f>
        <v>124.15919323713428</v>
      </c>
      <c r="FK146" s="59">
        <f t="shared" si="156"/>
        <v>157.85954678210715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0</v>
      </c>
      <c r="FR146" s="21">
        <f>EXP(-LN(2)/25)*FR145+(1-EXP(-LN(2)/25))/(LN(2)/25)*Calculateur!FM146*Calculateur!FO146*VLOOKUP('Données projet'!$B$16,Paramètres!$A$1:$I$89,3,0)*0.475*44/12</f>
        <v>0.21907878952138579</v>
      </c>
      <c r="FS146" s="21">
        <f>EXP(-LN(2)/2)*FS145+(1-EXP(-LN(2)/2))/(LN(2)/2)*FM146*FP146*VLOOKUP('Données projet'!$B$16,Paramètres!$A$1:$I$89,3,0)*0.475*44/12</f>
        <v>7.239435050891199E-17</v>
      </c>
      <c r="FT146" s="22">
        <f t="shared" si="132"/>
        <v>0.21907878952138587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-1.1368683772161603E-13</v>
      </c>
      <c r="O147" s="13">
        <f>N147*VLOOKUP('Données projet'!$B$9,Paramètres!$A$1:$I$89,3,0)*VLOOKUP('Données projet'!$B$9,Paramètres!$A$1:$I$89,5,0)</f>
        <v>-1.0286385077051818E-13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237.22177246688199</v>
      </c>
      <c r="T147" s="59">
        <f t="shared" si="142"/>
        <v>149.27472147904302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</v>
      </c>
      <c r="AA147" s="21">
        <f>EXP(-LN(2)/25)*AA146+(1-EXP(-LN(2)/25))/(LN(2)/25)*Calculateur!V147*Calculateur!X147*VLOOKUP('Données projet'!$B$9,Paramètres!$A$1:$I$89,3,0)*0.475*44/12</f>
        <v>0.13167278642452293</v>
      </c>
      <c r="AB147" s="21">
        <f>EXP(-LN(2)/2)*AB146+(1-EXP(-LN(2)/2))/(LN(2)/2)*V147*Y147*VLOOKUP('Données projet'!$B$9,Paramètres!$A$1:$I$89,3,0)*0.475*44/12</f>
        <v>4.2947228096254698E-17</v>
      </c>
      <c r="AC147" s="22">
        <f t="shared" si="111"/>
        <v>0.13167278642452299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-8.5265128291212022E-14</v>
      </c>
      <c r="AJ147" s="13">
        <f>AI147*VLOOKUP('Données projet'!$B$10,Paramètres!$A$1:$I$89,3,0)*VLOOKUP('Données projet'!$B$10,Paramètres!$A$1:$I$89,5,0)</f>
        <v>-7.4487616075202836E-14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191.94797389630673</v>
      </c>
      <c r="AO147" s="59">
        <f t="shared" si="144"/>
        <v>273.52540822767878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0.26929121182006843</v>
      </c>
      <c r="AV147" s="21">
        <f>EXP(-LN(2)/25)*AV146+(1-EXP(-LN(2)/25))/(LN(2)/25)*Calculateur!AQ147*Calculateur!AS147*VLOOKUP('Données projet'!$B$10,Paramètres!$A$1:$I$89,3,0)*0.475*44/12</f>
        <v>0.59555570327689666</v>
      </c>
      <c r="AW147" s="21">
        <f>EXP(-LN(2)/2)*AW146+(1-EXP(-LN(2)/2))/(LN(2)/2)*AQ147*AT147*VLOOKUP('Données projet'!$B$10,Paramètres!$A$1:$I$89,3,0)*0.475*44/12</f>
        <v>1.6100359184526968E-16</v>
      </c>
      <c r="AX147" s="21">
        <f t="shared" si="114"/>
        <v>0.86484691509696521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72.647148358003676</v>
      </c>
      <c r="BJ147" s="59">
        <f t="shared" si="146"/>
        <v>87.231299224620898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0.13309247886653636</v>
      </c>
      <c r="BQ147" s="21">
        <f>EXP(-LN(2)/25)*BQ146+(1-EXP(-LN(2)/25))/(LN(2)/25)*Calculateur!BL147*Calculateur!BN147*VLOOKUP('Données projet'!$B$11,Paramètres!$A$1:$I$89,3,0)*0.475*44/12</f>
        <v>0.19209211819911395</v>
      </c>
      <c r="BR147" s="21">
        <f>EXP(-LN(2)/2)*BR146+(1-EXP(-LN(2)/2))/(LN(2)/2)*BL147*BO147*VLOOKUP('Données projet'!$B$11,Paramètres!$A$1:$I$89,3,0)*0.475*44/12</f>
        <v>1.5826896156637025E-17</v>
      </c>
      <c r="BS147" s="22">
        <f t="shared" si="117"/>
        <v>0.32518459706565028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5.6843418860808015E-14</v>
      </c>
      <c r="BZ147" s="13">
        <f>BY147*VLOOKUP('Données projet'!$B$12,Paramètres!$A$1:$I$89,3,0)*VLOOKUP('Données projet'!$B$12,Paramètres!$A$1:$I$89,5,0)</f>
        <v>3.3992364478763198E-14</v>
      </c>
      <c r="CA147" s="13">
        <f t="shared" si="147"/>
        <v>5.790027782444094E-13</v>
      </c>
      <c r="CB147" s="20">
        <f t="shared" si="118"/>
        <v>1.0676332069095257E-12</v>
      </c>
      <c r="CC147" s="59">
        <f t="shared" si="119"/>
        <v>293.33333333333439</v>
      </c>
      <c r="CD147" s="59">
        <f ca="1">AVERAGE(OFFSET($CC$3,0,0,'Données projet'!$E$12+1,1))-AVERAGE(OFFSET($H$3,0,0,'Données projet'!$E$12+1,1))</f>
        <v>165.39579887388538</v>
      </c>
      <c r="CE147" s="59">
        <f t="shared" si="148"/>
        <v>155.89639262545802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</v>
      </c>
      <c r="CL147" s="21">
        <f>EXP(-LN(2)/25)*CL146+(1-EXP(-LN(2)/25))/(LN(2)/25)*Calculateur!CG147*Calculateur!CI147*VLOOKUP('Données projet'!$B$12,Paramètres!$A$1:$I$89,3,0)*0.475*44/12</f>
        <v>0.30901942272071542</v>
      </c>
      <c r="CM147" s="21">
        <f>EXP(-LN(2)/2)*CM146+(1-EXP(-LN(2)/2))/(LN(2)/2)*CG147*CJ147*VLOOKUP('Données projet'!$B$12,Paramètres!$A$1:$I$89,3,0)*0.475*44/12</f>
        <v>9.6312095350221614E-17</v>
      </c>
      <c r="CN147" s="22">
        <f t="shared" si="120"/>
        <v>0.30901942272071553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3.4106051316484809E-13</v>
      </c>
      <c r="CU147" s="17">
        <f>CT147*VLOOKUP('Données projet'!$B$13,Paramètres!$A$1:$I$89,3,0)*VLOOKUP('Données projet'!$B$13,Paramètres!$A$1:$I$89,5,0)</f>
        <v>2.6602720026858149E-13</v>
      </c>
      <c r="CV147" s="13">
        <f t="shared" si="149"/>
        <v>3.5662905043956649E-12</v>
      </c>
      <c r="CW147" s="20">
        <f t="shared" si="121"/>
        <v>6.6746200022902298E-12</v>
      </c>
      <c r="CX147" s="59">
        <f t="shared" si="122"/>
        <v>293.33333333333997</v>
      </c>
      <c r="CY147" s="59">
        <f ca="1">AVERAGE(OFFSET($CX$3,0,0,'Données projet'!$E$13+1,1))-AVERAGE(OFFSET($H$3,0,0,'Données projet'!$E$13+1,1))</f>
        <v>190.06335940156185</v>
      </c>
      <c r="CZ147" s="59">
        <f t="shared" si="150"/>
        <v>166.43663896839928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</v>
      </c>
      <c r="DG147" s="21">
        <f>EXP(-LN(2)/25)*DG146+(1-EXP(-LN(2)/25))/(LN(2)/25)*Calculateur!DB147*Calculateur!DD147*VLOOKUP('Données projet'!$B$13,Paramètres!$A$1:$I$89,3,0)*0.475*44/12</f>
        <v>0.18934975592099976</v>
      </c>
      <c r="DH147" s="21">
        <f>EXP(-LN(2)/2)*DH146+(1-EXP(-LN(2)/2))/(LN(2)/2)*DB147*DE147*VLOOKUP('Données projet'!$B$13,Paramètres!$A$1:$I$89,3,0)*0.475*44/12</f>
        <v>3.6959316523493103E-17</v>
      </c>
      <c r="DI147" s="22">
        <f t="shared" si="123"/>
        <v>0.18934975592099978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-1.1368683772161603E-13</v>
      </c>
      <c r="DP147" s="17">
        <f>DO147*VLOOKUP('Données projet'!$B$14,Paramètres!$A$1:$I$89,3,0)*VLOOKUP('Données projet'!$B$14,Paramètres!$A$1:$I$89,5,0)</f>
        <v>-1.0995790944434703E-13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261.22357949323879</v>
      </c>
      <c r="DU147" s="59">
        <f t="shared" si="152"/>
        <v>163.41029152029387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0</v>
      </c>
      <c r="EB147" s="21">
        <f>EXP(-LN(2)/25)*EB146+(1-EXP(-LN(2)/25))/(LN(2)/25)*Calculateur!DW147*Calculateur!DY147*VLOOKUP('Données projet'!$B$14,Paramètres!$A$1:$I$89,3,0)*0.475*44/12</f>
        <v>0.14075366824690366</v>
      </c>
      <c r="EC147" s="21">
        <f>EXP(-LN(2)/2)*EC146+(1-EXP(-LN(2)/2))/(LN(2)/2)*DW147*DZ147*VLOOKUP('Données projet'!$B$14,Paramètres!$A$1:$I$89,3,0)*0.475*44/12</f>
        <v>4.5909105895996392E-17</v>
      </c>
      <c r="ED147" s="22">
        <f t="shared" si="126"/>
        <v>0.14075366824690372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-1.1368683772161603E-13</v>
      </c>
      <c r="EK147" s="17">
        <f>EJ147*VLOOKUP('Données projet'!$B$15,Paramètres!$A$1:$I$89,3,0)*VLOOKUP('Données projet'!$B$15,Paramètres!$A$1:$I$89,5,0)</f>
        <v>-5.3205440053716299E-14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123.60520571614535</v>
      </c>
      <c r="EP147" s="59">
        <f t="shared" si="154"/>
        <v>119.00926870519527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9.0713707164658722E-2</v>
      </c>
      <c r="EW147" s="21">
        <f>EXP(-LN(2)/25)*EW146+(1-EXP(-LN(2)/25))/(LN(2)/25)*Calculateur!ER147*Calculateur!ET147*VLOOKUP('Données projet'!$B$15,Paramètres!$A$1:$I$89,3,0)*0.475*44/12</f>
        <v>0.20250533905259763</v>
      </c>
      <c r="EX147" s="21">
        <f>EXP(-LN(2)/2)*EX146+(1-EXP(-LN(2)/2))/(LN(2)/2)*ER147*EU147*VLOOKUP('Données projet'!$B$15,Paramètres!$A$1:$I$89,3,0)*0.475*44/12</f>
        <v>4.2422388456826342E-17</v>
      </c>
      <c r="EY147" s="22">
        <f t="shared" si="129"/>
        <v>0.29321904621725642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-8.5265128291212022E-14</v>
      </c>
      <c r="FF147" s="17">
        <f>FE147*VLOOKUP('Données projet'!$B$16,Paramètres!$A$1:$I$89,3,0)*VLOOKUP('Données projet'!$B$16,Paramètres!$A$1:$I$89,5,0)</f>
        <v>-6.2516392063116648E-14</v>
      </c>
      <c r="FG147" s="13" t="e">
        <f t="shared" si="155"/>
        <v>#NUM!</v>
      </c>
      <c r="FH147" s="20" t="e">
        <f t="shared" si="130"/>
        <v>#NUM!</v>
      </c>
      <c r="FI147" s="59" t="e">
        <f t="shared" si="131"/>
        <v>#NUM!</v>
      </c>
      <c r="FJ147" s="59">
        <f ca="1">AVERAGE(OFFSET($FI$3,0,0,'Données projet'!$E$16+1,1))-AVERAGE(OFFSET($H$3,0,0,'Données projet'!$E$16+1,1))</f>
        <v>124.15919323713428</v>
      </c>
      <c r="FK147" s="59">
        <f t="shared" si="156"/>
        <v>157.85954678210715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0</v>
      </c>
      <c r="FR147" s="21">
        <f>EXP(-LN(2)/25)*FR146+(1-EXP(-LN(2)/25))/(LN(2)/25)*Calculateur!FM147*Calculateur!FO147*VLOOKUP('Données projet'!$B$16,Paramètres!$A$1:$I$89,3,0)*0.475*44/12</f>
        <v>0.21308806850107068</v>
      </c>
      <c r="FS147" s="21">
        <f>EXP(-LN(2)/2)*FS146+(1-EXP(-LN(2)/2))/(LN(2)/2)*FM147*FP147*VLOOKUP('Données projet'!$B$16,Paramètres!$A$1:$I$89,3,0)*0.475*44/12</f>
        <v>5.1190536164447457E-17</v>
      </c>
      <c r="FT147" s="22">
        <f t="shared" si="132"/>
        <v>0.21308806850107073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-1.1368683772161603E-13</v>
      </c>
      <c r="O148" s="13">
        <f>N148*VLOOKUP('Données projet'!$B$9,Paramètres!$A$1:$I$89,3,0)*VLOOKUP('Données projet'!$B$9,Paramètres!$A$1:$I$89,5,0)</f>
        <v>-1.0286385077051818E-13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237.22177246688199</v>
      </c>
      <c r="T148" s="59">
        <f t="shared" si="142"/>
        <v>149.27472147904302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</v>
      </c>
      <c r="AA148" s="21">
        <f>EXP(-LN(2)/25)*AA147+(1-EXP(-LN(2)/25))/(LN(2)/25)*Calculateur!V148*Calculateur!X148*VLOOKUP('Données projet'!$B$9,Paramètres!$A$1:$I$89,3,0)*0.475*44/12</f>
        <v>0.12807218715537347</v>
      </c>
      <c r="AB148" s="21">
        <f>EXP(-LN(2)/2)*AB147+(1-EXP(-LN(2)/2))/(LN(2)/2)*V148*Y148*VLOOKUP('Données projet'!$B$9,Paramètres!$A$1:$I$89,3,0)*0.475*44/12</f>
        <v>3.0368276220027116E-17</v>
      </c>
      <c r="AC148" s="22">
        <f t="shared" si="111"/>
        <v>0.1280721871553735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-8.5265128291212022E-14</v>
      </c>
      <c r="AJ148" s="13">
        <f>AI148*VLOOKUP('Données projet'!$B$10,Paramètres!$A$1:$I$89,3,0)*VLOOKUP('Données projet'!$B$10,Paramètres!$A$1:$I$89,5,0)</f>
        <v>-7.4487616075202836E-14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191.94797389630673</v>
      </c>
      <c r="AO148" s="59">
        <f t="shared" si="144"/>
        <v>273.52540822767878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0.26401057540769762</v>
      </c>
      <c r="AV148" s="21">
        <f>EXP(-LN(2)/25)*AV147+(1-EXP(-LN(2)/25))/(LN(2)/25)*Calculateur!AQ148*Calculateur!AS148*VLOOKUP('Données projet'!$B$10,Paramètres!$A$1:$I$89,3,0)*0.475*44/12</f>
        <v>0.57927020125187667</v>
      </c>
      <c r="AW148" s="21">
        <f>EXP(-LN(2)/2)*AW147+(1-EXP(-LN(2)/2))/(LN(2)/2)*AQ148*AT148*VLOOKUP('Données projet'!$B$10,Paramètres!$A$1:$I$89,3,0)*0.475*44/12</f>
        <v>1.1384673158918131E-16</v>
      </c>
      <c r="AX148" s="21">
        <f t="shared" si="114"/>
        <v>0.84328077665957435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72.647148358003676</v>
      </c>
      <c r="BJ148" s="59">
        <f t="shared" si="146"/>
        <v>87.231299224620898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0.13048261653436</v>
      </c>
      <c r="BQ148" s="21">
        <f>EXP(-LN(2)/25)*BQ147+(1-EXP(-LN(2)/25))/(LN(2)/25)*Calculateur!BL148*Calculateur!BN148*VLOOKUP('Données projet'!$B$11,Paramètres!$A$1:$I$89,3,0)*0.475*44/12</f>
        <v>0.18683934912527372</v>
      </c>
      <c r="BR148" s="21">
        <f>EXP(-LN(2)/2)*BR147+(1-EXP(-LN(2)/2))/(LN(2)/2)*BL148*BO148*VLOOKUP('Données projet'!$B$11,Paramètres!$A$1:$I$89,3,0)*0.475*44/12</f>
        <v>1.1191305597493347E-17</v>
      </c>
      <c r="BS148" s="22">
        <f t="shared" si="117"/>
        <v>0.31732196565963372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5.6843418860808015E-14</v>
      </c>
      <c r="BZ148" s="13">
        <f>BY148*VLOOKUP('Données projet'!$B$12,Paramètres!$A$1:$I$89,3,0)*VLOOKUP('Données projet'!$B$12,Paramètres!$A$1:$I$89,5,0)</f>
        <v>3.3992364478763198E-14</v>
      </c>
      <c r="CA148" s="13">
        <f t="shared" si="147"/>
        <v>5.790027782444094E-13</v>
      </c>
      <c r="CB148" s="20">
        <f t="shared" si="118"/>
        <v>1.0676332069095257E-12</v>
      </c>
      <c r="CC148" s="59">
        <f t="shared" si="119"/>
        <v>293.33333333333439</v>
      </c>
      <c r="CD148" s="59">
        <f ca="1">AVERAGE(OFFSET($CC$3,0,0,'Données projet'!$E$12+1,1))-AVERAGE(OFFSET($H$3,0,0,'Données projet'!$E$12+1,1))</f>
        <v>165.39579887388538</v>
      </c>
      <c r="CE148" s="59">
        <f t="shared" si="148"/>
        <v>155.89639262545802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</v>
      </c>
      <c r="CL148" s="21">
        <f>EXP(-LN(2)/25)*CL147+(1-EXP(-LN(2)/25))/(LN(2)/25)*Calculateur!CG148*Calculateur!CI148*VLOOKUP('Données projet'!$B$12,Paramètres!$A$1:$I$89,3,0)*0.475*44/12</f>
        <v>0.30056927035579228</v>
      </c>
      <c r="CM148" s="21">
        <f>EXP(-LN(2)/2)*CM147+(1-EXP(-LN(2)/2))/(LN(2)/2)*CG148*CJ148*VLOOKUP('Données projet'!$B$12,Paramètres!$A$1:$I$89,3,0)*0.475*44/12</f>
        <v>6.8102935732427055E-17</v>
      </c>
      <c r="CN148" s="22">
        <f t="shared" si="120"/>
        <v>0.30056927035579234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3.4106051316484809E-13</v>
      </c>
      <c r="CU148" s="17">
        <f>CT148*VLOOKUP('Données projet'!$B$13,Paramètres!$A$1:$I$89,3,0)*VLOOKUP('Données projet'!$B$13,Paramètres!$A$1:$I$89,5,0)</f>
        <v>2.6602720026858149E-13</v>
      </c>
      <c r="CV148" s="13">
        <f t="shared" si="149"/>
        <v>3.5662905043956649E-12</v>
      </c>
      <c r="CW148" s="20">
        <f t="shared" si="121"/>
        <v>6.6746200022902298E-12</v>
      </c>
      <c r="CX148" s="59">
        <f t="shared" si="122"/>
        <v>293.33333333333997</v>
      </c>
      <c r="CY148" s="59">
        <f ca="1">AVERAGE(OFFSET($CX$3,0,0,'Données projet'!$E$13+1,1))-AVERAGE(OFFSET($H$3,0,0,'Données projet'!$E$13+1,1))</f>
        <v>190.06335940156185</v>
      </c>
      <c r="CZ148" s="59">
        <f t="shared" si="150"/>
        <v>166.43663896839928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</v>
      </c>
      <c r="DG148" s="21">
        <f>EXP(-LN(2)/25)*DG147+(1-EXP(-LN(2)/25))/(LN(2)/25)*Calculateur!DB148*Calculateur!DD148*VLOOKUP('Données projet'!$B$13,Paramètres!$A$1:$I$89,3,0)*0.475*44/12</f>
        <v>0.18417197688786913</v>
      </c>
      <c r="DH148" s="21">
        <f>EXP(-LN(2)/2)*DH147+(1-EXP(-LN(2)/2))/(LN(2)/2)*DB148*DE148*VLOOKUP('Données projet'!$B$13,Paramètres!$A$1:$I$89,3,0)*0.475*44/12</f>
        <v>2.6134183341781988E-17</v>
      </c>
      <c r="DI148" s="22">
        <f t="shared" si="123"/>
        <v>0.18417197688786915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-1.1368683772161603E-13</v>
      </c>
      <c r="DP148" s="17">
        <f>DO148*VLOOKUP('Données projet'!$B$14,Paramètres!$A$1:$I$89,3,0)*VLOOKUP('Données projet'!$B$14,Paramètres!$A$1:$I$89,5,0)</f>
        <v>-1.0995790944434703E-13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261.22357949323879</v>
      </c>
      <c r="DU148" s="59">
        <f t="shared" si="152"/>
        <v>163.41029152029387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0</v>
      </c>
      <c r="EB148" s="21">
        <f>EXP(-LN(2)/25)*EB147+(1-EXP(-LN(2)/25))/(LN(2)/25)*Calculateur!DW148*Calculateur!DY148*VLOOKUP('Données projet'!$B$14,Paramètres!$A$1:$I$89,3,0)*0.475*44/12</f>
        <v>0.13690475178677836</v>
      </c>
      <c r="EC148" s="21">
        <f>EXP(-LN(2)/2)*EC147+(1-EXP(-LN(2)/2))/(LN(2)/2)*DW148*DZ148*VLOOKUP('Données projet'!$B$14,Paramètres!$A$1:$I$89,3,0)*0.475*44/12</f>
        <v>3.2462640097270359E-17</v>
      </c>
      <c r="ED148" s="22">
        <f t="shared" si="126"/>
        <v>0.13690475178677838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-1.1368683772161603E-13</v>
      </c>
      <c r="EK148" s="17">
        <f>EJ148*VLOOKUP('Données projet'!$B$15,Paramètres!$A$1:$I$89,3,0)*VLOOKUP('Données projet'!$B$15,Paramètres!$A$1:$I$89,5,0)</f>
        <v>-5.3205440053716299E-14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123.60520571614535</v>
      </c>
      <c r="EP148" s="59">
        <f t="shared" si="154"/>
        <v>119.00926870519527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8.893486669705776E-2</v>
      </c>
      <c r="EW148" s="21">
        <f>EXP(-LN(2)/25)*EW147+(1-EXP(-LN(2)/25))/(LN(2)/25)*Calculateur!ER148*Calculateur!ET148*VLOOKUP('Données projet'!$B$15,Paramètres!$A$1:$I$89,3,0)*0.475*44/12</f>
        <v>0.1969678199069114</v>
      </c>
      <c r="EX148" s="21">
        <f>EXP(-LN(2)/2)*EX147+(1-EXP(-LN(2)/2))/(LN(2)/2)*ER148*EU148*VLOOKUP('Données projet'!$B$15,Paramètres!$A$1:$I$89,3,0)*0.475*44/12</f>
        <v>2.9997158551951823E-17</v>
      </c>
      <c r="EY148" s="22">
        <f t="shared" si="129"/>
        <v>0.28590268660396922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-8.5265128291212022E-14</v>
      </c>
      <c r="FF148" s="17">
        <f>FE148*VLOOKUP('Données projet'!$B$16,Paramètres!$A$1:$I$89,3,0)*VLOOKUP('Données projet'!$B$16,Paramètres!$A$1:$I$89,5,0)</f>
        <v>-6.2516392063116648E-14</v>
      </c>
      <c r="FG148" s="13" t="e">
        <f t="shared" si="155"/>
        <v>#NUM!</v>
      </c>
      <c r="FH148" s="20" t="e">
        <f t="shared" si="130"/>
        <v>#NUM!</v>
      </c>
      <c r="FI148" s="59" t="e">
        <f t="shared" si="131"/>
        <v>#NUM!</v>
      </c>
      <c r="FJ148" s="59">
        <f ca="1">AVERAGE(OFFSET($FI$3,0,0,'Données projet'!$E$16+1,1))-AVERAGE(OFFSET($H$3,0,0,'Données projet'!$E$16+1,1))</f>
        <v>124.15919323713428</v>
      </c>
      <c r="FK148" s="59">
        <f t="shared" si="156"/>
        <v>157.85954678210715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0</v>
      </c>
      <c r="FR148" s="21">
        <f>EXP(-LN(2)/25)*FR147+(1-EXP(-LN(2)/25))/(LN(2)/25)*Calculateur!FM148*Calculateur!FO148*VLOOKUP('Données projet'!$B$16,Paramètres!$A$1:$I$89,3,0)*0.475*44/12</f>
        <v>0.20726116406209438</v>
      </c>
      <c r="FS148" s="21">
        <f>EXP(-LN(2)/2)*FS147+(1-EXP(-LN(2)/2))/(LN(2)/2)*FM148*FP148*VLOOKUP('Données projet'!$B$16,Paramètres!$A$1:$I$89,3,0)*0.475*44/12</f>
        <v>3.6197175254455995E-17</v>
      </c>
      <c r="FT148" s="22">
        <f t="shared" si="132"/>
        <v>0.20726116406209441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-1.1368683772161603E-13</v>
      </c>
      <c r="O149" s="13">
        <f>N149*VLOOKUP('Données projet'!$B$9,Paramètres!$A$1:$I$89,3,0)*VLOOKUP('Données projet'!$B$9,Paramètres!$A$1:$I$89,5,0)</f>
        <v>-1.0286385077051818E-13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237.22177246688199</v>
      </c>
      <c r="T149" s="59">
        <f t="shared" si="142"/>
        <v>149.27472147904302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</v>
      </c>
      <c r="AA149" s="21">
        <f>EXP(-LN(2)/25)*AA148+(1-EXP(-LN(2)/25))/(LN(2)/25)*Calculateur!V149*Calculateur!X149*VLOOKUP('Données projet'!$B$9,Paramètres!$A$1:$I$89,3,0)*0.475*44/12</f>
        <v>0.12457004646258617</v>
      </c>
      <c r="AB149" s="21">
        <f>EXP(-LN(2)/2)*AB148+(1-EXP(-LN(2)/2))/(LN(2)/2)*V149*Y149*VLOOKUP('Données projet'!$B$9,Paramètres!$A$1:$I$89,3,0)*0.475*44/12</f>
        <v>2.1473614048127349E-17</v>
      </c>
      <c r="AC149" s="22">
        <f t="shared" si="111"/>
        <v>0.1245700464625862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-8.5265128291212022E-14</v>
      </c>
      <c r="AJ149" s="13">
        <f>AI149*VLOOKUP('Données projet'!$B$10,Paramètres!$A$1:$I$89,3,0)*VLOOKUP('Données projet'!$B$10,Paramètres!$A$1:$I$89,5,0)</f>
        <v>-7.4487616075202836E-14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191.94797389630673</v>
      </c>
      <c r="AO149" s="59">
        <f t="shared" si="144"/>
        <v>273.52540822767878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0.25883348905450321</v>
      </c>
      <c r="AV149" s="21">
        <f>EXP(-LN(2)/25)*AV148+(1-EXP(-LN(2)/25))/(LN(2)/25)*Calculateur!AQ149*Calculateur!AS149*VLOOKUP('Données projet'!$B$10,Paramètres!$A$1:$I$89,3,0)*0.475*44/12</f>
        <v>0.5634300271361482</v>
      </c>
      <c r="AW149" s="21">
        <f>EXP(-LN(2)/2)*AW148+(1-EXP(-LN(2)/2))/(LN(2)/2)*AQ149*AT149*VLOOKUP('Données projet'!$B$10,Paramètres!$A$1:$I$89,3,0)*0.475*44/12</f>
        <v>8.0501795922634839E-17</v>
      </c>
      <c r="AX149" s="21">
        <f t="shared" si="114"/>
        <v>0.82226351619065152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72.647148358003676</v>
      </c>
      <c r="BJ149" s="59">
        <f t="shared" si="146"/>
        <v>87.231299224620898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0.12792393201065877</v>
      </c>
      <c r="BQ149" s="21">
        <f>EXP(-LN(2)/25)*BQ148+(1-EXP(-LN(2)/25))/(LN(2)/25)*Calculateur!BL149*Calculateur!BN149*VLOOKUP('Données projet'!$B$11,Paramètres!$A$1:$I$89,3,0)*0.475*44/12</f>
        <v>0.18173021729798877</v>
      </c>
      <c r="BR149" s="21">
        <f>EXP(-LN(2)/2)*BR148+(1-EXP(-LN(2)/2))/(LN(2)/2)*BL149*BO149*VLOOKUP('Données projet'!$B$11,Paramètres!$A$1:$I$89,3,0)*0.475*44/12</f>
        <v>7.9134480783185123E-18</v>
      </c>
      <c r="BS149" s="22">
        <f t="shared" si="117"/>
        <v>0.30965414930864754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5.6843418860808015E-14</v>
      </c>
      <c r="BZ149" s="13">
        <f>BY149*VLOOKUP('Données projet'!$B$12,Paramètres!$A$1:$I$89,3,0)*VLOOKUP('Données projet'!$B$12,Paramètres!$A$1:$I$89,5,0)</f>
        <v>3.3992364478763198E-14</v>
      </c>
      <c r="CA149" s="13">
        <f t="shared" si="147"/>
        <v>5.790027782444094E-13</v>
      </c>
      <c r="CB149" s="20">
        <f t="shared" si="118"/>
        <v>1.0676332069095257E-12</v>
      </c>
      <c r="CC149" s="59">
        <f t="shared" si="119"/>
        <v>293.33333333333439</v>
      </c>
      <c r="CD149" s="59">
        <f ca="1">AVERAGE(OFFSET($CC$3,0,0,'Données projet'!$E$12+1,1))-AVERAGE(OFFSET($H$3,0,0,'Données projet'!$E$12+1,1))</f>
        <v>165.39579887388538</v>
      </c>
      <c r="CE149" s="59">
        <f t="shared" si="148"/>
        <v>155.89639262545802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</v>
      </c>
      <c r="CL149" s="21">
        <f>EXP(-LN(2)/25)*CL148+(1-EXP(-LN(2)/25))/(LN(2)/25)*Calculateur!CG149*Calculateur!CI149*VLOOKUP('Données projet'!$B$12,Paramètres!$A$1:$I$89,3,0)*0.475*44/12</f>
        <v>0.29235018785166217</v>
      </c>
      <c r="CM149" s="21">
        <f>EXP(-LN(2)/2)*CM148+(1-EXP(-LN(2)/2))/(LN(2)/2)*CG149*CJ149*VLOOKUP('Données projet'!$B$12,Paramètres!$A$1:$I$89,3,0)*0.475*44/12</f>
        <v>4.8156047675110807E-17</v>
      </c>
      <c r="CN149" s="22">
        <f t="shared" si="120"/>
        <v>0.29235018785166222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3.4106051316484809E-13</v>
      </c>
      <c r="CU149" s="17">
        <f>CT149*VLOOKUP('Données projet'!$B$13,Paramètres!$A$1:$I$89,3,0)*VLOOKUP('Données projet'!$B$13,Paramètres!$A$1:$I$89,5,0)</f>
        <v>2.6602720026858149E-13</v>
      </c>
      <c r="CV149" s="13">
        <f t="shared" si="149"/>
        <v>3.5662905043956649E-12</v>
      </c>
      <c r="CW149" s="20">
        <f t="shared" si="121"/>
        <v>6.6746200022902298E-12</v>
      </c>
      <c r="CX149" s="59">
        <f t="shared" si="122"/>
        <v>293.33333333333997</v>
      </c>
      <c r="CY149" s="59">
        <f ca="1">AVERAGE(OFFSET($CX$3,0,0,'Données projet'!$E$13+1,1))-AVERAGE(OFFSET($H$3,0,0,'Données projet'!$E$13+1,1))</f>
        <v>190.06335940156185</v>
      </c>
      <c r="CZ149" s="59">
        <f t="shared" si="150"/>
        <v>166.43663896839928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</v>
      </c>
      <c r="DG149" s="21">
        <f>EXP(-LN(2)/25)*DG148+(1-EXP(-LN(2)/25))/(LN(2)/25)*Calculateur!DB149*Calculateur!DD149*VLOOKUP('Données projet'!$B$13,Paramètres!$A$1:$I$89,3,0)*0.475*44/12</f>
        <v>0.17913578449468701</v>
      </c>
      <c r="DH149" s="21">
        <f>EXP(-LN(2)/2)*DH148+(1-EXP(-LN(2)/2))/(LN(2)/2)*DB149*DE149*VLOOKUP('Données projet'!$B$13,Paramètres!$A$1:$I$89,3,0)*0.475*44/12</f>
        <v>1.8479658261746551E-17</v>
      </c>
      <c r="DI149" s="22">
        <f t="shared" si="123"/>
        <v>0.17913578449468703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-1.1368683772161603E-13</v>
      </c>
      <c r="DP149" s="17">
        <f>DO149*VLOOKUP('Données projet'!$B$14,Paramètres!$A$1:$I$89,3,0)*VLOOKUP('Données projet'!$B$14,Paramètres!$A$1:$I$89,5,0)</f>
        <v>-1.0995790944434703E-13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261.22357949323879</v>
      </c>
      <c r="DU149" s="59">
        <f t="shared" si="152"/>
        <v>163.41029152029387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0</v>
      </c>
      <c r="EB149" s="21">
        <f>EXP(-LN(2)/25)*EB148+(1-EXP(-LN(2)/25))/(LN(2)/25)*Calculateur!DW149*Calculateur!DY149*VLOOKUP('Données projet'!$B$14,Paramètres!$A$1:$I$89,3,0)*0.475*44/12</f>
        <v>0.13316108414966091</v>
      </c>
      <c r="EC149" s="21">
        <f>EXP(-LN(2)/2)*EC148+(1-EXP(-LN(2)/2))/(LN(2)/2)*DW149*DZ149*VLOOKUP('Données projet'!$B$14,Paramètres!$A$1:$I$89,3,0)*0.475*44/12</f>
        <v>2.2954552947998196E-17</v>
      </c>
      <c r="ED149" s="22">
        <f t="shared" si="126"/>
        <v>0.13316108414966094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-1.1368683772161603E-13</v>
      </c>
      <c r="EK149" s="17">
        <f>EJ149*VLOOKUP('Données projet'!$B$15,Paramètres!$A$1:$I$89,3,0)*VLOOKUP('Données projet'!$B$15,Paramètres!$A$1:$I$89,5,0)</f>
        <v>-5.3205440053716299E-14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123.60520571614535</v>
      </c>
      <c r="EP149" s="59">
        <f t="shared" si="154"/>
        <v>119.00926870519527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8.7190908206040904E-2</v>
      </c>
      <c r="EW149" s="21">
        <f>EXP(-LN(2)/25)*EW148+(1-EXP(-LN(2)/25))/(LN(2)/25)*Calculateur!ER149*Calculateur!ET149*VLOOKUP('Données projet'!$B$15,Paramètres!$A$1:$I$89,3,0)*0.475*44/12</f>
        <v>0.19158172451346944</v>
      </c>
      <c r="EX149" s="21">
        <f>EXP(-LN(2)/2)*EX148+(1-EXP(-LN(2)/2))/(LN(2)/2)*ER149*EU149*VLOOKUP('Données projet'!$B$15,Paramètres!$A$1:$I$89,3,0)*0.475*44/12</f>
        <v>2.1211194228413171E-17</v>
      </c>
      <c r="EY149" s="22">
        <f t="shared" si="129"/>
        <v>0.27877263271951036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-8.5265128291212022E-14</v>
      </c>
      <c r="FF149" s="17">
        <f>FE149*VLOOKUP('Données projet'!$B$16,Paramètres!$A$1:$I$89,3,0)*VLOOKUP('Données projet'!$B$16,Paramètres!$A$1:$I$89,5,0)</f>
        <v>-6.2516392063116648E-14</v>
      </c>
      <c r="FG149" s="13" t="e">
        <f t="shared" si="155"/>
        <v>#NUM!</v>
      </c>
      <c r="FH149" s="20" t="e">
        <f t="shared" si="130"/>
        <v>#NUM!</v>
      </c>
      <c r="FI149" s="59" t="e">
        <f t="shared" si="131"/>
        <v>#NUM!</v>
      </c>
      <c r="FJ149" s="59">
        <f ca="1">AVERAGE(OFFSET($FI$3,0,0,'Données projet'!$E$16+1,1))-AVERAGE(OFFSET($H$3,0,0,'Données projet'!$E$16+1,1))</f>
        <v>124.15919323713428</v>
      </c>
      <c r="FK149" s="59">
        <f t="shared" si="156"/>
        <v>157.85954678210715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0</v>
      </c>
      <c r="FR149" s="21">
        <f>EXP(-LN(2)/25)*FR148+(1-EXP(-LN(2)/25))/(LN(2)/25)*Calculateur!FM149*Calculateur!FO149*VLOOKUP('Données projet'!$B$16,Paramètres!$A$1:$I$89,3,0)*0.475*44/12</f>
        <v>0.20159359663142551</v>
      </c>
      <c r="FS149" s="21">
        <f>EXP(-LN(2)/2)*FS148+(1-EXP(-LN(2)/2))/(LN(2)/2)*FM149*FP149*VLOOKUP('Données projet'!$B$16,Paramètres!$A$1:$I$89,3,0)*0.475*44/12</f>
        <v>2.5595268082223729E-17</v>
      </c>
      <c r="FT149" s="22">
        <f t="shared" si="132"/>
        <v>0.20159359663142554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-1.1368683772161603E-13</v>
      </c>
      <c r="O150" s="13">
        <f>N150*VLOOKUP('Données projet'!$B$9,Paramètres!$A$1:$I$89,3,0)*VLOOKUP('Données projet'!$B$9,Paramètres!$A$1:$I$89,5,0)</f>
        <v>-1.0286385077051818E-13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237.22177246688199</v>
      </c>
      <c r="T150" s="59">
        <f t="shared" si="142"/>
        <v>149.27472147904302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</v>
      </c>
      <c r="AA150" s="21">
        <f>EXP(-LN(2)/25)*AA149+(1-EXP(-LN(2)/25))/(LN(2)/25)*Calculateur!V150*Calculateur!X150*VLOOKUP('Données projet'!$B$9,Paramètres!$A$1:$I$89,3,0)*0.475*44/12</f>
        <v>0.12116367199121271</v>
      </c>
      <c r="AB150" s="21">
        <f>EXP(-LN(2)/2)*AB149+(1-EXP(-LN(2)/2))/(LN(2)/2)*V150*Y150*VLOOKUP('Données projet'!$B$9,Paramètres!$A$1:$I$89,3,0)*0.475*44/12</f>
        <v>1.5184138110013558E-17</v>
      </c>
      <c r="AC150" s="22">
        <f t="shared" si="111"/>
        <v>0.12116367199121272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-8.5265128291212022E-14</v>
      </c>
      <c r="AJ150" s="13">
        <f>AI150*VLOOKUP('Données projet'!$B$10,Paramètres!$A$1:$I$89,3,0)*VLOOKUP('Données projet'!$B$10,Paramètres!$A$1:$I$89,5,0)</f>
        <v>-7.4487616075202836E-14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191.94797389630673</v>
      </c>
      <c r="AO150" s="59">
        <f t="shared" si="144"/>
        <v>273.52540822767878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0.25375792220698407</v>
      </c>
      <c r="AV150" s="21">
        <f>EXP(-LN(2)/25)*AV149+(1-EXP(-LN(2)/25))/(LN(2)/25)*Calculateur!AQ150*Calculateur!AS150*VLOOKUP('Données projet'!$B$10,Paramètres!$A$1:$I$89,3,0)*0.475*44/12</f>
        <v>0.54802300341461285</v>
      </c>
      <c r="AW150" s="21">
        <f>EXP(-LN(2)/2)*AW149+(1-EXP(-LN(2)/2))/(LN(2)/2)*AQ150*AT150*VLOOKUP('Données projet'!$B$10,Paramètres!$A$1:$I$89,3,0)*0.475*44/12</f>
        <v>5.6923365794590655E-17</v>
      </c>
      <c r="AX150" s="21">
        <f t="shared" si="114"/>
        <v>0.80178092562159697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72.647148358003676</v>
      </c>
      <c r="BJ150" s="59">
        <f t="shared" si="146"/>
        <v>87.231299224620898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0.12541542172982387</v>
      </c>
      <c r="BQ150" s="21">
        <f>EXP(-LN(2)/25)*BQ149+(1-EXP(-LN(2)/25))/(LN(2)/25)*Calculateur!BL150*Calculateur!BN150*VLOOKUP('Données projet'!$B$11,Paramètres!$A$1:$I$89,3,0)*0.475*44/12</f>
        <v>0.1767607949491985</v>
      </c>
      <c r="BR150" s="21">
        <f>EXP(-LN(2)/2)*BR149+(1-EXP(-LN(2)/2))/(LN(2)/2)*BL150*BO150*VLOOKUP('Données projet'!$B$11,Paramètres!$A$1:$I$89,3,0)*0.475*44/12</f>
        <v>5.5956527987466733E-18</v>
      </c>
      <c r="BS150" s="22">
        <f t="shared" si="117"/>
        <v>0.30217621667902239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5.6843418860808015E-14</v>
      </c>
      <c r="BZ150" s="13">
        <f>BY150*VLOOKUP('Données projet'!$B$12,Paramètres!$A$1:$I$89,3,0)*VLOOKUP('Données projet'!$B$12,Paramètres!$A$1:$I$89,5,0)</f>
        <v>3.3992364478763198E-14</v>
      </c>
      <c r="CA150" s="13">
        <f t="shared" si="147"/>
        <v>5.790027782444094E-13</v>
      </c>
      <c r="CB150" s="20">
        <f t="shared" si="118"/>
        <v>1.0676332069095257E-12</v>
      </c>
      <c r="CC150" s="59">
        <f t="shared" si="119"/>
        <v>293.33333333333439</v>
      </c>
      <c r="CD150" s="59">
        <f ca="1">AVERAGE(OFFSET($CC$3,0,0,'Données projet'!$E$12+1,1))-AVERAGE(OFFSET($H$3,0,0,'Données projet'!$E$12+1,1))</f>
        <v>165.39579887388538</v>
      </c>
      <c r="CE150" s="59">
        <f t="shared" si="148"/>
        <v>155.89639262545802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</v>
      </c>
      <c r="CL150" s="21">
        <f>EXP(-LN(2)/25)*CL149+(1-EXP(-LN(2)/25))/(LN(2)/25)*Calculateur!CG150*Calculateur!CI150*VLOOKUP('Données projet'!$B$12,Paramètres!$A$1:$I$89,3,0)*0.475*44/12</f>
        <v>0.28435585659083024</v>
      </c>
      <c r="CM150" s="21">
        <f>EXP(-LN(2)/2)*CM149+(1-EXP(-LN(2)/2))/(LN(2)/2)*CG150*CJ150*VLOOKUP('Données projet'!$B$12,Paramètres!$A$1:$I$89,3,0)*0.475*44/12</f>
        <v>3.4051467866213527E-17</v>
      </c>
      <c r="CN150" s="22">
        <f t="shared" si="120"/>
        <v>0.28435585659083029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3.4106051316484809E-13</v>
      </c>
      <c r="CU150" s="17">
        <f>CT150*VLOOKUP('Données projet'!$B$13,Paramètres!$A$1:$I$89,3,0)*VLOOKUP('Données projet'!$B$13,Paramètres!$A$1:$I$89,5,0)</f>
        <v>2.6602720026858149E-13</v>
      </c>
      <c r="CV150" s="13">
        <f t="shared" si="149"/>
        <v>3.5662905043956649E-12</v>
      </c>
      <c r="CW150" s="20">
        <f t="shared" si="121"/>
        <v>6.6746200022902298E-12</v>
      </c>
      <c r="CX150" s="59">
        <f t="shared" si="122"/>
        <v>293.33333333333997</v>
      </c>
      <c r="CY150" s="59">
        <f ca="1">AVERAGE(OFFSET($CX$3,0,0,'Données projet'!$E$13+1,1))-AVERAGE(OFFSET($H$3,0,0,'Données projet'!$E$13+1,1))</f>
        <v>190.06335940156185</v>
      </c>
      <c r="CZ150" s="59">
        <f t="shared" si="150"/>
        <v>166.43663896839928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</v>
      </c>
      <c r="DG150" s="21">
        <f>EXP(-LN(2)/25)*DG149+(1-EXP(-LN(2)/25))/(LN(2)/25)*Calculateur!DB150*Calculateur!DD150*VLOOKUP('Données projet'!$B$13,Paramètres!$A$1:$I$89,3,0)*0.475*44/12</f>
        <v>0.17423730704733831</v>
      </c>
      <c r="DH150" s="21">
        <f>EXP(-LN(2)/2)*DH149+(1-EXP(-LN(2)/2))/(LN(2)/2)*DB150*DE150*VLOOKUP('Données projet'!$B$13,Paramètres!$A$1:$I$89,3,0)*0.475*44/12</f>
        <v>1.3067091670890994E-17</v>
      </c>
      <c r="DI150" s="22">
        <f t="shared" si="123"/>
        <v>0.17423730704733831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-1.1368683772161603E-13</v>
      </c>
      <c r="DP150" s="17">
        <f>DO150*VLOOKUP('Données projet'!$B$14,Paramètres!$A$1:$I$89,3,0)*VLOOKUP('Données projet'!$B$14,Paramètres!$A$1:$I$89,5,0)</f>
        <v>-1.0995790944434703E-13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261.22357949323879</v>
      </c>
      <c r="DU150" s="59">
        <f t="shared" si="152"/>
        <v>163.41029152029387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0</v>
      </c>
      <c r="EB150" s="21">
        <f>EXP(-LN(2)/25)*EB149+(1-EXP(-LN(2)/25))/(LN(2)/25)*Calculateur!DW150*Calculateur!DY150*VLOOKUP('Données projet'!$B$14,Paramètres!$A$1:$I$89,3,0)*0.475*44/12</f>
        <v>0.12951978730095137</v>
      </c>
      <c r="EC150" s="21">
        <f>EXP(-LN(2)/2)*EC149+(1-EXP(-LN(2)/2))/(LN(2)/2)*DW150*DZ150*VLOOKUP('Données projet'!$B$14,Paramètres!$A$1:$I$89,3,0)*0.475*44/12</f>
        <v>1.6231320048635179E-17</v>
      </c>
      <c r="ED150" s="22">
        <f t="shared" si="126"/>
        <v>0.1295197873009514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-1.1368683772161603E-13</v>
      </c>
      <c r="EK150" s="17">
        <f>EJ150*VLOOKUP('Données projet'!$B$15,Paramètres!$A$1:$I$89,3,0)*VLOOKUP('Données projet'!$B$15,Paramètres!$A$1:$I$89,5,0)</f>
        <v>-5.3205440053716299E-14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123.60520571614535</v>
      </c>
      <c r="EP150" s="59">
        <f t="shared" si="154"/>
        <v>119.00926870519527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8.5481147677323246E-2</v>
      </c>
      <c r="EW150" s="21">
        <f>EXP(-LN(2)/25)*EW149+(1-EXP(-LN(2)/25))/(LN(2)/25)*Calculateur!ER150*Calculateur!ET150*VLOOKUP('Données projet'!$B$15,Paramètres!$A$1:$I$89,3,0)*0.475*44/12</f>
        <v>0.1863429121818036</v>
      </c>
      <c r="EX150" s="21">
        <f>EXP(-LN(2)/2)*EX149+(1-EXP(-LN(2)/2))/(LN(2)/2)*ER150*EU150*VLOOKUP('Données projet'!$B$15,Paramètres!$A$1:$I$89,3,0)*0.475*44/12</f>
        <v>1.4998579275975912E-17</v>
      </c>
      <c r="EY150" s="22">
        <f t="shared" si="129"/>
        <v>0.27182405985912683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-8.5265128291212022E-14</v>
      </c>
      <c r="FF150" s="17">
        <f>FE150*VLOOKUP('Données projet'!$B$16,Paramètres!$A$1:$I$89,3,0)*VLOOKUP('Données projet'!$B$16,Paramètres!$A$1:$I$89,5,0)</f>
        <v>-6.2516392063116648E-14</v>
      </c>
      <c r="FG150" s="13" t="e">
        <f t="shared" si="155"/>
        <v>#NUM!</v>
      </c>
      <c r="FH150" s="20" t="e">
        <f t="shared" si="130"/>
        <v>#NUM!</v>
      </c>
      <c r="FI150" s="59" t="e">
        <f t="shared" si="131"/>
        <v>#NUM!</v>
      </c>
      <c r="FJ150" s="59">
        <f ca="1">AVERAGE(OFFSET($FI$3,0,0,'Données projet'!$E$16+1,1))-AVERAGE(OFFSET($H$3,0,0,'Données projet'!$E$16+1,1))</f>
        <v>124.15919323713428</v>
      </c>
      <c r="FK150" s="59">
        <f t="shared" si="156"/>
        <v>157.85954678210715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0</v>
      </c>
      <c r="FR150" s="21">
        <f>EXP(-LN(2)/25)*FR149+(1-EXP(-LN(2)/25))/(LN(2)/25)*Calculateur!FM150*Calculateur!FO150*VLOOKUP('Données projet'!$B$16,Paramètres!$A$1:$I$89,3,0)*0.475*44/12</f>
        <v>0.19608100913019269</v>
      </c>
      <c r="FS150" s="21">
        <f>EXP(-LN(2)/2)*FS149+(1-EXP(-LN(2)/2))/(LN(2)/2)*FM150*FP150*VLOOKUP('Données projet'!$B$16,Paramètres!$A$1:$I$89,3,0)*0.475*44/12</f>
        <v>1.8098587627227998E-17</v>
      </c>
      <c r="FT150" s="22">
        <f t="shared" si="132"/>
        <v>0.19608100913019272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-1.1368683772161603E-13</v>
      </c>
      <c r="O151" s="13">
        <f>N151*VLOOKUP('Données projet'!$B$9,Paramètres!$A$1:$I$89,3,0)*VLOOKUP('Données projet'!$B$9,Paramètres!$A$1:$I$89,5,0)</f>
        <v>-1.0286385077051818E-13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237.22177246688199</v>
      </c>
      <c r="T151" s="59">
        <f t="shared" si="142"/>
        <v>149.27472147904302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</v>
      </c>
      <c r="AA151" s="21">
        <f>EXP(-LN(2)/25)*AA150+(1-EXP(-LN(2)/25))/(LN(2)/25)*Calculateur!V151*Calculateur!X151*VLOOKUP('Données projet'!$B$9,Paramètres!$A$1:$I$89,3,0)*0.475*44/12</f>
        <v>0.11785044500889241</v>
      </c>
      <c r="AB151" s="21">
        <f>EXP(-LN(2)/2)*AB150+(1-EXP(-LN(2)/2))/(LN(2)/2)*V151*Y151*VLOOKUP('Données projet'!$B$9,Paramètres!$A$1:$I$89,3,0)*0.475*44/12</f>
        <v>1.0736807024063674E-17</v>
      </c>
      <c r="AC151" s="22">
        <f t="shared" si="111"/>
        <v>0.11785044500889243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-8.5265128291212022E-14</v>
      </c>
      <c r="AJ151" s="13">
        <f>AI151*VLOOKUP('Données projet'!$B$10,Paramètres!$A$1:$I$89,3,0)*VLOOKUP('Données projet'!$B$10,Paramètres!$A$1:$I$89,5,0)</f>
        <v>-7.4487616075202836E-14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191.94797389630673</v>
      </c>
      <c r="AO151" s="59">
        <f t="shared" si="144"/>
        <v>273.52540822767878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0.24878188412955468</v>
      </c>
      <c r="AV151" s="21">
        <f>EXP(-LN(2)/25)*AV150+(1-EXP(-LN(2)/25))/(LN(2)/25)*Calculateur!AQ151*Calculateur!AS151*VLOOKUP('Données projet'!$B$10,Paramètres!$A$1:$I$89,3,0)*0.475*44/12</f>
        <v>0.53303728556696306</v>
      </c>
      <c r="AW151" s="21">
        <f>EXP(-LN(2)/2)*AW150+(1-EXP(-LN(2)/2))/(LN(2)/2)*AQ151*AT151*VLOOKUP('Données projet'!$B$10,Paramètres!$A$1:$I$89,3,0)*0.475*44/12</f>
        <v>4.025089796131742E-17</v>
      </c>
      <c r="AX151" s="21">
        <f t="shared" si="114"/>
        <v>0.78181916969651777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72.647148358003676</v>
      </c>
      <c r="BJ151" s="59">
        <f t="shared" si="146"/>
        <v>87.231299224620898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0.12295610180555594</v>
      </c>
      <c r="BQ151" s="21">
        <f>EXP(-LN(2)/25)*BQ150+(1-EXP(-LN(2)/25))/(LN(2)/25)*Calculateur!BL151*Calculateur!BN151*VLOOKUP('Données projet'!$B$11,Paramètres!$A$1:$I$89,3,0)*0.475*44/12</f>
        <v>0.17192726171586645</v>
      </c>
      <c r="BR151" s="21">
        <f>EXP(-LN(2)/2)*BR150+(1-EXP(-LN(2)/2))/(LN(2)/2)*BL151*BO151*VLOOKUP('Données projet'!$B$11,Paramètres!$A$1:$I$89,3,0)*0.475*44/12</f>
        <v>3.9567240391592561E-18</v>
      </c>
      <c r="BS151" s="22">
        <f t="shared" si="117"/>
        <v>0.29488336352142241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5.6843418860808015E-14</v>
      </c>
      <c r="BZ151" s="13">
        <f>BY151*VLOOKUP('Données projet'!$B$12,Paramètres!$A$1:$I$89,3,0)*VLOOKUP('Données projet'!$B$12,Paramètres!$A$1:$I$89,5,0)</f>
        <v>3.3992364478763198E-14</v>
      </c>
      <c r="CA151" s="13">
        <f t="shared" si="147"/>
        <v>5.790027782444094E-13</v>
      </c>
      <c r="CB151" s="20">
        <f t="shared" si="118"/>
        <v>1.0676332069095257E-12</v>
      </c>
      <c r="CC151" s="59">
        <f t="shared" si="119"/>
        <v>293.33333333333439</v>
      </c>
      <c r="CD151" s="59">
        <f ca="1">AVERAGE(OFFSET($CC$3,0,0,'Données projet'!$E$12+1,1))-AVERAGE(OFFSET($H$3,0,0,'Données projet'!$E$12+1,1))</f>
        <v>165.39579887388538</v>
      </c>
      <c r="CE151" s="59">
        <f t="shared" si="148"/>
        <v>155.89639262545802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</v>
      </c>
      <c r="CL151" s="21">
        <f>EXP(-LN(2)/25)*CL150+(1-EXP(-LN(2)/25))/(LN(2)/25)*Calculateur!CG151*Calculateur!CI151*VLOOKUP('Données projet'!$B$12,Paramètres!$A$1:$I$89,3,0)*0.475*44/12</f>
        <v>0.27658013073872939</v>
      </c>
      <c r="CM151" s="21">
        <f>EXP(-LN(2)/2)*CM150+(1-EXP(-LN(2)/2))/(LN(2)/2)*CG151*CJ151*VLOOKUP('Données projet'!$B$12,Paramètres!$A$1:$I$89,3,0)*0.475*44/12</f>
        <v>2.4078023837555403E-17</v>
      </c>
      <c r="CN151" s="22">
        <f t="shared" si="120"/>
        <v>0.27658013073872939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3.4106051316484809E-13</v>
      </c>
      <c r="CU151" s="17">
        <f>CT151*VLOOKUP('Données projet'!$B$13,Paramètres!$A$1:$I$89,3,0)*VLOOKUP('Données projet'!$B$13,Paramètres!$A$1:$I$89,5,0)</f>
        <v>2.6602720026858149E-13</v>
      </c>
      <c r="CV151" s="13">
        <f t="shared" si="149"/>
        <v>3.5662905043956649E-12</v>
      </c>
      <c r="CW151" s="20">
        <f t="shared" si="121"/>
        <v>6.6746200022902298E-12</v>
      </c>
      <c r="CX151" s="59">
        <f t="shared" si="122"/>
        <v>293.33333333333997</v>
      </c>
      <c r="CY151" s="59">
        <f ca="1">AVERAGE(OFFSET($CX$3,0,0,'Données projet'!$E$13+1,1))-AVERAGE(OFFSET($H$3,0,0,'Données projet'!$E$13+1,1))</f>
        <v>190.06335940156185</v>
      </c>
      <c r="CZ151" s="59">
        <f t="shared" si="150"/>
        <v>166.43663896839928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</v>
      </c>
      <c r="DG151" s="21">
        <f>EXP(-LN(2)/25)*DG150+(1-EXP(-LN(2)/25))/(LN(2)/25)*Calculateur!DB151*Calculateur!DD151*VLOOKUP('Données projet'!$B$13,Paramètres!$A$1:$I$89,3,0)*0.475*44/12</f>
        <v>0.16947277872338709</v>
      </c>
      <c r="DH151" s="21">
        <f>EXP(-LN(2)/2)*DH150+(1-EXP(-LN(2)/2))/(LN(2)/2)*DB151*DE151*VLOOKUP('Données projet'!$B$13,Paramètres!$A$1:$I$89,3,0)*0.475*44/12</f>
        <v>9.2398291308732757E-18</v>
      </c>
      <c r="DI151" s="22">
        <f t="shared" si="123"/>
        <v>0.16947277872338709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-1.1368683772161603E-13</v>
      </c>
      <c r="DP151" s="17">
        <f>DO151*VLOOKUP('Données projet'!$B$14,Paramètres!$A$1:$I$89,3,0)*VLOOKUP('Données projet'!$B$14,Paramètres!$A$1:$I$89,5,0)</f>
        <v>-1.0995790944434703E-13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261.22357949323879</v>
      </c>
      <c r="DU151" s="59">
        <f t="shared" si="152"/>
        <v>163.41029152029387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0</v>
      </c>
      <c r="EB151" s="21">
        <f>EXP(-LN(2)/25)*EB150+(1-EXP(-LN(2)/25))/(LN(2)/25)*Calculateur!DW151*Calculateur!DY151*VLOOKUP('Données projet'!$B$14,Paramètres!$A$1:$I$89,3,0)*0.475*44/12</f>
        <v>0.12597806190605726</v>
      </c>
      <c r="EC151" s="21">
        <f>EXP(-LN(2)/2)*EC150+(1-EXP(-LN(2)/2))/(LN(2)/2)*DW151*DZ151*VLOOKUP('Données projet'!$B$14,Paramètres!$A$1:$I$89,3,0)*0.475*44/12</f>
        <v>1.1477276473999098E-17</v>
      </c>
      <c r="ED151" s="22">
        <f t="shared" si="126"/>
        <v>0.12597806190605726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-1.1368683772161603E-13</v>
      </c>
      <c r="EK151" s="17">
        <f>EJ151*VLOOKUP('Données projet'!$B$15,Paramètres!$A$1:$I$89,3,0)*VLOOKUP('Données projet'!$B$15,Paramètres!$A$1:$I$89,5,0)</f>
        <v>-5.3205440053716299E-14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123.60520571614535</v>
      </c>
      <c r="EP151" s="59">
        <f t="shared" si="154"/>
        <v>119.00926870519527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8.3804914509722786E-2</v>
      </c>
      <c r="EW151" s="21">
        <f>EXP(-LN(2)/25)*EW150+(1-EXP(-LN(2)/25))/(LN(2)/25)*Calculateur!ER151*Calculateur!ET151*VLOOKUP('Données projet'!$B$15,Paramètres!$A$1:$I$89,3,0)*0.475*44/12</f>
        <v>0.18124735544884432</v>
      </c>
      <c r="EX151" s="21">
        <f>EXP(-LN(2)/2)*EX150+(1-EXP(-LN(2)/2))/(LN(2)/2)*ER151*EU151*VLOOKUP('Données projet'!$B$15,Paramètres!$A$1:$I$89,3,0)*0.475*44/12</f>
        <v>1.0605597114206586E-17</v>
      </c>
      <c r="EY151" s="22">
        <f t="shared" si="129"/>
        <v>0.26505226995856712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-8.5265128291212022E-14</v>
      </c>
      <c r="FF151" s="17">
        <f>FE151*VLOOKUP('Données projet'!$B$16,Paramètres!$A$1:$I$89,3,0)*VLOOKUP('Données projet'!$B$16,Paramètres!$A$1:$I$89,5,0)</f>
        <v>-6.2516392063116648E-14</v>
      </c>
      <c r="FG151" s="13" t="e">
        <f t="shared" si="155"/>
        <v>#NUM!</v>
      </c>
      <c r="FH151" s="20" t="e">
        <f t="shared" si="130"/>
        <v>#NUM!</v>
      </c>
      <c r="FI151" s="59" t="e">
        <f t="shared" si="131"/>
        <v>#NUM!</v>
      </c>
      <c r="FJ151" s="59">
        <f ca="1">AVERAGE(OFFSET($FI$3,0,0,'Données projet'!$E$16+1,1))-AVERAGE(OFFSET($H$3,0,0,'Données projet'!$E$16+1,1))</f>
        <v>124.15919323713428</v>
      </c>
      <c r="FK151" s="59">
        <f t="shared" si="156"/>
        <v>157.85954678210715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0</v>
      </c>
      <c r="FR151" s="21">
        <f>EXP(-LN(2)/25)*FR150+(1-EXP(-LN(2)/25))/(LN(2)/25)*Calculateur!FM151*Calculateur!FO151*VLOOKUP('Données projet'!$B$16,Paramètres!$A$1:$I$89,3,0)*0.475*44/12</f>
        <v>0.19071916362407546</v>
      </c>
      <c r="FS151" s="21">
        <f>EXP(-LN(2)/2)*FS150+(1-EXP(-LN(2)/2))/(LN(2)/2)*FM151*FP151*VLOOKUP('Données projet'!$B$16,Paramètres!$A$1:$I$89,3,0)*0.475*44/12</f>
        <v>1.2797634041111864E-17</v>
      </c>
      <c r="FT151" s="22">
        <f t="shared" si="132"/>
        <v>0.19071916362407546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-1.1368683772161603E-13</v>
      </c>
      <c r="O152" s="13">
        <f>N152*VLOOKUP('Données projet'!$B$9,Paramètres!$A$1:$I$89,3,0)*VLOOKUP('Données projet'!$B$9,Paramètres!$A$1:$I$89,5,0)</f>
        <v>-1.0286385077051818E-13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237.22177246688199</v>
      </c>
      <c r="T152" s="59">
        <f t="shared" si="142"/>
        <v>149.27472147904302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</v>
      </c>
      <c r="AA152" s="21">
        <f>EXP(-LN(2)/25)*AA151+(1-EXP(-LN(2)/25))/(LN(2)/25)*Calculateur!V152*Calculateur!X152*VLOOKUP('Données projet'!$B$9,Paramètres!$A$1:$I$89,3,0)*0.475*44/12</f>
        <v>0.11462781839263869</v>
      </c>
      <c r="AB152" s="21">
        <f>EXP(-LN(2)/2)*AB151+(1-EXP(-LN(2)/2))/(LN(2)/2)*V152*Y152*VLOOKUP('Données projet'!$B$9,Paramètres!$A$1:$I$89,3,0)*0.475*44/12</f>
        <v>7.592069055006779E-18</v>
      </c>
      <c r="AC152" s="22">
        <f t="shared" si="111"/>
        <v>0.11462781839263871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-8.5265128291212022E-14</v>
      </c>
      <c r="AJ152" s="13">
        <f>AI152*VLOOKUP('Données projet'!$B$10,Paramètres!$A$1:$I$89,3,0)*VLOOKUP('Données projet'!$B$10,Paramètres!$A$1:$I$89,5,0)</f>
        <v>-7.4487616075202836E-14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191.94797389630673</v>
      </c>
      <c r="AO152" s="59">
        <f t="shared" si="144"/>
        <v>273.52540822767878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0.24390342312374017</v>
      </c>
      <c r="AV152" s="21">
        <f>EXP(-LN(2)/25)*AV151+(1-EXP(-LN(2)/25))/(LN(2)/25)*Calculateur!AQ152*Calculateur!AS152*VLOOKUP('Données projet'!$B$10,Paramètres!$A$1:$I$89,3,0)*0.475*44/12</f>
        <v>0.51846135296192186</v>
      </c>
      <c r="AW152" s="21">
        <f>EXP(-LN(2)/2)*AW151+(1-EXP(-LN(2)/2))/(LN(2)/2)*AQ152*AT152*VLOOKUP('Données projet'!$B$10,Paramètres!$A$1:$I$89,3,0)*0.475*44/12</f>
        <v>2.8461682897295327E-17</v>
      </c>
      <c r="AX152" s="21">
        <f t="shared" si="114"/>
        <v>0.762364776085662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72.647148358003676</v>
      </c>
      <c r="BJ152" s="59">
        <f t="shared" si="146"/>
        <v>87.231299224620898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0.12054500764496587</v>
      </c>
      <c r="BQ152" s="21">
        <f>EXP(-LN(2)/25)*BQ151+(1-EXP(-LN(2)/25))/(LN(2)/25)*Calculateur!BL152*Calculateur!BN152*VLOOKUP('Données projet'!$B$11,Paramètres!$A$1:$I$89,3,0)*0.475*44/12</f>
        <v>0.16722590170298432</v>
      </c>
      <c r="BR152" s="21">
        <f>EXP(-LN(2)/2)*BR151+(1-EXP(-LN(2)/2))/(LN(2)/2)*BL152*BO152*VLOOKUP('Données projet'!$B$11,Paramètres!$A$1:$I$89,3,0)*0.475*44/12</f>
        <v>2.7978263993733367E-18</v>
      </c>
      <c r="BS152" s="22">
        <f t="shared" si="117"/>
        <v>0.28777090934795019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5.6843418860808015E-14</v>
      </c>
      <c r="BZ152" s="13">
        <f>BY152*VLOOKUP('Données projet'!$B$12,Paramètres!$A$1:$I$89,3,0)*VLOOKUP('Données projet'!$B$12,Paramètres!$A$1:$I$89,5,0)</f>
        <v>3.3992364478763198E-14</v>
      </c>
      <c r="CA152" s="13">
        <f t="shared" si="147"/>
        <v>5.790027782444094E-13</v>
      </c>
      <c r="CB152" s="20">
        <f t="shared" si="118"/>
        <v>1.0676332069095257E-12</v>
      </c>
      <c r="CC152" s="59">
        <f t="shared" si="119"/>
        <v>293.33333333333439</v>
      </c>
      <c r="CD152" s="59">
        <f ca="1">AVERAGE(OFFSET($CC$3,0,0,'Données projet'!$E$12+1,1))-AVERAGE(OFFSET($H$3,0,0,'Données projet'!$E$12+1,1))</f>
        <v>165.39579887388538</v>
      </c>
      <c r="CE152" s="59">
        <f t="shared" si="148"/>
        <v>155.89639262545802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</v>
      </c>
      <c r="CL152" s="21">
        <f>EXP(-LN(2)/25)*CL151+(1-EXP(-LN(2)/25))/(LN(2)/25)*Calculateur!CG152*Calculateur!CI152*VLOOKUP('Données projet'!$B$12,Paramètres!$A$1:$I$89,3,0)*0.475*44/12</f>
        <v>0.26901703251896192</v>
      </c>
      <c r="CM152" s="21">
        <f>EXP(-LN(2)/2)*CM151+(1-EXP(-LN(2)/2))/(LN(2)/2)*CG152*CJ152*VLOOKUP('Données projet'!$B$12,Paramètres!$A$1:$I$89,3,0)*0.475*44/12</f>
        <v>1.7025733933106764E-17</v>
      </c>
      <c r="CN152" s="22">
        <f t="shared" si="120"/>
        <v>0.26901703251896192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3.4106051316484809E-13</v>
      </c>
      <c r="CU152" s="17">
        <f>CT152*VLOOKUP('Données projet'!$B$13,Paramètres!$A$1:$I$89,3,0)*VLOOKUP('Données projet'!$B$13,Paramètres!$A$1:$I$89,5,0)</f>
        <v>2.6602720026858149E-13</v>
      </c>
      <c r="CV152" s="13">
        <f t="shared" si="149"/>
        <v>3.5662905043956649E-12</v>
      </c>
      <c r="CW152" s="20">
        <f t="shared" si="121"/>
        <v>6.6746200022902298E-12</v>
      </c>
      <c r="CX152" s="59">
        <f t="shared" si="122"/>
        <v>293.33333333333997</v>
      </c>
      <c r="CY152" s="59">
        <f ca="1">AVERAGE(OFFSET($CX$3,0,0,'Données projet'!$E$13+1,1))-AVERAGE(OFFSET($H$3,0,0,'Données projet'!$E$13+1,1))</f>
        <v>190.06335940156185</v>
      </c>
      <c r="CZ152" s="59">
        <f t="shared" si="150"/>
        <v>166.43663896839928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</v>
      </c>
      <c r="DG152" s="21">
        <f>EXP(-LN(2)/25)*DG151+(1-EXP(-LN(2)/25))/(LN(2)/25)*Calculateur!DB152*Calculateur!DD152*VLOOKUP('Données projet'!$B$13,Paramètres!$A$1:$I$89,3,0)*0.475*44/12</f>
        <v>0.16483853667700998</v>
      </c>
      <c r="DH152" s="21">
        <f>EXP(-LN(2)/2)*DH151+(1-EXP(-LN(2)/2))/(LN(2)/2)*DB152*DE152*VLOOKUP('Données projet'!$B$13,Paramètres!$A$1:$I$89,3,0)*0.475*44/12</f>
        <v>6.533545835445497E-18</v>
      </c>
      <c r="DI152" s="22">
        <f t="shared" si="123"/>
        <v>0.16483853667700998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-1.1368683772161603E-13</v>
      </c>
      <c r="DP152" s="17">
        <f>DO152*VLOOKUP('Données projet'!$B$14,Paramètres!$A$1:$I$89,3,0)*VLOOKUP('Données projet'!$B$14,Paramètres!$A$1:$I$89,5,0)</f>
        <v>-1.0995790944434703E-13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261.22357949323879</v>
      </c>
      <c r="DU152" s="59">
        <f t="shared" si="152"/>
        <v>163.41029152029387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0</v>
      </c>
      <c r="EB152" s="21">
        <f>EXP(-LN(2)/25)*EB151+(1-EXP(-LN(2)/25))/(LN(2)/25)*Calculateur!DW152*Calculateur!DY152*VLOOKUP('Données projet'!$B$14,Paramètres!$A$1:$I$89,3,0)*0.475*44/12</f>
        <v>0.12253318517833778</v>
      </c>
      <c r="EC152" s="21">
        <f>EXP(-LN(2)/2)*EC151+(1-EXP(-LN(2)/2))/(LN(2)/2)*DW152*DZ152*VLOOKUP('Données projet'!$B$14,Paramètres!$A$1:$I$89,3,0)*0.475*44/12</f>
        <v>8.1156600243175897E-18</v>
      </c>
      <c r="ED152" s="22">
        <f t="shared" si="126"/>
        <v>0.12253318517833779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-1.1368683772161603E-13</v>
      </c>
      <c r="EK152" s="17">
        <f>EJ152*VLOOKUP('Données projet'!$B$15,Paramètres!$A$1:$I$89,3,0)*VLOOKUP('Données projet'!$B$15,Paramètres!$A$1:$I$89,5,0)</f>
        <v>-5.3205440053716299E-14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123.60520571614535</v>
      </c>
      <c r="EP152" s="59">
        <f t="shared" si="154"/>
        <v>119.00926870519527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8.2161551252137699E-2</v>
      </c>
      <c r="EW152" s="21">
        <f>EXP(-LN(2)/25)*EW151+(1-EXP(-LN(2)/25))/(LN(2)/25)*Calculateur!ER152*Calculateur!ET152*VLOOKUP('Données projet'!$B$15,Paramètres!$A$1:$I$89,3,0)*0.475*44/12</f>
        <v>0.17629113698271151</v>
      </c>
      <c r="EX152" s="21">
        <f>EXP(-LN(2)/2)*EX151+(1-EXP(-LN(2)/2))/(LN(2)/2)*ER152*EU152*VLOOKUP('Données projet'!$B$15,Paramètres!$A$1:$I$89,3,0)*0.475*44/12</f>
        <v>7.4992896379879559E-18</v>
      </c>
      <c r="EY152" s="22">
        <f t="shared" si="129"/>
        <v>0.25845268823484924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-8.5265128291212022E-14</v>
      </c>
      <c r="FF152" s="17">
        <f>FE152*VLOOKUP('Données projet'!$B$16,Paramètres!$A$1:$I$89,3,0)*VLOOKUP('Données projet'!$B$16,Paramètres!$A$1:$I$89,5,0)</f>
        <v>-6.2516392063116648E-14</v>
      </c>
      <c r="FG152" s="13" t="e">
        <f t="shared" si="155"/>
        <v>#NUM!</v>
      </c>
      <c r="FH152" s="20" t="e">
        <f t="shared" si="130"/>
        <v>#NUM!</v>
      </c>
      <c r="FI152" s="59" t="e">
        <f t="shared" si="131"/>
        <v>#NUM!</v>
      </c>
      <c r="FJ152" s="59">
        <f ca="1">AVERAGE(OFFSET($FI$3,0,0,'Données projet'!$E$16+1,1))-AVERAGE(OFFSET($H$3,0,0,'Données projet'!$E$16+1,1))</f>
        <v>124.15919323713428</v>
      </c>
      <c r="FK152" s="59">
        <f t="shared" si="156"/>
        <v>157.85954678210715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0</v>
      </c>
      <c r="FR152" s="21">
        <f>EXP(-LN(2)/25)*FR151+(1-EXP(-LN(2)/25))/(LN(2)/25)*Calculateur!FM152*Calculateur!FO152*VLOOKUP('Données projet'!$B$16,Paramètres!$A$1:$I$89,3,0)*0.475*44/12</f>
        <v>0.1855039380652902</v>
      </c>
      <c r="FS152" s="21">
        <f>EXP(-LN(2)/2)*FS151+(1-EXP(-LN(2)/2))/(LN(2)/2)*FM152*FP152*VLOOKUP('Données projet'!$B$16,Paramètres!$A$1:$I$89,3,0)*0.475*44/12</f>
        <v>9.0492938136139988E-18</v>
      </c>
      <c r="FT152" s="22">
        <f t="shared" si="132"/>
        <v>0.1855039380652902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-1.1368683772161603E-13</v>
      </c>
      <c r="O153" s="13">
        <f>N153*VLOOKUP('Données projet'!$B$9,Paramètres!$A$1:$I$89,3,0)*VLOOKUP('Données projet'!$B$9,Paramètres!$A$1:$I$89,5,0)</f>
        <v>-1.0286385077051818E-13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237.22177246688199</v>
      </c>
      <c r="T153" s="59">
        <f t="shared" si="142"/>
        <v>149.27472147904302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</v>
      </c>
      <c r="AA153" s="21">
        <f>EXP(-LN(2)/25)*AA152+(1-EXP(-LN(2)/25))/(LN(2)/25)*Calculateur!V153*Calculateur!X153*VLOOKUP('Données projet'!$B$9,Paramètres!$A$1:$I$89,3,0)*0.475*44/12</f>
        <v>0.111493314670677</v>
      </c>
      <c r="AB153" s="21">
        <f>EXP(-LN(2)/2)*AB152+(1-EXP(-LN(2)/2))/(LN(2)/2)*V153*Y153*VLOOKUP('Données projet'!$B$9,Paramètres!$A$1:$I$89,3,0)*0.475*44/12</f>
        <v>5.3684035120318372E-18</v>
      </c>
      <c r="AC153" s="22">
        <f t="shared" si="111"/>
        <v>0.111493314670677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-8.5265128291212022E-14</v>
      </c>
      <c r="AJ153" s="13">
        <f>AI153*VLOOKUP('Données projet'!$B$10,Paramètres!$A$1:$I$89,3,0)*VLOOKUP('Données projet'!$B$10,Paramètres!$A$1:$I$89,5,0)</f>
        <v>-7.4487616075202836E-14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191.94797389630673</v>
      </c>
      <c r="AO153" s="59">
        <f t="shared" si="144"/>
        <v>273.52540822767878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0.23912062576268225</v>
      </c>
      <c r="AV153" s="21">
        <f>EXP(-LN(2)/25)*AV152+(1-EXP(-LN(2)/25))/(LN(2)/25)*Calculateur!AQ153*Calculateur!AS153*VLOOKUP('Données projet'!$B$10,Paramètres!$A$1:$I$89,3,0)*0.475*44/12</f>
        <v>0.50428400000048057</v>
      </c>
      <c r="AW153" s="21">
        <f>EXP(-LN(2)/2)*AW152+(1-EXP(-LN(2)/2))/(LN(2)/2)*AQ153*AT153*VLOOKUP('Données projet'!$B$10,Paramètres!$A$1:$I$89,3,0)*0.475*44/12</f>
        <v>2.012544898065871E-17</v>
      </c>
      <c r="AX153" s="21">
        <f t="shared" si="114"/>
        <v>0.7434046257631628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72.647148358003676</v>
      </c>
      <c r="BJ153" s="59">
        <f t="shared" si="146"/>
        <v>87.231299224620898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0.11818119357024275</v>
      </c>
      <c r="BQ153" s="21">
        <f>EXP(-LN(2)/25)*BQ152+(1-EXP(-LN(2)/25))/(LN(2)/25)*Calculateur!BL153*Calculateur!BN153*VLOOKUP('Données projet'!$B$11,Paramètres!$A$1:$I$89,3,0)*0.475*44/12</f>
        <v>0.16265310062688823</v>
      </c>
      <c r="BR153" s="21">
        <f>EXP(-LN(2)/2)*BR152+(1-EXP(-LN(2)/2))/(LN(2)/2)*BL153*BO153*VLOOKUP('Données projet'!$B$11,Paramètres!$A$1:$I$89,3,0)*0.475*44/12</f>
        <v>1.9783620195796281E-18</v>
      </c>
      <c r="BS153" s="22">
        <f t="shared" si="117"/>
        <v>0.28083429419713096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5.6843418860808015E-14</v>
      </c>
      <c r="BZ153" s="13">
        <f>BY153*VLOOKUP('Données projet'!$B$12,Paramètres!$A$1:$I$89,3,0)*VLOOKUP('Données projet'!$B$12,Paramètres!$A$1:$I$89,5,0)</f>
        <v>3.3992364478763198E-14</v>
      </c>
      <c r="CA153" s="13">
        <f t="shared" si="147"/>
        <v>5.790027782444094E-13</v>
      </c>
      <c r="CB153" s="20">
        <f t="shared" si="118"/>
        <v>1.0676332069095257E-12</v>
      </c>
      <c r="CC153" s="59">
        <f t="shared" si="119"/>
        <v>293.33333333333439</v>
      </c>
      <c r="CD153" s="59">
        <f ca="1">AVERAGE(OFFSET($CC$3,0,0,'Données projet'!$E$12+1,1))-AVERAGE(OFFSET($H$3,0,0,'Données projet'!$E$12+1,1))</f>
        <v>165.39579887388538</v>
      </c>
      <c r="CE153" s="59">
        <f t="shared" si="148"/>
        <v>155.89639262545802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</v>
      </c>
      <c r="CL153" s="21">
        <f>EXP(-LN(2)/25)*CL152+(1-EXP(-LN(2)/25))/(LN(2)/25)*Calculateur!CG153*Calculateur!CI153*VLOOKUP('Données projet'!$B$12,Paramètres!$A$1:$I$89,3,0)*0.475*44/12</f>
        <v>0.26166074761774</v>
      </c>
      <c r="CM153" s="21">
        <f>EXP(-LN(2)/2)*CM152+(1-EXP(-LN(2)/2))/(LN(2)/2)*CG153*CJ153*VLOOKUP('Données projet'!$B$12,Paramètres!$A$1:$I$89,3,0)*0.475*44/12</f>
        <v>1.2039011918777702E-17</v>
      </c>
      <c r="CN153" s="22">
        <f t="shared" si="120"/>
        <v>0.26166074761774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3.4106051316484809E-13</v>
      </c>
      <c r="CU153" s="17">
        <f>CT153*VLOOKUP('Données projet'!$B$13,Paramètres!$A$1:$I$89,3,0)*VLOOKUP('Données projet'!$B$13,Paramètres!$A$1:$I$89,5,0)</f>
        <v>2.6602720026858149E-13</v>
      </c>
      <c r="CV153" s="13">
        <f t="shared" si="149"/>
        <v>3.5662905043956649E-12</v>
      </c>
      <c r="CW153" s="20">
        <f t="shared" si="121"/>
        <v>6.6746200022902298E-12</v>
      </c>
      <c r="CX153" s="59">
        <f t="shared" si="122"/>
        <v>293.33333333333997</v>
      </c>
      <c r="CY153" s="59">
        <f ca="1">AVERAGE(OFFSET($CX$3,0,0,'Données projet'!$E$13+1,1))-AVERAGE(OFFSET($H$3,0,0,'Données projet'!$E$13+1,1))</f>
        <v>190.06335940156185</v>
      </c>
      <c r="CZ153" s="59">
        <f t="shared" si="150"/>
        <v>166.43663896839928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</v>
      </c>
      <c r="DG153" s="21">
        <f>EXP(-LN(2)/25)*DG152+(1-EXP(-LN(2)/25))/(LN(2)/25)*Calculateur!DB153*Calculateur!DD153*VLOOKUP('Données projet'!$B$13,Paramètres!$A$1:$I$89,3,0)*0.475*44/12</f>
        <v>0.16033101822309526</v>
      </c>
      <c r="DH153" s="21">
        <f>EXP(-LN(2)/2)*DH152+(1-EXP(-LN(2)/2))/(LN(2)/2)*DB153*DE153*VLOOKUP('Données projet'!$B$13,Paramètres!$A$1:$I$89,3,0)*0.475*44/12</f>
        <v>4.6199145654366378E-18</v>
      </c>
      <c r="DI153" s="22">
        <f t="shared" si="123"/>
        <v>0.16033101822309526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-1.1368683772161603E-13</v>
      </c>
      <c r="DP153" s="17">
        <f>DO153*VLOOKUP('Données projet'!$B$14,Paramètres!$A$1:$I$89,3,0)*VLOOKUP('Données projet'!$B$14,Paramètres!$A$1:$I$89,5,0)</f>
        <v>-1.0995790944434703E-13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261.22357949323879</v>
      </c>
      <c r="DU153" s="59">
        <f t="shared" si="152"/>
        <v>163.41029152029387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0</v>
      </c>
      <c r="EB153" s="21">
        <f>EXP(-LN(2)/25)*EB152+(1-EXP(-LN(2)/25))/(LN(2)/25)*Calculateur!DW153*Calculateur!DY153*VLOOKUP('Données projet'!$B$14,Paramètres!$A$1:$I$89,3,0)*0.475*44/12</f>
        <v>0.11918250878589598</v>
      </c>
      <c r="EC153" s="21">
        <f>EXP(-LN(2)/2)*EC152+(1-EXP(-LN(2)/2))/(LN(2)/2)*DW153*DZ153*VLOOKUP('Données projet'!$B$14,Paramètres!$A$1:$I$89,3,0)*0.475*44/12</f>
        <v>5.738638236999549E-18</v>
      </c>
      <c r="ED153" s="22">
        <f t="shared" si="126"/>
        <v>0.11918250878589598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-1.1368683772161603E-13</v>
      </c>
      <c r="EK153" s="17">
        <f>EJ153*VLOOKUP('Données projet'!$B$15,Paramètres!$A$1:$I$89,3,0)*VLOOKUP('Données projet'!$B$15,Paramètres!$A$1:$I$89,5,0)</f>
        <v>-5.3205440053716299E-14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123.60520571614535</v>
      </c>
      <c r="EP153" s="59">
        <f t="shared" si="154"/>
        <v>119.00926870519527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8.0550413345681235E-2</v>
      </c>
      <c r="EW153" s="21">
        <f>EXP(-LN(2)/25)*EW152+(1-EXP(-LN(2)/25))/(LN(2)/25)*Calculateur!ER153*Calculateur!ET153*VLOOKUP('Données projet'!$B$15,Paramètres!$A$1:$I$89,3,0)*0.475*44/12</f>
        <v>0.17147044657117128</v>
      </c>
      <c r="EX153" s="21">
        <f>EXP(-LN(2)/2)*EX152+(1-EXP(-LN(2)/2))/(LN(2)/2)*ER153*EU153*VLOOKUP('Données projet'!$B$15,Paramètres!$A$1:$I$89,3,0)*0.475*44/12</f>
        <v>5.3027985571032928E-18</v>
      </c>
      <c r="EY153" s="22">
        <f t="shared" si="129"/>
        <v>0.25202085991685252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-8.5265128291212022E-14</v>
      </c>
      <c r="FF153" s="17">
        <f>FE153*VLOOKUP('Données projet'!$B$16,Paramètres!$A$1:$I$89,3,0)*VLOOKUP('Données projet'!$B$16,Paramètres!$A$1:$I$89,5,0)</f>
        <v>-6.2516392063116648E-14</v>
      </c>
      <c r="FG153" s="13" t="e">
        <f t="shared" si="155"/>
        <v>#NUM!</v>
      </c>
      <c r="FH153" s="20" t="e">
        <f t="shared" si="130"/>
        <v>#NUM!</v>
      </c>
      <c r="FI153" s="59" t="e">
        <f t="shared" si="131"/>
        <v>#NUM!</v>
      </c>
      <c r="FJ153" s="59">
        <f ca="1">AVERAGE(OFFSET($FI$3,0,0,'Données projet'!$E$16+1,1))-AVERAGE(OFFSET($H$3,0,0,'Données projet'!$E$16+1,1))</f>
        <v>124.15919323713428</v>
      </c>
      <c r="FK153" s="59">
        <f t="shared" si="156"/>
        <v>157.85954678210715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0</v>
      </c>
      <c r="FR153" s="21">
        <f>EXP(-LN(2)/25)*FR152+(1-EXP(-LN(2)/25))/(LN(2)/25)*Calculateur!FM153*Calculateur!FO153*VLOOKUP('Données projet'!$B$16,Paramètres!$A$1:$I$89,3,0)*0.475*44/12</f>
        <v>0.18043132312366672</v>
      </c>
      <c r="FS153" s="21">
        <f>EXP(-LN(2)/2)*FS152+(1-EXP(-LN(2)/2))/(LN(2)/2)*FM153*FP153*VLOOKUP('Données projet'!$B$16,Paramètres!$A$1:$I$89,3,0)*0.475*44/12</f>
        <v>6.3988170205559321E-18</v>
      </c>
      <c r="FT153" s="22">
        <f t="shared" si="132"/>
        <v>0.18043132312366672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-1.1368683772161603E-13</v>
      </c>
      <c r="O154" s="13">
        <f>N154*VLOOKUP('Données projet'!$B$9,Paramètres!$A$1:$I$89,3,0)*VLOOKUP('Données projet'!$B$9,Paramètres!$A$1:$I$89,5,0)</f>
        <v>-1.0286385077051818E-13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237.22177246688199</v>
      </c>
      <c r="T154" s="59">
        <f t="shared" si="142"/>
        <v>149.27472147904302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</v>
      </c>
      <c r="AA154" s="21">
        <f>EXP(-LN(2)/25)*AA153+(1-EXP(-LN(2)/25))/(LN(2)/25)*Calculateur!V154*Calculateur!X154*VLOOKUP('Données projet'!$B$9,Paramètres!$A$1:$I$89,3,0)*0.475*44/12</f>
        <v>0.10844452411782873</v>
      </c>
      <c r="AB154" s="21">
        <f>EXP(-LN(2)/2)*AB153+(1-EXP(-LN(2)/2))/(LN(2)/2)*V154*Y154*VLOOKUP('Données projet'!$B$9,Paramètres!$A$1:$I$89,3,0)*0.475*44/12</f>
        <v>3.7960345275033895E-18</v>
      </c>
      <c r="AC154" s="22">
        <f t="shared" ref="AC154:AC203" si="163">SUM(Z154:AB154)</f>
        <v>0.10844452411782873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-8.5265128291212022E-14</v>
      </c>
      <c r="AJ154" s="13">
        <f>AI154*VLOOKUP('Données projet'!$B$10,Paramètres!$A$1:$I$89,3,0)*VLOOKUP('Données projet'!$B$10,Paramètres!$A$1:$I$89,5,0)</f>
        <v>-7.4487616075202836E-14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191.94797389630673</v>
      </c>
      <c r="AO154" s="59">
        <f t="shared" si="144"/>
        <v>273.52540822767878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0.23443161614065636</v>
      </c>
      <c r="AV154" s="21">
        <f>EXP(-LN(2)/25)*AV153+(1-EXP(-LN(2)/25))/(LN(2)/25)*Calculateur!AQ154*Calculateur!AS154*VLOOKUP('Données projet'!$B$10,Paramètres!$A$1:$I$89,3,0)*0.475*44/12</f>
        <v>0.49049432750132443</v>
      </c>
      <c r="AW154" s="21">
        <f>EXP(-LN(2)/2)*AW153+(1-EXP(-LN(2)/2))/(LN(2)/2)*AQ154*AT154*VLOOKUP('Données projet'!$B$10,Paramètres!$A$1:$I$89,3,0)*0.475*44/12</f>
        <v>1.4230841448647664E-17</v>
      </c>
      <c r="AX154" s="21">
        <f t="shared" ref="AX154:AX203" si="166">SUM(AU154:AW154)</f>
        <v>0.72492594364198082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72.647148358003676</v>
      </c>
      <c r="BJ154" s="59">
        <f t="shared" si="146"/>
        <v>87.231299224620898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0.11586373244774072</v>
      </c>
      <c r="BQ154" s="21">
        <f>EXP(-LN(2)/25)*BQ153+(1-EXP(-LN(2)/25))/(LN(2)/25)*Calculateur!BL154*Calculateur!BN154*VLOOKUP('Données projet'!$B$11,Paramètres!$A$1:$I$89,3,0)*0.475*44/12</f>
        <v>0.15820534303669115</v>
      </c>
      <c r="BR154" s="21">
        <f>EXP(-LN(2)/2)*BR153+(1-EXP(-LN(2)/2))/(LN(2)/2)*BL154*BO154*VLOOKUP('Données projet'!$B$11,Paramètres!$A$1:$I$89,3,0)*0.475*44/12</f>
        <v>1.3989131996866683E-18</v>
      </c>
      <c r="BS154" s="22">
        <f t="shared" ref="BS154:BS203" si="169">SUM(BP154:BR154)</f>
        <v>0.27406907548443188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5.6843418860808015E-14</v>
      </c>
      <c r="BZ154" s="13">
        <f>BY154*VLOOKUP('Données projet'!$B$12,Paramètres!$A$1:$I$89,3,0)*VLOOKUP('Données projet'!$B$12,Paramètres!$A$1:$I$89,5,0)</f>
        <v>3.3992364478763198E-14</v>
      </c>
      <c r="CA154" s="13">
        <f t="shared" ref="CA154:CA203" si="170">EXP(-1.0587+0.8836*LN(BZ154)+0.284)</f>
        <v>5.790027782444094E-13</v>
      </c>
      <c r="CB154" s="20">
        <f t="shared" ref="CB154:CB203" si="171">(BZ154+CA154)*0.475*44/12</f>
        <v>1.0676332069095257E-12</v>
      </c>
      <c r="CC154" s="59">
        <f t="shared" si="119"/>
        <v>293.33333333333439</v>
      </c>
      <c r="CD154" s="59">
        <f ca="1">AVERAGE(OFFSET($CC$3,0,0,'Données projet'!$E$12+1,1))-AVERAGE(OFFSET($H$3,0,0,'Données projet'!$E$12+1,1))</f>
        <v>165.39579887388538</v>
      </c>
      <c r="CE154" s="59">
        <f t="shared" si="148"/>
        <v>155.89639262545802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</v>
      </c>
      <c r="CL154" s="21">
        <f>EXP(-LN(2)/25)*CL153+(1-EXP(-LN(2)/25))/(LN(2)/25)*Calculateur!CG154*Calculateur!CI154*VLOOKUP('Données projet'!$B$12,Paramètres!$A$1:$I$89,3,0)*0.475*44/12</f>
        <v>0.25450562071399219</v>
      </c>
      <c r="CM154" s="21">
        <f>EXP(-LN(2)/2)*CM153+(1-EXP(-LN(2)/2))/(LN(2)/2)*CG154*CJ154*VLOOKUP('Données projet'!$B$12,Paramètres!$A$1:$I$89,3,0)*0.475*44/12</f>
        <v>8.5128669665533818E-18</v>
      </c>
      <c r="CN154" s="22">
        <f t="shared" ref="CN154:CN203" si="172">SUM(CK154:CM154)</f>
        <v>0.25450562071399219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3.4106051316484809E-13</v>
      </c>
      <c r="CU154" s="17">
        <f>CT154*VLOOKUP('Données projet'!$B$13,Paramètres!$A$1:$I$89,3,0)*VLOOKUP('Données projet'!$B$13,Paramètres!$A$1:$I$89,5,0)</f>
        <v>2.6602720026858149E-13</v>
      </c>
      <c r="CV154" s="13">
        <f t="shared" ref="CV154:CV203" si="173">EXP(-1.0587+0.8836*LN(CU154)+0.284)</f>
        <v>3.5662905043956649E-12</v>
      </c>
      <c r="CW154" s="20">
        <f t="shared" ref="CW154:CW203" si="174">(CU154+CV154)*0.475*44/12</f>
        <v>6.6746200022902298E-12</v>
      </c>
      <c r="CX154" s="59">
        <f t="shared" si="122"/>
        <v>293.33333333333997</v>
      </c>
      <c r="CY154" s="59">
        <f ca="1">AVERAGE(OFFSET($CX$3,0,0,'Données projet'!$E$13+1,1))-AVERAGE(OFFSET($H$3,0,0,'Données projet'!$E$13+1,1))</f>
        <v>190.06335940156185</v>
      </c>
      <c r="CZ154" s="59">
        <f t="shared" si="150"/>
        <v>166.43663896839928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</v>
      </c>
      <c r="DG154" s="21">
        <f>EXP(-LN(2)/25)*DG153+(1-EXP(-LN(2)/25))/(LN(2)/25)*Calculateur!DB154*Calculateur!DD154*VLOOKUP('Données projet'!$B$13,Paramètres!$A$1:$I$89,3,0)*0.475*44/12</f>
        <v>0.15594675809834291</v>
      </c>
      <c r="DH154" s="21">
        <f>EXP(-LN(2)/2)*DH153+(1-EXP(-LN(2)/2))/(LN(2)/2)*DB154*DE154*VLOOKUP('Données projet'!$B$13,Paramètres!$A$1:$I$89,3,0)*0.475*44/12</f>
        <v>3.2667729177227485E-18</v>
      </c>
      <c r="DI154" s="22">
        <f t="shared" ref="DI154:DI203" si="175">SUM(DF154:DH154)</f>
        <v>0.15594675809834291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-1.1368683772161603E-13</v>
      </c>
      <c r="DP154" s="17">
        <f>DO154*VLOOKUP('Données projet'!$B$14,Paramètres!$A$1:$I$89,3,0)*VLOOKUP('Données projet'!$B$14,Paramètres!$A$1:$I$89,5,0)</f>
        <v>-1.0995790944434703E-13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261.22357949323879</v>
      </c>
      <c r="DU154" s="59">
        <f t="shared" si="152"/>
        <v>163.41029152029387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0</v>
      </c>
      <c r="EB154" s="21">
        <f>EXP(-LN(2)/25)*EB153+(1-EXP(-LN(2)/25))/(LN(2)/25)*Calculateur!DW154*Calculateur!DY154*VLOOKUP('Données projet'!$B$14,Paramètres!$A$1:$I$89,3,0)*0.475*44/12</f>
        <v>0.11592345681560991</v>
      </c>
      <c r="EC154" s="21">
        <f>EXP(-LN(2)/2)*EC153+(1-EXP(-LN(2)/2))/(LN(2)/2)*DW154*DZ154*VLOOKUP('Données projet'!$B$14,Paramètres!$A$1:$I$89,3,0)*0.475*44/12</f>
        <v>4.0578300121587949E-18</v>
      </c>
      <c r="ED154" s="22">
        <f t="shared" ref="ED154:ED203" si="178">SUM(EA154:EC154)</f>
        <v>0.11592345681560991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-1.1368683772161603E-13</v>
      </c>
      <c r="EK154" s="17">
        <f>EJ154*VLOOKUP('Données projet'!$B$15,Paramètres!$A$1:$I$89,3,0)*VLOOKUP('Données projet'!$B$15,Paramètres!$A$1:$I$89,5,0)</f>
        <v>-5.3205440053716299E-14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123.60520571614535</v>
      </c>
      <c r="EP154" s="59">
        <f t="shared" si="154"/>
        <v>119.00926870519527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7.897086887087329E-2</v>
      </c>
      <c r="EW154" s="21">
        <f>EXP(-LN(2)/25)*EW153+(1-EXP(-LN(2)/25))/(LN(2)/25)*Calculateur!ER154*Calculateur!ET154*VLOOKUP('Données projet'!$B$15,Paramètres!$A$1:$I$89,3,0)*0.475*44/12</f>
        <v>0.16678157819244371</v>
      </c>
      <c r="EX154" s="21">
        <f>EXP(-LN(2)/2)*EX153+(1-EXP(-LN(2)/2))/(LN(2)/2)*ER154*EU154*VLOOKUP('Données projet'!$B$15,Paramètres!$A$1:$I$89,3,0)*0.475*44/12</f>
        <v>3.7496448189939779E-18</v>
      </c>
      <c r="EY154" s="22">
        <f t="shared" ref="EY154:EY203" si="181">SUM(EV154:EX154)</f>
        <v>0.245752447063317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-8.5265128291212022E-14</v>
      </c>
      <c r="FF154" s="17">
        <f>FE154*VLOOKUP('Données projet'!$B$16,Paramètres!$A$1:$I$89,3,0)*VLOOKUP('Données projet'!$B$16,Paramètres!$A$1:$I$89,5,0)</f>
        <v>-6.2516392063116648E-14</v>
      </c>
      <c r="FG154" s="13" t="e">
        <f t="shared" ref="FG154:FG203" si="182">EXP(-1.0587+0.8836*LN(FF154)+0.284)</f>
        <v>#NUM!</v>
      </c>
      <c r="FH154" s="20" t="e">
        <f t="shared" ref="FH154:FH203" si="183">(FF154+FG154)*0.475*44/12</f>
        <v>#NUM!</v>
      </c>
      <c r="FI154" s="59" t="e">
        <f t="shared" si="131"/>
        <v>#NUM!</v>
      </c>
      <c r="FJ154" s="59">
        <f ca="1">AVERAGE(OFFSET($FI$3,0,0,'Données projet'!$E$16+1,1))-AVERAGE(OFFSET($H$3,0,0,'Données projet'!$E$16+1,1))</f>
        <v>124.15919323713428</v>
      </c>
      <c r="FK154" s="59">
        <f t="shared" si="156"/>
        <v>157.85954678210715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0</v>
      </c>
      <c r="FR154" s="21">
        <f>EXP(-LN(2)/25)*FR153+(1-EXP(-LN(2)/25))/(LN(2)/25)*Calculateur!FM154*Calculateur!FO154*VLOOKUP('Données projet'!$B$16,Paramètres!$A$1:$I$89,3,0)*0.475*44/12</f>
        <v>0.17549741910437916</v>
      </c>
      <c r="FS154" s="21">
        <f>EXP(-LN(2)/2)*FS153+(1-EXP(-LN(2)/2))/(LN(2)/2)*FM154*FP154*VLOOKUP('Données projet'!$B$16,Paramètres!$A$1:$I$89,3,0)*0.475*44/12</f>
        <v>4.5246469068069994E-18</v>
      </c>
      <c r="FT154" s="22">
        <f t="shared" ref="FT154:FT203" si="184">SUM(FQ154:FS154)</f>
        <v>0.17549741910437916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-1.1368683772161603E-13</v>
      </c>
      <c r="O155" s="13">
        <f>N155*VLOOKUP('Données projet'!$B$9,Paramètres!$A$1:$I$89,3,0)*VLOOKUP('Données projet'!$B$9,Paramètres!$A$1:$I$89,5,0)</f>
        <v>-1.0286385077051818E-13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237.22177246688199</v>
      </c>
      <c r="T155" s="59">
        <f t="shared" si="142"/>
        <v>149.27472147904302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</v>
      </c>
      <c r="AA155" s="21">
        <f>EXP(-LN(2)/25)*AA154+(1-EXP(-LN(2)/25))/(LN(2)/25)*Calculateur!V155*Calculateur!X155*VLOOKUP('Données projet'!$B$9,Paramètres!$A$1:$I$89,3,0)*0.475*44/12</f>
        <v>0.10547910290297703</v>
      </c>
      <c r="AB155" s="21">
        <f>EXP(-LN(2)/2)*AB154+(1-EXP(-LN(2)/2))/(LN(2)/2)*V155*Y155*VLOOKUP('Données projet'!$B$9,Paramètres!$A$1:$I$89,3,0)*0.475*44/12</f>
        <v>2.6842017560159186E-18</v>
      </c>
      <c r="AC155" s="22">
        <f t="shared" si="163"/>
        <v>0.10547910290297703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-8.5265128291212022E-14</v>
      </c>
      <c r="AJ155" s="13">
        <f>AI155*VLOOKUP('Données projet'!$B$10,Paramètres!$A$1:$I$89,3,0)*VLOOKUP('Données projet'!$B$10,Paramètres!$A$1:$I$89,5,0)</f>
        <v>-7.4487616075202836E-14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191.94797389630673</v>
      </c>
      <c r="AO155" s="59">
        <f t="shared" si="144"/>
        <v>273.52540822767878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0.22983455513730491</v>
      </c>
      <c r="AV155" s="21">
        <f>EXP(-LN(2)/25)*AV154+(1-EXP(-LN(2)/25))/(LN(2)/25)*Calculateur!AQ155*Calculateur!AS155*VLOOKUP('Données projet'!$B$10,Paramètres!$A$1:$I$89,3,0)*0.475*44/12</f>
        <v>0.4770817343218251</v>
      </c>
      <c r="AW155" s="21">
        <f>EXP(-LN(2)/2)*AW154+(1-EXP(-LN(2)/2))/(LN(2)/2)*AQ155*AT155*VLOOKUP('Données projet'!$B$10,Paramètres!$A$1:$I$89,3,0)*0.475*44/12</f>
        <v>1.0062724490329355E-17</v>
      </c>
      <c r="AX155" s="21">
        <f t="shared" si="166"/>
        <v>0.70691628945912999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72.647148358003676</v>
      </c>
      <c r="BJ155" s="59">
        <f t="shared" si="146"/>
        <v>87.231299224620898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0.11359171532433925</v>
      </c>
      <c r="BQ155" s="21">
        <f>EXP(-LN(2)/25)*BQ154+(1-EXP(-LN(2)/25))/(LN(2)/25)*Calculateur!BL155*Calculateur!BN155*VLOOKUP('Données projet'!$B$11,Paramètres!$A$1:$I$89,3,0)*0.475*44/12</f>
        <v>0.15387920961169543</v>
      </c>
      <c r="BR155" s="21">
        <f>EXP(-LN(2)/2)*BR154+(1-EXP(-LN(2)/2))/(LN(2)/2)*BL155*BO155*VLOOKUP('Données projet'!$B$11,Paramètres!$A$1:$I$89,3,0)*0.475*44/12</f>
        <v>9.8918100978981404E-19</v>
      </c>
      <c r="BS155" s="22">
        <f t="shared" si="169"/>
        <v>0.26747092493603469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5.6843418860808015E-14</v>
      </c>
      <c r="BZ155" s="13">
        <f>BY155*VLOOKUP('Données projet'!$B$12,Paramètres!$A$1:$I$89,3,0)*VLOOKUP('Données projet'!$B$12,Paramètres!$A$1:$I$89,5,0)</f>
        <v>3.3992364478763198E-14</v>
      </c>
      <c r="CA155" s="13">
        <f t="shared" si="170"/>
        <v>5.790027782444094E-13</v>
      </c>
      <c r="CB155" s="20">
        <f t="shared" si="171"/>
        <v>1.0676332069095257E-12</v>
      </c>
      <c r="CC155" s="59">
        <f t="shared" si="119"/>
        <v>293.33333333333439</v>
      </c>
      <c r="CD155" s="59">
        <f ca="1">AVERAGE(OFFSET($CC$3,0,0,'Données projet'!$E$12+1,1))-AVERAGE(OFFSET($H$3,0,0,'Données projet'!$E$12+1,1))</f>
        <v>165.39579887388538</v>
      </c>
      <c r="CE155" s="59">
        <f t="shared" si="148"/>
        <v>155.89639262545802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</v>
      </c>
      <c r="CL155" s="21">
        <f>EXP(-LN(2)/25)*CL154+(1-EXP(-LN(2)/25))/(LN(2)/25)*Calculateur!CG155*Calculateur!CI155*VLOOKUP('Données projet'!$B$12,Paramètres!$A$1:$I$89,3,0)*0.475*44/12</f>
        <v>0.24754615113169914</v>
      </c>
      <c r="CM155" s="21">
        <f>EXP(-LN(2)/2)*CM154+(1-EXP(-LN(2)/2))/(LN(2)/2)*CG155*CJ155*VLOOKUP('Données projet'!$B$12,Paramètres!$A$1:$I$89,3,0)*0.475*44/12</f>
        <v>6.0195059593888509E-18</v>
      </c>
      <c r="CN155" s="22">
        <f t="shared" si="172"/>
        <v>0.24754615113169914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3.4106051316484809E-13</v>
      </c>
      <c r="CU155" s="17">
        <f>CT155*VLOOKUP('Données projet'!$B$13,Paramètres!$A$1:$I$89,3,0)*VLOOKUP('Données projet'!$B$13,Paramètres!$A$1:$I$89,5,0)</f>
        <v>2.6602720026858149E-13</v>
      </c>
      <c r="CV155" s="13">
        <f t="shared" si="173"/>
        <v>3.5662905043956649E-12</v>
      </c>
      <c r="CW155" s="20">
        <f t="shared" si="174"/>
        <v>6.6746200022902298E-12</v>
      </c>
      <c r="CX155" s="59">
        <f t="shared" si="122"/>
        <v>293.33333333333997</v>
      </c>
      <c r="CY155" s="59">
        <f ca="1">AVERAGE(OFFSET($CX$3,0,0,'Données projet'!$E$13+1,1))-AVERAGE(OFFSET($H$3,0,0,'Données projet'!$E$13+1,1))</f>
        <v>190.06335940156185</v>
      </c>
      <c r="CZ155" s="59">
        <f t="shared" si="150"/>
        <v>166.43663896839928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</v>
      </c>
      <c r="DG155" s="21">
        <f>EXP(-LN(2)/25)*DG154+(1-EXP(-LN(2)/25))/(LN(2)/25)*Calculateur!DB155*Calculateur!DD155*VLOOKUP('Données projet'!$B$13,Paramètres!$A$1:$I$89,3,0)*0.475*44/12</f>
        <v>0.15168238579726012</v>
      </c>
      <c r="DH155" s="21">
        <f>EXP(-LN(2)/2)*DH154+(1-EXP(-LN(2)/2))/(LN(2)/2)*DB155*DE155*VLOOKUP('Données projet'!$B$13,Paramètres!$A$1:$I$89,3,0)*0.475*44/12</f>
        <v>2.3099572827183189E-18</v>
      </c>
      <c r="DI155" s="22">
        <f t="shared" si="175"/>
        <v>0.15168238579726012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-1.1368683772161603E-13</v>
      </c>
      <c r="DP155" s="17">
        <f>DO155*VLOOKUP('Données projet'!$B$14,Paramètres!$A$1:$I$89,3,0)*VLOOKUP('Données projet'!$B$14,Paramètres!$A$1:$I$89,5,0)</f>
        <v>-1.0995790944434703E-13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261.22357949323879</v>
      </c>
      <c r="DU155" s="59">
        <f t="shared" si="152"/>
        <v>163.41029152029387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0</v>
      </c>
      <c r="EB155" s="21">
        <f>EXP(-LN(2)/25)*EB154+(1-EXP(-LN(2)/25))/(LN(2)/25)*Calculateur!DW155*Calculateur!DY155*VLOOKUP('Données projet'!$B$14,Paramètres!$A$1:$I$89,3,0)*0.475*44/12</f>
        <v>0.1127535237928374</v>
      </c>
      <c r="EC155" s="21">
        <f>EXP(-LN(2)/2)*EC154+(1-EXP(-LN(2)/2))/(LN(2)/2)*DW155*DZ155*VLOOKUP('Données projet'!$B$14,Paramètres!$A$1:$I$89,3,0)*0.475*44/12</f>
        <v>2.8693191184997745E-18</v>
      </c>
      <c r="ED155" s="22">
        <f t="shared" si="178"/>
        <v>0.1127535237928374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-1.1368683772161603E-13</v>
      </c>
      <c r="EK155" s="17">
        <f>EJ155*VLOOKUP('Données projet'!$B$15,Paramètres!$A$1:$I$89,3,0)*VLOOKUP('Données projet'!$B$15,Paramètres!$A$1:$I$89,5,0)</f>
        <v>-5.3205440053716299E-14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123.60520571614535</v>
      </c>
      <c r="EP155" s="59">
        <f t="shared" si="154"/>
        <v>119.00926870519527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7.7422298299789333E-2</v>
      </c>
      <c r="EW155" s="21">
        <f>EXP(-LN(2)/25)*EW154+(1-EXP(-LN(2)/25))/(LN(2)/25)*Calculateur!ER155*Calculateur!ET155*VLOOKUP('Données projet'!$B$15,Paramètres!$A$1:$I$89,3,0)*0.475*44/12</f>
        <v>0.16222092716610934</v>
      </c>
      <c r="EX155" s="21">
        <f>EXP(-LN(2)/2)*EX154+(1-EXP(-LN(2)/2))/(LN(2)/2)*ER155*EU155*VLOOKUP('Données projet'!$B$15,Paramètres!$A$1:$I$89,3,0)*0.475*44/12</f>
        <v>2.6513992785516464E-18</v>
      </c>
      <c r="EY155" s="22">
        <f t="shared" si="181"/>
        <v>0.23964322546589867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-8.5265128291212022E-14</v>
      </c>
      <c r="FF155" s="17">
        <f>FE155*VLOOKUP('Données projet'!$B$16,Paramètres!$A$1:$I$89,3,0)*VLOOKUP('Données projet'!$B$16,Paramètres!$A$1:$I$89,5,0)</f>
        <v>-6.2516392063116648E-14</v>
      </c>
      <c r="FG155" s="13" t="e">
        <f t="shared" si="182"/>
        <v>#NUM!</v>
      </c>
      <c r="FH155" s="20" t="e">
        <f t="shared" si="183"/>
        <v>#NUM!</v>
      </c>
      <c r="FI155" s="59" t="e">
        <f t="shared" si="131"/>
        <v>#NUM!</v>
      </c>
      <c r="FJ155" s="59">
        <f ca="1">AVERAGE(OFFSET($FI$3,0,0,'Données projet'!$E$16+1,1))-AVERAGE(OFFSET($H$3,0,0,'Données projet'!$E$16+1,1))</f>
        <v>124.15919323713428</v>
      </c>
      <c r="FK155" s="59">
        <f t="shared" si="156"/>
        <v>157.85954678210715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0</v>
      </c>
      <c r="FR155" s="21">
        <f>EXP(-LN(2)/25)*FR154+(1-EXP(-LN(2)/25))/(LN(2)/25)*Calculateur!FM155*Calculateur!FO155*VLOOKUP('Données projet'!$B$16,Paramètres!$A$1:$I$89,3,0)*0.475*44/12</f>
        <v>0.17069843294996176</v>
      </c>
      <c r="FS155" s="21">
        <f>EXP(-LN(2)/2)*FS154+(1-EXP(-LN(2)/2))/(LN(2)/2)*FM155*FP155*VLOOKUP('Données projet'!$B$16,Paramètres!$A$1:$I$89,3,0)*0.475*44/12</f>
        <v>3.1994085102779661E-18</v>
      </c>
      <c r="FT155" s="22">
        <f t="shared" si="184"/>
        <v>0.17069843294996176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-1.1368683772161603E-13</v>
      </c>
      <c r="O156" s="13">
        <f>N156*VLOOKUP('Données projet'!$B$9,Paramètres!$A$1:$I$89,3,0)*VLOOKUP('Données projet'!$B$9,Paramètres!$A$1:$I$89,5,0)</f>
        <v>-1.0286385077051818E-13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237.22177246688199</v>
      </c>
      <c r="T156" s="59">
        <f t="shared" si="142"/>
        <v>149.27472147904302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</v>
      </c>
      <c r="AA156" s="21">
        <f>EXP(-LN(2)/25)*AA155+(1-EXP(-LN(2)/25))/(LN(2)/25)*Calculateur!V156*Calculateur!X156*VLOOKUP('Données projet'!$B$9,Paramètres!$A$1:$I$89,3,0)*0.475*44/12</f>
        <v>0.10259477128719018</v>
      </c>
      <c r="AB156" s="21">
        <f>EXP(-LN(2)/2)*AB155+(1-EXP(-LN(2)/2))/(LN(2)/2)*V156*Y156*VLOOKUP('Données projet'!$B$9,Paramètres!$A$1:$I$89,3,0)*0.475*44/12</f>
        <v>1.8980172637516947E-18</v>
      </c>
      <c r="AC156" s="22">
        <f t="shared" si="163"/>
        <v>0.10259477128719018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-8.5265128291212022E-14</v>
      </c>
      <c r="AJ156" s="13">
        <f>AI156*VLOOKUP('Données projet'!$B$10,Paramètres!$A$1:$I$89,3,0)*VLOOKUP('Données projet'!$B$10,Paramètres!$A$1:$I$89,5,0)</f>
        <v>-7.4487616075202836E-14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191.94797389630673</v>
      </c>
      <c r="AO156" s="59">
        <f t="shared" si="144"/>
        <v>273.52540822767878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0.22532763969629885</v>
      </c>
      <c r="AV156" s="21">
        <f>EXP(-LN(2)/25)*AV155+(1-EXP(-LN(2)/25))/(LN(2)/25)*Calculateur!AQ156*Calculateur!AS156*VLOOKUP('Données projet'!$B$10,Paramètres!$A$1:$I$89,3,0)*0.475*44/12</f>
        <v>0.46403590920815679</v>
      </c>
      <c r="AW156" s="21">
        <f>EXP(-LN(2)/2)*AW155+(1-EXP(-LN(2)/2))/(LN(2)/2)*AQ156*AT156*VLOOKUP('Données projet'!$B$10,Paramètres!$A$1:$I$89,3,0)*0.475*44/12</f>
        <v>7.1154207243238319E-18</v>
      </c>
      <c r="AX156" s="21">
        <f t="shared" si="166"/>
        <v>0.68936354890445561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72.647148358003676</v>
      </c>
      <c r="BJ156" s="59">
        <f t="shared" si="146"/>
        <v>87.231299224620898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0.11136425107093406</v>
      </c>
      <c r="BQ156" s="21">
        <f>EXP(-LN(2)/25)*BQ155+(1-EXP(-LN(2)/25))/(LN(2)/25)*Calculateur!BL156*Calculateur!BN156*VLOOKUP('Données projet'!$B$11,Paramètres!$A$1:$I$89,3,0)*0.475*44/12</f>
        <v>0.14967137453270768</v>
      </c>
      <c r="BR156" s="21">
        <f>EXP(-LN(2)/2)*BR155+(1-EXP(-LN(2)/2))/(LN(2)/2)*BL156*BO156*VLOOKUP('Données projet'!$B$11,Paramètres!$A$1:$I$89,3,0)*0.475*44/12</f>
        <v>6.9945659984333417E-19</v>
      </c>
      <c r="BS156" s="22">
        <f t="shared" si="169"/>
        <v>0.26103562560364174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5.6843418860808015E-14</v>
      </c>
      <c r="BZ156" s="13">
        <f>BY156*VLOOKUP('Données projet'!$B$12,Paramètres!$A$1:$I$89,3,0)*VLOOKUP('Données projet'!$B$12,Paramètres!$A$1:$I$89,5,0)</f>
        <v>3.3992364478763198E-14</v>
      </c>
      <c r="CA156" s="13">
        <f t="shared" si="170"/>
        <v>5.790027782444094E-13</v>
      </c>
      <c r="CB156" s="20">
        <f t="shared" si="171"/>
        <v>1.0676332069095257E-12</v>
      </c>
      <c r="CC156" s="59">
        <f t="shared" si="119"/>
        <v>293.33333333333439</v>
      </c>
      <c r="CD156" s="59">
        <f ca="1">AVERAGE(OFFSET($CC$3,0,0,'Données projet'!$E$12+1,1))-AVERAGE(OFFSET($H$3,0,0,'Données projet'!$E$12+1,1))</f>
        <v>165.39579887388538</v>
      </c>
      <c r="CE156" s="59">
        <f t="shared" si="148"/>
        <v>155.89639262545802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</v>
      </c>
      <c r="CL156" s="21">
        <f>EXP(-LN(2)/25)*CL155+(1-EXP(-LN(2)/25))/(LN(2)/25)*Calculateur!CG156*Calculateur!CI156*VLOOKUP('Données projet'!$B$12,Paramètres!$A$1:$I$89,3,0)*0.475*44/12</f>
        <v>0.24077698861111652</v>
      </c>
      <c r="CM156" s="21">
        <f>EXP(-LN(2)/2)*CM155+(1-EXP(-LN(2)/2))/(LN(2)/2)*CG156*CJ156*VLOOKUP('Données projet'!$B$12,Paramètres!$A$1:$I$89,3,0)*0.475*44/12</f>
        <v>4.2564334832766909E-18</v>
      </c>
      <c r="CN156" s="22">
        <f t="shared" si="172"/>
        <v>0.24077698861111652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3.4106051316484809E-13</v>
      </c>
      <c r="CU156" s="17">
        <f>CT156*VLOOKUP('Données projet'!$B$13,Paramètres!$A$1:$I$89,3,0)*VLOOKUP('Données projet'!$B$13,Paramètres!$A$1:$I$89,5,0)</f>
        <v>2.6602720026858149E-13</v>
      </c>
      <c r="CV156" s="13">
        <f t="shared" si="173"/>
        <v>3.5662905043956649E-12</v>
      </c>
      <c r="CW156" s="20">
        <f t="shared" si="174"/>
        <v>6.6746200022902298E-12</v>
      </c>
      <c r="CX156" s="59">
        <f t="shared" si="122"/>
        <v>293.33333333333997</v>
      </c>
      <c r="CY156" s="59">
        <f ca="1">AVERAGE(OFFSET($CX$3,0,0,'Données projet'!$E$13+1,1))-AVERAGE(OFFSET($H$3,0,0,'Données projet'!$E$13+1,1))</f>
        <v>190.06335940156185</v>
      </c>
      <c r="CZ156" s="59">
        <f t="shared" si="150"/>
        <v>166.43663896839928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</v>
      </c>
      <c r="DG156" s="21">
        <f>EXP(-LN(2)/25)*DG155+(1-EXP(-LN(2)/25))/(LN(2)/25)*Calculateur!DB156*Calculateur!DD156*VLOOKUP('Données projet'!$B$13,Paramètres!$A$1:$I$89,3,0)*0.475*44/12</f>
        <v>0.14753462298100406</v>
      </c>
      <c r="DH156" s="21">
        <f>EXP(-LN(2)/2)*DH155+(1-EXP(-LN(2)/2))/(LN(2)/2)*DB156*DE156*VLOOKUP('Données projet'!$B$13,Paramètres!$A$1:$I$89,3,0)*0.475*44/12</f>
        <v>1.6333864588613743E-18</v>
      </c>
      <c r="DI156" s="22">
        <f t="shared" si="175"/>
        <v>0.14753462298100406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-1.1368683772161603E-13</v>
      </c>
      <c r="DP156" s="17">
        <f>DO156*VLOOKUP('Données projet'!$B$14,Paramètres!$A$1:$I$89,3,0)*VLOOKUP('Données projet'!$B$14,Paramètres!$A$1:$I$89,5,0)</f>
        <v>-1.0995790944434703E-13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261.22357949323879</v>
      </c>
      <c r="DU156" s="59">
        <f t="shared" si="152"/>
        <v>163.41029152029387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0</v>
      </c>
      <c r="EB156" s="21">
        <f>EXP(-LN(2)/25)*EB155+(1-EXP(-LN(2)/25))/(LN(2)/25)*Calculateur!DW156*Calculateur!DY156*VLOOKUP('Données projet'!$B$14,Paramètres!$A$1:$I$89,3,0)*0.475*44/12</f>
        <v>0.10967027275527215</v>
      </c>
      <c r="EC156" s="21">
        <f>EXP(-LN(2)/2)*EC155+(1-EXP(-LN(2)/2))/(LN(2)/2)*DW156*DZ156*VLOOKUP('Données projet'!$B$14,Paramètres!$A$1:$I$89,3,0)*0.475*44/12</f>
        <v>2.0289150060793974E-18</v>
      </c>
      <c r="ED156" s="22">
        <f t="shared" si="178"/>
        <v>0.10967027275527215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-1.1368683772161603E-13</v>
      </c>
      <c r="EK156" s="17">
        <f>EJ156*VLOOKUP('Données projet'!$B$15,Paramètres!$A$1:$I$89,3,0)*VLOOKUP('Données projet'!$B$15,Paramètres!$A$1:$I$89,5,0)</f>
        <v>-5.3205440053716299E-14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123.60520571614535</v>
      </c>
      <c r="EP156" s="59">
        <f t="shared" si="154"/>
        <v>119.00926870519527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7.5904094253069543E-2</v>
      </c>
      <c r="EW156" s="21">
        <f>EXP(-LN(2)/25)*EW155+(1-EXP(-LN(2)/25))/(LN(2)/25)*Calculateur!ER156*Calculateur!ET156*VLOOKUP('Données projet'!$B$15,Paramètres!$A$1:$I$89,3,0)*0.475*44/12</f>
        <v>0.15778498738192429</v>
      </c>
      <c r="EX156" s="21">
        <f>EXP(-LN(2)/2)*EX155+(1-EXP(-LN(2)/2))/(LN(2)/2)*ER156*EU156*VLOOKUP('Données projet'!$B$15,Paramètres!$A$1:$I$89,3,0)*0.475*44/12</f>
        <v>1.874822409496989E-18</v>
      </c>
      <c r="EY156" s="22">
        <f t="shared" si="181"/>
        <v>0.23368908163499383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-8.5265128291212022E-14</v>
      </c>
      <c r="FF156" s="17">
        <f>FE156*VLOOKUP('Données projet'!$B$16,Paramètres!$A$1:$I$89,3,0)*VLOOKUP('Données projet'!$B$16,Paramètres!$A$1:$I$89,5,0)</f>
        <v>-6.2516392063116648E-14</v>
      </c>
      <c r="FG156" s="13" t="e">
        <f t="shared" si="182"/>
        <v>#NUM!</v>
      </c>
      <c r="FH156" s="20" t="e">
        <f t="shared" si="183"/>
        <v>#NUM!</v>
      </c>
      <c r="FI156" s="59" t="e">
        <f t="shared" si="131"/>
        <v>#NUM!</v>
      </c>
      <c r="FJ156" s="59">
        <f ca="1">AVERAGE(OFFSET($FI$3,0,0,'Données projet'!$E$16+1,1))-AVERAGE(OFFSET($H$3,0,0,'Données projet'!$E$16+1,1))</f>
        <v>124.15919323713428</v>
      </c>
      <c r="FK156" s="59">
        <f t="shared" si="156"/>
        <v>157.85954678210715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0</v>
      </c>
      <c r="FR156" s="21">
        <f>EXP(-LN(2)/25)*FR155+(1-EXP(-LN(2)/25))/(LN(2)/25)*Calculateur!FM156*Calculateur!FO156*VLOOKUP('Données projet'!$B$16,Paramètres!$A$1:$I$89,3,0)*0.475*44/12</f>
        <v>0.1660306753243046</v>
      </c>
      <c r="FS156" s="21">
        <f>EXP(-LN(2)/2)*FS155+(1-EXP(-LN(2)/2))/(LN(2)/2)*FM156*FP156*VLOOKUP('Données projet'!$B$16,Paramètres!$A$1:$I$89,3,0)*0.475*44/12</f>
        <v>2.2623234534034997E-18</v>
      </c>
      <c r="FT156" s="22">
        <f t="shared" si="184"/>
        <v>0.1660306753243046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-1.1368683772161603E-13</v>
      </c>
      <c r="O157" s="13">
        <f>N157*VLOOKUP('Données projet'!$B$9,Paramètres!$A$1:$I$89,3,0)*VLOOKUP('Données projet'!$B$9,Paramètres!$A$1:$I$89,5,0)</f>
        <v>-1.0286385077051818E-13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237.22177246688199</v>
      </c>
      <c r="T157" s="59">
        <f t="shared" si="142"/>
        <v>149.27472147904302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</v>
      </c>
      <c r="AA157" s="21">
        <f>EXP(-LN(2)/25)*AA156+(1-EXP(-LN(2)/25))/(LN(2)/25)*Calculateur!V157*Calculateur!X157*VLOOKUP('Données projet'!$B$9,Paramètres!$A$1:$I$89,3,0)*0.475*44/12</f>
        <v>9.978931187111742E-2</v>
      </c>
      <c r="AB157" s="21">
        <f>EXP(-LN(2)/2)*AB156+(1-EXP(-LN(2)/2))/(LN(2)/2)*V157*Y157*VLOOKUP('Données projet'!$B$9,Paramètres!$A$1:$I$89,3,0)*0.475*44/12</f>
        <v>1.3421008780079593E-18</v>
      </c>
      <c r="AC157" s="22">
        <f t="shared" si="163"/>
        <v>9.978931187111742E-2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-8.5265128291212022E-14</v>
      </c>
      <c r="AJ157" s="13">
        <f>AI157*VLOOKUP('Données projet'!$B$10,Paramètres!$A$1:$I$89,3,0)*VLOOKUP('Données projet'!$B$10,Paramètres!$A$1:$I$89,5,0)</f>
        <v>-7.4487616075202836E-14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191.94797389630673</v>
      </c>
      <c r="AO157" s="59">
        <f t="shared" si="144"/>
        <v>273.52540822767878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0.22090910211814394</v>
      </c>
      <c r="AV157" s="21">
        <f>EXP(-LN(2)/25)*AV156+(1-EXP(-LN(2)/25))/(LN(2)/25)*Calculateur!AQ157*Calculateur!AS157*VLOOKUP('Données projet'!$B$10,Paramètres!$A$1:$I$89,3,0)*0.475*44/12</f>
        <v>0.45134682286827182</v>
      </c>
      <c r="AW157" s="21">
        <f>EXP(-LN(2)/2)*AW156+(1-EXP(-LN(2)/2))/(LN(2)/2)*AQ157*AT157*VLOOKUP('Données projet'!$B$10,Paramètres!$A$1:$I$89,3,0)*0.475*44/12</f>
        <v>5.0313622451646775E-18</v>
      </c>
      <c r="AX157" s="21">
        <f t="shared" si="166"/>
        <v>0.67225592498641573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72.647148358003676</v>
      </c>
      <c r="BJ157" s="59">
        <f t="shared" si="146"/>
        <v>87.231299224620898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0.10918046603291912</v>
      </c>
      <c r="BQ157" s="21">
        <f>EXP(-LN(2)/25)*BQ156+(1-EXP(-LN(2)/25))/(LN(2)/25)*Calculateur!BL157*Calculateur!BN157*VLOOKUP('Données projet'!$B$11,Paramètres!$A$1:$I$89,3,0)*0.475*44/12</f>
        <v>0.14557860292523528</v>
      </c>
      <c r="BR157" s="21">
        <f>EXP(-LN(2)/2)*BR156+(1-EXP(-LN(2)/2))/(LN(2)/2)*BL157*BO157*VLOOKUP('Données projet'!$B$11,Paramètres!$A$1:$I$89,3,0)*0.475*44/12</f>
        <v>4.9459050489490702E-19</v>
      </c>
      <c r="BS157" s="22">
        <f t="shared" si="169"/>
        <v>0.25475906895815437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5.6843418860808015E-14</v>
      </c>
      <c r="BZ157" s="13">
        <f>BY157*VLOOKUP('Données projet'!$B$12,Paramètres!$A$1:$I$89,3,0)*VLOOKUP('Données projet'!$B$12,Paramètres!$A$1:$I$89,5,0)</f>
        <v>3.3992364478763198E-14</v>
      </c>
      <c r="CA157" s="13">
        <f t="shared" si="170"/>
        <v>5.790027782444094E-13</v>
      </c>
      <c r="CB157" s="20">
        <f t="shared" si="171"/>
        <v>1.0676332069095257E-12</v>
      </c>
      <c r="CC157" s="59">
        <f t="shared" si="119"/>
        <v>293.33333333333439</v>
      </c>
      <c r="CD157" s="59">
        <f ca="1">AVERAGE(OFFSET($CC$3,0,0,'Données projet'!$E$12+1,1))-AVERAGE(OFFSET($H$3,0,0,'Données projet'!$E$12+1,1))</f>
        <v>165.39579887388538</v>
      </c>
      <c r="CE157" s="59">
        <f t="shared" si="148"/>
        <v>155.89639262545802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</v>
      </c>
      <c r="CL157" s="21">
        <f>EXP(-LN(2)/25)*CL156+(1-EXP(-LN(2)/25))/(LN(2)/25)*Calculateur!CG157*Calculateur!CI157*VLOOKUP('Données projet'!$B$12,Paramètres!$A$1:$I$89,3,0)*0.475*44/12</f>
        <v>0.234192929195634</v>
      </c>
      <c r="CM157" s="21">
        <f>EXP(-LN(2)/2)*CM156+(1-EXP(-LN(2)/2))/(LN(2)/2)*CG157*CJ157*VLOOKUP('Données projet'!$B$12,Paramètres!$A$1:$I$89,3,0)*0.475*44/12</f>
        <v>3.0097529796944254E-18</v>
      </c>
      <c r="CN157" s="22">
        <f t="shared" si="172"/>
        <v>0.234192929195634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3.4106051316484809E-13</v>
      </c>
      <c r="CU157" s="17">
        <f>CT157*VLOOKUP('Données projet'!$B$13,Paramètres!$A$1:$I$89,3,0)*VLOOKUP('Données projet'!$B$13,Paramètres!$A$1:$I$89,5,0)</f>
        <v>2.6602720026858149E-13</v>
      </c>
      <c r="CV157" s="13">
        <f t="shared" si="173"/>
        <v>3.5662905043956649E-12</v>
      </c>
      <c r="CW157" s="20">
        <f t="shared" si="174"/>
        <v>6.6746200022902298E-12</v>
      </c>
      <c r="CX157" s="59">
        <f t="shared" si="122"/>
        <v>293.33333333333997</v>
      </c>
      <c r="CY157" s="59">
        <f ca="1">AVERAGE(OFFSET($CX$3,0,0,'Données projet'!$E$13+1,1))-AVERAGE(OFFSET($H$3,0,0,'Données projet'!$E$13+1,1))</f>
        <v>190.06335940156185</v>
      </c>
      <c r="CZ157" s="59">
        <f t="shared" si="150"/>
        <v>166.43663896839928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</v>
      </c>
      <c r="DG157" s="21">
        <f>EXP(-LN(2)/25)*DG156+(1-EXP(-LN(2)/25))/(LN(2)/25)*Calculateur!DB157*Calculateur!DD157*VLOOKUP('Données projet'!$B$13,Paramètres!$A$1:$I$89,3,0)*0.475*44/12</f>
        <v>0.14350028095707987</v>
      </c>
      <c r="DH157" s="21">
        <f>EXP(-LN(2)/2)*DH156+(1-EXP(-LN(2)/2))/(LN(2)/2)*DB157*DE157*VLOOKUP('Données projet'!$B$13,Paramètres!$A$1:$I$89,3,0)*0.475*44/12</f>
        <v>1.1549786413591595E-18</v>
      </c>
      <c r="DI157" s="22">
        <f t="shared" si="175"/>
        <v>0.14350028095707987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-1.1368683772161603E-13</v>
      </c>
      <c r="DP157" s="17">
        <f>DO157*VLOOKUP('Données projet'!$B$14,Paramètres!$A$1:$I$89,3,0)*VLOOKUP('Données projet'!$B$14,Paramètres!$A$1:$I$89,5,0)</f>
        <v>-1.0995790944434703E-13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261.22357949323879</v>
      </c>
      <c r="DU157" s="59">
        <f t="shared" si="152"/>
        <v>163.41029152029387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0</v>
      </c>
      <c r="EB157" s="21">
        <f>EXP(-LN(2)/25)*EB156+(1-EXP(-LN(2)/25))/(LN(2)/25)*Calculateur!DW157*Calculateur!DY157*VLOOKUP('Données projet'!$B$14,Paramètres!$A$1:$I$89,3,0)*0.475*44/12</f>
        <v>0.10667133337947024</v>
      </c>
      <c r="EC157" s="21">
        <f>EXP(-LN(2)/2)*EC156+(1-EXP(-LN(2)/2))/(LN(2)/2)*DW157*DZ157*VLOOKUP('Données projet'!$B$14,Paramètres!$A$1:$I$89,3,0)*0.475*44/12</f>
        <v>1.4346595592498873E-18</v>
      </c>
      <c r="ED157" s="22">
        <f t="shared" si="178"/>
        <v>0.10667133337947024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-1.1368683772161603E-13</v>
      </c>
      <c r="EK157" s="17">
        <f>EJ157*VLOOKUP('Données projet'!$B$15,Paramètres!$A$1:$I$89,3,0)*VLOOKUP('Données projet'!$B$15,Paramètres!$A$1:$I$89,5,0)</f>
        <v>-5.3205440053716299E-14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123.60520571614535</v>
      </c>
      <c r="EP157" s="59">
        <f t="shared" si="154"/>
        <v>119.00926870519527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7.4415661261692898E-2</v>
      </c>
      <c r="EW157" s="21">
        <f>EXP(-LN(2)/25)*EW156+(1-EXP(-LN(2)/25))/(LN(2)/25)*Calculateur!ER157*Calculateur!ET157*VLOOKUP('Données projet'!$B$15,Paramètres!$A$1:$I$89,3,0)*0.475*44/12</f>
        <v>0.15347034860441369</v>
      </c>
      <c r="EX157" s="21">
        <f>EXP(-LN(2)/2)*EX156+(1-EXP(-LN(2)/2))/(LN(2)/2)*ER157*EU157*VLOOKUP('Données projet'!$B$15,Paramètres!$A$1:$I$89,3,0)*0.475*44/12</f>
        <v>1.3256996392758232E-18</v>
      </c>
      <c r="EY157" s="22">
        <f t="shared" si="181"/>
        <v>0.22788600986610658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-8.5265128291212022E-14</v>
      </c>
      <c r="FF157" s="17">
        <f>FE157*VLOOKUP('Données projet'!$B$16,Paramètres!$A$1:$I$89,3,0)*VLOOKUP('Données projet'!$B$16,Paramètres!$A$1:$I$89,5,0)</f>
        <v>-6.2516392063116648E-14</v>
      </c>
      <c r="FG157" s="13" t="e">
        <f t="shared" si="182"/>
        <v>#NUM!</v>
      </c>
      <c r="FH157" s="20" t="e">
        <f t="shared" si="183"/>
        <v>#NUM!</v>
      </c>
      <c r="FI157" s="59" t="e">
        <f t="shared" si="131"/>
        <v>#NUM!</v>
      </c>
      <c r="FJ157" s="59">
        <f ca="1">AVERAGE(OFFSET($FI$3,0,0,'Données projet'!$E$16+1,1))-AVERAGE(OFFSET($H$3,0,0,'Données projet'!$E$16+1,1))</f>
        <v>124.15919323713428</v>
      </c>
      <c r="FK157" s="59">
        <f t="shared" si="156"/>
        <v>157.85954678210715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0</v>
      </c>
      <c r="FR157" s="21">
        <f>EXP(-LN(2)/25)*FR156+(1-EXP(-LN(2)/25))/(LN(2)/25)*Calculateur!FM157*Calculateur!FO157*VLOOKUP('Données projet'!$B$16,Paramètres!$A$1:$I$89,3,0)*0.475*44/12</f>
        <v>0.16149055777638774</v>
      </c>
      <c r="FS157" s="21">
        <f>EXP(-LN(2)/2)*FS156+(1-EXP(-LN(2)/2))/(LN(2)/2)*FM157*FP157*VLOOKUP('Données projet'!$B$16,Paramètres!$A$1:$I$89,3,0)*0.475*44/12</f>
        <v>1.599704255138983E-18</v>
      </c>
      <c r="FT157" s="22">
        <f t="shared" si="184"/>
        <v>0.16149055777638774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-1.1368683772161603E-13</v>
      </c>
      <c r="O158" s="13">
        <f>N158*VLOOKUP('Données projet'!$B$9,Paramètres!$A$1:$I$89,3,0)*VLOOKUP('Données projet'!$B$9,Paramètres!$A$1:$I$89,5,0)</f>
        <v>-1.0286385077051818E-13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237.22177246688199</v>
      </c>
      <c r="T158" s="59">
        <f t="shared" si="142"/>
        <v>149.27472147904302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</v>
      </c>
      <c r="AA158" s="21">
        <f>EXP(-LN(2)/25)*AA157+(1-EXP(-LN(2)/25))/(LN(2)/25)*Calculateur!V158*Calculateur!X158*VLOOKUP('Données projet'!$B$9,Paramètres!$A$1:$I$89,3,0)*0.475*44/12</f>
        <v>9.7060567890309868E-2</v>
      </c>
      <c r="AB158" s="21">
        <f>EXP(-LN(2)/2)*AB157+(1-EXP(-LN(2)/2))/(LN(2)/2)*V158*Y158*VLOOKUP('Données projet'!$B$9,Paramètres!$A$1:$I$89,3,0)*0.475*44/12</f>
        <v>9.4900863187584737E-19</v>
      </c>
      <c r="AC158" s="22">
        <f t="shared" si="163"/>
        <v>9.7060567890309868E-2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-8.5265128291212022E-14</v>
      </c>
      <c r="AJ158" s="13">
        <f>AI158*VLOOKUP('Données projet'!$B$10,Paramètres!$A$1:$I$89,3,0)*VLOOKUP('Données projet'!$B$10,Paramètres!$A$1:$I$89,5,0)</f>
        <v>-7.4487616075202836E-14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191.94797389630673</v>
      </c>
      <c r="AO158" s="59">
        <f t="shared" si="144"/>
        <v>273.52540822767878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0.21657720936685484</v>
      </c>
      <c r="AV158" s="21">
        <f>EXP(-LN(2)/25)*AV157+(1-EXP(-LN(2)/25))/(LN(2)/25)*Calculateur!AQ158*Calculateur!AS158*VLOOKUP('Données projet'!$B$10,Paramètres!$A$1:$I$89,3,0)*0.475*44/12</f>
        <v>0.43900472026164106</v>
      </c>
      <c r="AW158" s="21">
        <f>EXP(-LN(2)/2)*AW157+(1-EXP(-LN(2)/2))/(LN(2)/2)*AQ158*AT158*VLOOKUP('Données projet'!$B$10,Paramètres!$A$1:$I$89,3,0)*0.475*44/12</f>
        <v>3.5577103621619159E-18</v>
      </c>
      <c r="AX158" s="21">
        <f t="shared" si="166"/>
        <v>0.65558192962849593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72.647148358003676</v>
      </c>
      <c r="BJ158" s="59">
        <f t="shared" si="146"/>
        <v>87.231299224620898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0.10703950368752228</v>
      </c>
      <c r="BQ158" s="21">
        <f>EXP(-LN(2)/25)*BQ157+(1-EXP(-LN(2)/25))/(LN(2)/25)*Calculateur!BL158*Calculateur!BN158*VLOOKUP('Données projet'!$B$11,Paramètres!$A$1:$I$89,3,0)*0.475*44/12</f>
        <v>0.14159774837259873</v>
      </c>
      <c r="BR158" s="21">
        <f>EXP(-LN(2)/2)*BR157+(1-EXP(-LN(2)/2))/(LN(2)/2)*BL158*BO158*VLOOKUP('Données projet'!$B$11,Paramètres!$A$1:$I$89,3,0)*0.475*44/12</f>
        <v>3.4972829992166708E-19</v>
      </c>
      <c r="BS158" s="22">
        <f t="shared" si="169"/>
        <v>0.24863725206012099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5.6843418860808015E-14</v>
      </c>
      <c r="BZ158" s="13">
        <f>BY158*VLOOKUP('Données projet'!$B$12,Paramètres!$A$1:$I$89,3,0)*VLOOKUP('Données projet'!$B$12,Paramètres!$A$1:$I$89,5,0)</f>
        <v>3.3992364478763198E-14</v>
      </c>
      <c r="CA158" s="13">
        <f t="shared" si="170"/>
        <v>5.790027782444094E-13</v>
      </c>
      <c r="CB158" s="20">
        <f t="shared" si="171"/>
        <v>1.0676332069095257E-12</v>
      </c>
      <c r="CC158" s="59">
        <f t="shared" si="119"/>
        <v>293.33333333333439</v>
      </c>
      <c r="CD158" s="59">
        <f ca="1">AVERAGE(OFFSET($CC$3,0,0,'Données projet'!$E$12+1,1))-AVERAGE(OFFSET($H$3,0,0,'Données projet'!$E$12+1,1))</f>
        <v>165.39579887388538</v>
      </c>
      <c r="CE158" s="59">
        <f t="shared" si="148"/>
        <v>155.89639262545802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</v>
      </c>
      <c r="CL158" s="21">
        <f>EXP(-LN(2)/25)*CL157+(1-EXP(-LN(2)/25))/(LN(2)/25)*Calculateur!CG158*Calculateur!CI158*VLOOKUP('Données projet'!$B$12,Paramètres!$A$1:$I$89,3,0)*0.475*44/12</f>
        <v>0.2277889112311085</v>
      </c>
      <c r="CM158" s="21">
        <f>EXP(-LN(2)/2)*CM157+(1-EXP(-LN(2)/2))/(LN(2)/2)*CG158*CJ158*VLOOKUP('Données projet'!$B$12,Paramètres!$A$1:$I$89,3,0)*0.475*44/12</f>
        <v>2.1282167416383455E-18</v>
      </c>
      <c r="CN158" s="22">
        <f t="shared" si="172"/>
        <v>0.2277889112311085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3.4106051316484809E-13</v>
      </c>
      <c r="CU158" s="17">
        <f>CT158*VLOOKUP('Données projet'!$B$13,Paramètres!$A$1:$I$89,3,0)*VLOOKUP('Données projet'!$B$13,Paramètres!$A$1:$I$89,5,0)</f>
        <v>2.6602720026858149E-13</v>
      </c>
      <c r="CV158" s="13">
        <f t="shared" si="173"/>
        <v>3.5662905043956649E-12</v>
      </c>
      <c r="CW158" s="20">
        <f t="shared" si="174"/>
        <v>6.6746200022902298E-12</v>
      </c>
      <c r="CX158" s="59">
        <f t="shared" si="122"/>
        <v>293.33333333333997</v>
      </c>
      <c r="CY158" s="59">
        <f ca="1">AVERAGE(OFFSET($CX$3,0,0,'Données projet'!$E$13+1,1))-AVERAGE(OFFSET($H$3,0,0,'Données projet'!$E$13+1,1))</f>
        <v>190.06335940156185</v>
      </c>
      <c r="CZ158" s="59">
        <f t="shared" si="150"/>
        <v>166.43663896839928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</v>
      </c>
      <c r="DG158" s="21">
        <f>EXP(-LN(2)/25)*DG157+(1-EXP(-LN(2)/25))/(LN(2)/25)*Calculateur!DB158*Calculateur!DD158*VLOOKUP('Données projet'!$B$13,Paramètres!$A$1:$I$89,3,0)*0.475*44/12</f>
        <v>0.13957625822795672</v>
      </c>
      <c r="DH158" s="21">
        <f>EXP(-LN(2)/2)*DH157+(1-EXP(-LN(2)/2))/(LN(2)/2)*DB158*DE158*VLOOKUP('Données projet'!$B$13,Paramètres!$A$1:$I$89,3,0)*0.475*44/12</f>
        <v>8.1669322943068713E-19</v>
      </c>
      <c r="DI158" s="22">
        <f t="shared" si="175"/>
        <v>0.13957625822795672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-1.1368683772161603E-13</v>
      </c>
      <c r="DP158" s="17">
        <f>DO158*VLOOKUP('Données projet'!$B$14,Paramètres!$A$1:$I$89,3,0)*VLOOKUP('Données projet'!$B$14,Paramètres!$A$1:$I$89,5,0)</f>
        <v>-1.0995790944434703E-13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261.22357949323879</v>
      </c>
      <c r="DU158" s="59">
        <f t="shared" si="152"/>
        <v>163.41029152029387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0</v>
      </c>
      <c r="EB158" s="21">
        <f>EXP(-LN(2)/25)*EB157+(1-EXP(-LN(2)/25))/(LN(2)/25)*Calculateur!DW158*Calculateur!DY158*VLOOKUP('Données projet'!$B$14,Paramètres!$A$1:$I$89,3,0)*0.475*44/12</f>
        <v>0.103754400158607</v>
      </c>
      <c r="EC158" s="21">
        <f>EXP(-LN(2)/2)*EC157+(1-EXP(-LN(2)/2))/(LN(2)/2)*DW158*DZ158*VLOOKUP('Données projet'!$B$14,Paramètres!$A$1:$I$89,3,0)*0.475*44/12</f>
        <v>1.0144575030396987E-18</v>
      </c>
      <c r="ED158" s="22">
        <f t="shared" si="178"/>
        <v>0.103754400158607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-1.1368683772161603E-13</v>
      </c>
      <c r="EK158" s="17">
        <f>EJ158*VLOOKUP('Données projet'!$B$15,Paramètres!$A$1:$I$89,3,0)*VLOOKUP('Données projet'!$B$15,Paramètres!$A$1:$I$89,5,0)</f>
        <v>-5.3205440053716299E-14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123.60520571614535</v>
      </c>
      <c r="EP158" s="59">
        <f t="shared" si="154"/>
        <v>119.00926870519527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7.2956415533422678E-2</v>
      </c>
      <c r="EW158" s="21">
        <f>EXP(-LN(2)/25)*EW157+(1-EXP(-LN(2)/25))/(LN(2)/25)*Calculateur!ER158*Calculateur!ET158*VLOOKUP('Données projet'!$B$15,Paramètres!$A$1:$I$89,3,0)*0.475*44/12</f>
        <v>0.14927369385117112</v>
      </c>
      <c r="EX158" s="21">
        <f>EXP(-LN(2)/2)*EX157+(1-EXP(-LN(2)/2))/(LN(2)/2)*ER158*EU158*VLOOKUP('Données projet'!$B$15,Paramètres!$A$1:$I$89,3,0)*0.475*44/12</f>
        <v>9.3741120474849448E-19</v>
      </c>
      <c r="EY158" s="22">
        <f t="shared" si="181"/>
        <v>0.22223010938459381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-8.5265128291212022E-14</v>
      </c>
      <c r="FF158" s="17">
        <f>FE158*VLOOKUP('Données projet'!$B$16,Paramètres!$A$1:$I$89,3,0)*VLOOKUP('Données projet'!$B$16,Paramètres!$A$1:$I$89,5,0)</f>
        <v>-6.2516392063116648E-14</v>
      </c>
      <c r="FG158" s="13" t="e">
        <f t="shared" si="182"/>
        <v>#NUM!</v>
      </c>
      <c r="FH158" s="20" t="e">
        <f t="shared" si="183"/>
        <v>#NUM!</v>
      </c>
      <c r="FI158" s="59" t="e">
        <f t="shared" si="131"/>
        <v>#NUM!</v>
      </c>
      <c r="FJ158" s="59">
        <f ca="1">AVERAGE(OFFSET($FI$3,0,0,'Données projet'!$E$16+1,1))-AVERAGE(OFFSET($H$3,0,0,'Données projet'!$E$16+1,1))</f>
        <v>124.15919323713428</v>
      </c>
      <c r="FK158" s="59">
        <f t="shared" si="156"/>
        <v>157.85954678210715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0</v>
      </c>
      <c r="FR158" s="21">
        <f>EXP(-LN(2)/25)*FR157+(1-EXP(-LN(2)/25))/(LN(2)/25)*Calculateur!FM158*Calculateur!FO158*VLOOKUP('Données projet'!$B$16,Paramètres!$A$1:$I$89,3,0)*0.475*44/12</f>
        <v>0.15707458998157309</v>
      </c>
      <c r="FS158" s="21">
        <f>EXP(-LN(2)/2)*FS157+(1-EXP(-LN(2)/2))/(LN(2)/2)*FM158*FP158*VLOOKUP('Données projet'!$B$16,Paramètres!$A$1:$I$89,3,0)*0.475*44/12</f>
        <v>1.1311617267017499E-18</v>
      </c>
      <c r="FT158" s="22">
        <f t="shared" si="184"/>
        <v>0.15707458998157309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-1.1368683772161603E-13</v>
      </c>
      <c r="O159" s="13">
        <f>N159*VLOOKUP('Données projet'!$B$9,Paramètres!$A$1:$I$89,3,0)*VLOOKUP('Données projet'!$B$9,Paramètres!$A$1:$I$89,5,0)</f>
        <v>-1.0286385077051818E-13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237.22177246688199</v>
      </c>
      <c r="T159" s="59">
        <f t="shared" si="142"/>
        <v>149.27472147904302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</v>
      </c>
      <c r="AA159" s="21">
        <f>EXP(-LN(2)/25)*AA158+(1-EXP(-LN(2)/25))/(LN(2)/25)*Calculateur!V159*Calculateur!X159*VLOOKUP('Données projet'!$B$9,Paramètres!$A$1:$I$89,3,0)*0.475*44/12</f>
        <v>9.4406441557155912E-2</v>
      </c>
      <c r="AB159" s="21">
        <f>EXP(-LN(2)/2)*AB158+(1-EXP(-LN(2)/2))/(LN(2)/2)*V159*Y159*VLOOKUP('Données projet'!$B$9,Paramètres!$A$1:$I$89,3,0)*0.475*44/12</f>
        <v>6.7105043900397965E-19</v>
      </c>
      <c r="AC159" s="22">
        <f t="shared" si="163"/>
        <v>9.4406441557155912E-2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-8.5265128291212022E-14</v>
      </c>
      <c r="AJ159" s="13">
        <f>AI159*VLOOKUP('Données projet'!$B$10,Paramètres!$A$1:$I$89,3,0)*VLOOKUP('Données projet'!$B$10,Paramètres!$A$1:$I$89,5,0)</f>
        <v>-7.4487616075202836E-14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191.94797389630673</v>
      </c>
      <c r="AO159" s="59">
        <f t="shared" si="144"/>
        <v>273.52540822767878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0.21233026239022484</v>
      </c>
      <c r="AV159" s="21">
        <f>EXP(-LN(2)/25)*AV158+(1-EXP(-LN(2)/25))/(LN(2)/25)*Calculateur!AQ159*Calculateur!AS159*VLOOKUP('Données projet'!$B$10,Paramètres!$A$1:$I$89,3,0)*0.475*44/12</f>
        <v>0.4270001130998316</v>
      </c>
      <c r="AW159" s="21">
        <f>EXP(-LN(2)/2)*AW158+(1-EXP(-LN(2)/2))/(LN(2)/2)*AQ159*AT159*VLOOKUP('Données projet'!$B$10,Paramètres!$A$1:$I$89,3,0)*0.475*44/12</f>
        <v>2.5156811225823387E-18</v>
      </c>
      <c r="AX159" s="21">
        <f t="shared" si="166"/>
        <v>0.63933037549005645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72.647148358003676</v>
      </c>
      <c r="BJ159" s="59">
        <f t="shared" si="146"/>
        <v>87.231299224620898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0.10494052430786061</v>
      </c>
      <c r="BQ159" s="21">
        <f>EXP(-LN(2)/25)*BQ158+(1-EXP(-LN(2)/25))/(LN(2)/25)*Calculateur!BL159*Calculateur!BN159*VLOOKUP('Données projet'!$B$11,Paramètres!$A$1:$I$89,3,0)*0.475*44/12</f>
        <v>0.13772575049704805</v>
      </c>
      <c r="BR159" s="21">
        <f>EXP(-LN(2)/2)*BR158+(1-EXP(-LN(2)/2))/(LN(2)/2)*BL159*BO159*VLOOKUP('Données projet'!$B$11,Paramètres!$A$1:$I$89,3,0)*0.475*44/12</f>
        <v>2.4729525244745351E-19</v>
      </c>
      <c r="BS159" s="22">
        <f t="shared" si="169"/>
        <v>0.24266627480490865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5.6843418860808015E-14</v>
      </c>
      <c r="BZ159" s="13">
        <f>BY159*VLOOKUP('Données projet'!$B$12,Paramètres!$A$1:$I$89,3,0)*VLOOKUP('Données projet'!$B$12,Paramètres!$A$1:$I$89,5,0)</f>
        <v>3.3992364478763198E-14</v>
      </c>
      <c r="CA159" s="13">
        <f t="shared" si="170"/>
        <v>5.790027782444094E-13</v>
      </c>
      <c r="CB159" s="20">
        <f t="shared" si="171"/>
        <v>1.0676332069095257E-12</v>
      </c>
      <c r="CC159" s="59">
        <f t="shared" si="119"/>
        <v>293.33333333333439</v>
      </c>
      <c r="CD159" s="59">
        <f ca="1">AVERAGE(OFFSET($CC$3,0,0,'Données projet'!$E$12+1,1))-AVERAGE(OFFSET($H$3,0,0,'Données projet'!$E$12+1,1))</f>
        <v>165.39579887388538</v>
      </c>
      <c r="CE159" s="59">
        <f t="shared" si="148"/>
        <v>155.89639262545802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</v>
      </c>
      <c r="CL159" s="21">
        <f>EXP(-LN(2)/25)*CL158+(1-EXP(-LN(2)/25))/(LN(2)/25)*Calculateur!CG159*Calculateur!CI159*VLOOKUP('Données projet'!$B$12,Paramètres!$A$1:$I$89,3,0)*0.475*44/12</f>
        <v>0.22156001147459561</v>
      </c>
      <c r="CM159" s="21">
        <f>EXP(-LN(2)/2)*CM158+(1-EXP(-LN(2)/2))/(LN(2)/2)*CG159*CJ159*VLOOKUP('Données projet'!$B$12,Paramètres!$A$1:$I$89,3,0)*0.475*44/12</f>
        <v>1.5048764898472127E-18</v>
      </c>
      <c r="CN159" s="22">
        <f t="shared" si="172"/>
        <v>0.22156001147459561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3.4106051316484809E-13</v>
      </c>
      <c r="CU159" s="17">
        <f>CT159*VLOOKUP('Données projet'!$B$13,Paramètres!$A$1:$I$89,3,0)*VLOOKUP('Données projet'!$B$13,Paramètres!$A$1:$I$89,5,0)</f>
        <v>2.6602720026858149E-13</v>
      </c>
      <c r="CV159" s="13">
        <f t="shared" si="173"/>
        <v>3.5662905043956649E-12</v>
      </c>
      <c r="CW159" s="20">
        <f t="shared" si="174"/>
        <v>6.6746200022902298E-12</v>
      </c>
      <c r="CX159" s="59">
        <f t="shared" si="122"/>
        <v>293.33333333333997</v>
      </c>
      <c r="CY159" s="59">
        <f ca="1">AVERAGE(OFFSET($CX$3,0,0,'Données projet'!$E$13+1,1))-AVERAGE(OFFSET($H$3,0,0,'Données projet'!$E$13+1,1))</f>
        <v>190.06335940156185</v>
      </c>
      <c r="CZ159" s="59">
        <f t="shared" si="150"/>
        <v>166.43663896839928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</v>
      </c>
      <c r="DG159" s="21">
        <f>EXP(-LN(2)/25)*DG158+(1-EXP(-LN(2)/25))/(LN(2)/25)*Calculateur!DB159*Calculateur!DD159*VLOOKUP('Données projet'!$B$13,Paramètres!$A$1:$I$89,3,0)*0.475*44/12</f>
        <v>0.13575953810671681</v>
      </c>
      <c r="DH159" s="21">
        <f>EXP(-LN(2)/2)*DH158+(1-EXP(-LN(2)/2))/(LN(2)/2)*DB159*DE159*VLOOKUP('Données projet'!$B$13,Paramètres!$A$1:$I$89,3,0)*0.475*44/12</f>
        <v>5.7748932067957973E-19</v>
      </c>
      <c r="DI159" s="22">
        <f t="shared" si="175"/>
        <v>0.13575953810671681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-1.1368683772161603E-13</v>
      </c>
      <c r="DP159" s="17">
        <f>DO159*VLOOKUP('Données projet'!$B$14,Paramètres!$A$1:$I$89,3,0)*VLOOKUP('Données projet'!$B$14,Paramètres!$A$1:$I$89,5,0)</f>
        <v>-1.0995790944434703E-13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261.22357949323879</v>
      </c>
      <c r="DU159" s="59">
        <f t="shared" si="152"/>
        <v>163.41029152029387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0</v>
      </c>
      <c r="EB159" s="21">
        <f>EXP(-LN(2)/25)*EB158+(1-EXP(-LN(2)/25))/(LN(2)/25)*Calculateur!DW159*Calculateur!DY159*VLOOKUP('Données projet'!$B$14,Paramètres!$A$1:$I$89,3,0)*0.475*44/12</f>
        <v>0.10091723063006312</v>
      </c>
      <c r="EC159" s="21">
        <f>EXP(-LN(2)/2)*EC158+(1-EXP(-LN(2)/2))/(LN(2)/2)*DW159*DZ159*VLOOKUP('Données projet'!$B$14,Paramètres!$A$1:$I$89,3,0)*0.475*44/12</f>
        <v>7.1732977962494363E-19</v>
      </c>
      <c r="ED159" s="22">
        <f t="shared" si="178"/>
        <v>0.10091723063006312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-1.1368683772161603E-13</v>
      </c>
      <c r="EK159" s="17">
        <f>EJ159*VLOOKUP('Données projet'!$B$15,Paramètres!$A$1:$I$89,3,0)*VLOOKUP('Données projet'!$B$15,Paramètres!$A$1:$I$89,5,0)</f>
        <v>-5.3205440053716299E-14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123.60520571614535</v>
      </c>
      <c r="EP159" s="59">
        <f t="shared" si="154"/>
        <v>119.00926870519527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7.1525784723831823E-2</v>
      </c>
      <c r="EW159" s="21">
        <f>EXP(-LN(2)/25)*EW158+(1-EXP(-LN(2)/25))/(LN(2)/25)*Calculateur!ER159*Calculateur!ET159*VLOOKUP('Données projet'!$B$15,Paramètres!$A$1:$I$89,3,0)*0.475*44/12</f>
        <v>0.14519179684284844</v>
      </c>
      <c r="EX159" s="21">
        <f>EXP(-LN(2)/2)*EX158+(1-EXP(-LN(2)/2))/(LN(2)/2)*ER159*EU159*VLOOKUP('Données projet'!$B$15,Paramètres!$A$1:$I$89,3,0)*0.475*44/12</f>
        <v>6.628498196379116E-19</v>
      </c>
      <c r="EY159" s="22">
        <f t="shared" si="181"/>
        <v>0.21671758156668025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-8.5265128291212022E-14</v>
      </c>
      <c r="FF159" s="17">
        <f>FE159*VLOOKUP('Données projet'!$B$16,Paramètres!$A$1:$I$89,3,0)*VLOOKUP('Données projet'!$B$16,Paramètres!$A$1:$I$89,5,0)</f>
        <v>-6.2516392063116648E-14</v>
      </c>
      <c r="FG159" s="13" t="e">
        <f t="shared" si="182"/>
        <v>#NUM!</v>
      </c>
      <c r="FH159" s="20" t="e">
        <f t="shared" si="183"/>
        <v>#NUM!</v>
      </c>
      <c r="FI159" s="59" t="e">
        <f t="shared" si="131"/>
        <v>#NUM!</v>
      </c>
      <c r="FJ159" s="59">
        <f ca="1">AVERAGE(OFFSET($FI$3,0,0,'Données projet'!$E$16+1,1))-AVERAGE(OFFSET($H$3,0,0,'Données projet'!$E$16+1,1))</f>
        <v>124.15919323713428</v>
      </c>
      <c r="FK159" s="59">
        <f t="shared" si="156"/>
        <v>157.85954678210715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0</v>
      </c>
      <c r="FR159" s="21">
        <f>EXP(-LN(2)/25)*FR158+(1-EXP(-LN(2)/25))/(LN(2)/25)*Calculateur!FM159*Calculateur!FO159*VLOOKUP('Données projet'!$B$16,Paramètres!$A$1:$I$89,3,0)*0.475*44/12</f>
        <v>0.15277937705833328</v>
      </c>
      <c r="FS159" s="21">
        <f>EXP(-LN(2)/2)*FS158+(1-EXP(-LN(2)/2))/(LN(2)/2)*FM159*FP159*VLOOKUP('Données projet'!$B$16,Paramètres!$A$1:$I$89,3,0)*0.475*44/12</f>
        <v>7.9985212756949152E-19</v>
      </c>
      <c r="FT159" s="22">
        <f t="shared" si="184"/>
        <v>0.15277937705833328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-1.1368683772161603E-13</v>
      </c>
      <c r="O160" s="13">
        <f>N160*VLOOKUP('Données projet'!$B$9,Paramètres!$A$1:$I$89,3,0)*VLOOKUP('Données projet'!$B$9,Paramètres!$A$1:$I$89,5,0)</f>
        <v>-1.0286385077051818E-13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237.22177246688199</v>
      </c>
      <c r="T160" s="59">
        <f t="shared" si="142"/>
        <v>149.27472147904302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</v>
      </c>
      <c r="AA160" s="21">
        <f>EXP(-LN(2)/25)*AA159+(1-EXP(-LN(2)/25))/(LN(2)/25)*Calculateur!V160*Calculateur!X160*VLOOKUP('Données projet'!$B$9,Paramètres!$A$1:$I$89,3,0)*0.475*44/12</f>
        <v>9.1824892448156489E-2</v>
      </c>
      <c r="AB160" s="21">
        <f>EXP(-LN(2)/2)*AB159+(1-EXP(-LN(2)/2))/(LN(2)/2)*V160*Y160*VLOOKUP('Données projet'!$B$9,Paramètres!$A$1:$I$89,3,0)*0.475*44/12</f>
        <v>4.7450431593792369E-19</v>
      </c>
      <c r="AC160" s="22">
        <f t="shared" si="163"/>
        <v>9.1824892448156489E-2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-8.5265128291212022E-14</v>
      </c>
      <c r="AJ160" s="13">
        <f>AI160*VLOOKUP('Données projet'!$B$10,Paramètres!$A$1:$I$89,3,0)*VLOOKUP('Données projet'!$B$10,Paramètres!$A$1:$I$89,5,0)</f>
        <v>-7.4487616075202836E-14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191.94797389630673</v>
      </c>
      <c r="AO160" s="59">
        <f t="shared" si="144"/>
        <v>273.52540822767878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0.20816659545342467</v>
      </c>
      <c r="AV160" s="21">
        <f>EXP(-LN(2)/25)*AV159+(1-EXP(-LN(2)/25))/(LN(2)/25)*Calculateur!AQ160*Calculateur!AS160*VLOOKUP('Données projet'!$B$10,Paramètres!$A$1:$I$89,3,0)*0.475*44/12</f>
        <v>0.41532377255215669</v>
      </c>
      <c r="AW160" s="21">
        <f>EXP(-LN(2)/2)*AW159+(1-EXP(-LN(2)/2))/(LN(2)/2)*AQ160*AT160*VLOOKUP('Données projet'!$B$10,Paramètres!$A$1:$I$89,3,0)*0.475*44/12</f>
        <v>1.778855181080958E-18</v>
      </c>
      <c r="AX160" s="21">
        <f t="shared" si="166"/>
        <v>0.62349036800558133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72.647148358003676</v>
      </c>
      <c r="BJ160" s="59">
        <f t="shared" si="146"/>
        <v>87.231299224620898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0.10288270463358308</v>
      </c>
      <c r="BQ160" s="21">
        <f>EXP(-LN(2)/25)*BQ159+(1-EXP(-LN(2)/25))/(LN(2)/25)*Calculateur!BL160*Calculateur!BN160*VLOOKUP('Données projet'!$B$11,Paramètres!$A$1:$I$89,3,0)*0.475*44/12</f>
        <v>0.13395963260702382</v>
      </c>
      <c r="BR160" s="21">
        <f>EXP(-LN(2)/2)*BR159+(1-EXP(-LN(2)/2))/(LN(2)/2)*BL160*BO160*VLOOKUP('Données projet'!$B$11,Paramètres!$A$1:$I$89,3,0)*0.475*44/12</f>
        <v>1.7486414996083354E-19</v>
      </c>
      <c r="BS160" s="22">
        <f t="shared" si="169"/>
        <v>0.23684233724060688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5.6843418860808015E-14</v>
      </c>
      <c r="BZ160" s="13">
        <f>BY160*VLOOKUP('Données projet'!$B$12,Paramètres!$A$1:$I$89,3,0)*VLOOKUP('Données projet'!$B$12,Paramètres!$A$1:$I$89,5,0)</f>
        <v>3.3992364478763198E-14</v>
      </c>
      <c r="CA160" s="13">
        <f t="shared" si="170"/>
        <v>5.790027782444094E-13</v>
      </c>
      <c r="CB160" s="20">
        <f t="shared" si="171"/>
        <v>1.0676332069095257E-12</v>
      </c>
      <c r="CC160" s="59">
        <f t="shared" si="119"/>
        <v>293.33333333333439</v>
      </c>
      <c r="CD160" s="59">
        <f ca="1">AVERAGE(OFFSET($CC$3,0,0,'Données projet'!$E$12+1,1))-AVERAGE(OFFSET($H$3,0,0,'Données projet'!$E$12+1,1))</f>
        <v>165.39579887388538</v>
      </c>
      <c r="CE160" s="59">
        <f t="shared" si="148"/>
        <v>155.89639262545802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</v>
      </c>
      <c r="CL160" s="21">
        <f>EXP(-LN(2)/25)*CL159+(1-EXP(-LN(2)/25))/(LN(2)/25)*Calculateur!CG160*Calculateur!CI160*VLOOKUP('Données projet'!$B$12,Paramètres!$A$1:$I$89,3,0)*0.475*44/12</f>
        <v>0.21550144130948817</v>
      </c>
      <c r="CM160" s="21">
        <f>EXP(-LN(2)/2)*CM159+(1-EXP(-LN(2)/2))/(LN(2)/2)*CG160*CJ160*VLOOKUP('Données projet'!$B$12,Paramètres!$A$1:$I$89,3,0)*0.475*44/12</f>
        <v>1.0641083708191727E-18</v>
      </c>
      <c r="CN160" s="22">
        <f t="shared" si="172"/>
        <v>0.21550144130948817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3.4106051316484809E-13</v>
      </c>
      <c r="CU160" s="17">
        <f>CT160*VLOOKUP('Données projet'!$B$13,Paramètres!$A$1:$I$89,3,0)*VLOOKUP('Données projet'!$B$13,Paramètres!$A$1:$I$89,5,0)</f>
        <v>2.6602720026858149E-13</v>
      </c>
      <c r="CV160" s="13">
        <f t="shared" si="173"/>
        <v>3.5662905043956649E-12</v>
      </c>
      <c r="CW160" s="20">
        <f t="shared" si="174"/>
        <v>6.6746200022902298E-12</v>
      </c>
      <c r="CX160" s="59">
        <f t="shared" si="122"/>
        <v>293.33333333333997</v>
      </c>
      <c r="CY160" s="59">
        <f ca="1">AVERAGE(OFFSET($CX$3,0,0,'Données projet'!$E$13+1,1))-AVERAGE(OFFSET($H$3,0,0,'Données projet'!$E$13+1,1))</f>
        <v>190.06335940156185</v>
      </c>
      <c r="CZ160" s="59">
        <f t="shared" si="150"/>
        <v>166.43663896839928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</v>
      </c>
      <c r="DG160" s="21">
        <f>EXP(-LN(2)/25)*DG159+(1-EXP(-LN(2)/25))/(LN(2)/25)*Calculateur!DB160*Calculateur!DD160*VLOOKUP('Données projet'!$B$13,Paramètres!$A$1:$I$89,3,0)*0.475*44/12</f>
        <v>0.13204718639790483</v>
      </c>
      <c r="DH160" s="21">
        <f>EXP(-LN(2)/2)*DH159+(1-EXP(-LN(2)/2))/(LN(2)/2)*DB160*DE160*VLOOKUP('Données projet'!$B$13,Paramètres!$A$1:$I$89,3,0)*0.475*44/12</f>
        <v>4.0834661471534356E-19</v>
      </c>
      <c r="DI160" s="22">
        <f t="shared" si="175"/>
        <v>0.13204718639790483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-1.1368683772161603E-13</v>
      </c>
      <c r="DP160" s="17">
        <f>DO160*VLOOKUP('Données projet'!$B$14,Paramètres!$A$1:$I$89,3,0)*VLOOKUP('Données projet'!$B$14,Paramètres!$A$1:$I$89,5,0)</f>
        <v>-1.0995790944434703E-13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261.22357949323879</v>
      </c>
      <c r="DU160" s="59">
        <f t="shared" si="152"/>
        <v>163.41029152029387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0</v>
      </c>
      <c r="EB160" s="21">
        <f>EXP(-LN(2)/25)*EB159+(1-EXP(-LN(2)/25))/(LN(2)/25)*Calculateur!DW160*Calculateur!DY160*VLOOKUP('Données projet'!$B$14,Paramètres!$A$1:$I$89,3,0)*0.475*44/12</f>
        <v>9.8157643651477541E-2</v>
      </c>
      <c r="EC160" s="21">
        <f>EXP(-LN(2)/2)*EC159+(1-EXP(-LN(2)/2))/(LN(2)/2)*DW160*DZ160*VLOOKUP('Données projet'!$B$14,Paramètres!$A$1:$I$89,3,0)*0.475*44/12</f>
        <v>5.0722875151984936E-19</v>
      </c>
      <c r="ED160" s="22">
        <f t="shared" si="178"/>
        <v>9.8157643651477541E-2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-1.1368683772161603E-13</v>
      </c>
      <c r="EK160" s="17">
        <f>EJ160*VLOOKUP('Données projet'!$B$15,Paramètres!$A$1:$I$89,3,0)*VLOOKUP('Données projet'!$B$15,Paramètres!$A$1:$I$89,5,0)</f>
        <v>-5.3205440053716299E-14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123.60520571614535</v>
      </c>
      <c r="EP160" s="59">
        <f t="shared" si="154"/>
        <v>119.00926870519527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7.0123207711818417E-2</v>
      </c>
      <c r="EW160" s="21">
        <f>EXP(-LN(2)/25)*EW159+(1-EXP(-LN(2)/25))/(LN(2)/25)*Calculateur!ER160*Calculateur!ET160*VLOOKUP('Données projet'!$B$15,Paramètres!$A$1:$I$89,3,0)*0.475*44/12</f>
        <v>0.14122151952287598</v>
      </c>
      <c r="EX160" s="21">
        <f>EXP(-LN(2)/2)*EX159+(1-EXP(-LN(2)/2))/(LN(2)/2)*ER160*EU160*VLOOKUP('Données projet'!$B$15,Paramètres!$A$1:$I$89,3,0)*0.475*44/12</f>
        <v>4.6870560237424724E-19</v>
      </c>
      <c r="EY160" s="22">
        <f t="shared" si="181"/>
        <v>0.21134472723469439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-8.5265128291212022E-14</v>
      </c>
      <c r="FF160" s="17">
        <f>FE160*VLOOKUP('Données projet'!$B$16,Paramètres!$A$1:$I$89,3,0)*VLOOKUP('Données projet'!$B$16,Paramètres!$A$1:$I$89,5,0)</f>
        <v>-6.2516392063116648E-14</v>
      </c>
      <c r="FG160" s="13" t="e">
        <f t="shared" si="182"/>
        <v>#NUM!</v>
      </c>
      <c r="FH160" s="20" t="e">
        <f t="shared" si="183"/>
        <v>#NUM!</v>
      </c>
      <c r="FI160" s="59" t="e">
        <f t="shared" si="131"/>
        <v>#NUM!</v>
      </c>
      <c r="FJ160" s="59">
        <f ca="1">AVERAGE(OFFSET($FI$3,0,0,'Données projet'!$E$16+1,1))-AVERAGE(OFFSET($H$3,0,0,'Données projet'!$E$16+1,1))</f>
        <v>124.15919323713428</v>
      </c>
      <c r="FK160" s="59">
        <f t="shared" si="156"/>
        <v>157.85954678210715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0</v>
      </c>
      <c r="FR160" s="21">
        <f>EXP(-LN(2)/25)*FR159+(1-EXP(-LN(2)/25))/(LN(2)/25)*Calculateur!FM160*Calculateur!FO160*VLOOKUP('Données projet'!$B$16,Paramètres!$A$1:$I$89,3,0)*0.475*44/12</f>
        <v>0.14860161695835489</v>
      </c>
      <c r="FS160" s="21">
        <f>EXP(-LN(2)/2)*FS159+(1-EXP(-LN(2)/2))/(LN(2)/2)*FM160*FP160*VLOOKUP('Données projet'!$B$16,Paramètres!$A$1:$I$89,3,0)*0.475*44/12</f>
        <v>5.6558086335087493E-19</v>
      </c>
      <c r="FT160" s="22">
        <f t="shared" si="184"/>
        <v>0.14860161695835489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-1.1368683772161603E-13</v>
      </c>
      <c r="O161" s="13">
        <f>N161*VLOOKUP('Données projet'!$B$9,Paramètres!$A$1:$I$89,3,0)*VLOOKUP('Données projet'!$B$9,Paramètres!$A$1:$I$89,5,0)</f>
        <v>-1.0286385077051818E-13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237.22177246688199</v>
      </c>
      <c r="T161" s="59">
        <f t="shared" si="142"/>
        <v>149.27472147904302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</v>
      </c>
      <c r="AA161" s="21">
        <f>EXP(-LN(2)/25)*AA160+(1-EXP(-LN(2)/25))/(LN(2)/25)*Calculateur!V161*Calculateur!X161*VLOOKUP('Données projet'!$B$9,Paramètres!$A$1:$I$89,3,0)*0.475*44/12</f>
        <v>8.9313935935300431E-2</v>
      </c>
      <c r="AB161" s="21">
        <f>EXP(-LN(2)/2)*AB160+(1-EXP(-LN(2)/2))/(LN(2)/2)*V161*Y161*VLOOKUP('Données projet'!$B$9,Paramètres!$A$1:$I$89,3,0)*0.475*44/12</f>
        <v>3.3552521950198982E-19</v>
      </c>
      <c r="AC161" s="22">
        <f t="shared" si="163"/>
        <v>8.9313935935300431E-2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-8.5265128291212022E-14</v>
      </c>
      <c r="AJ161" s="13">
        <f>AI161*VLOOKUP('Données projet'!$B$10,Paramètres!$A$1:$I$89,3,0)*VLOOKUP('Données projet'!$B$10,Paramètres!$A$1:$I$89,5,0)</f>
        <v>-7.4487616075202836E-14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191.94797389630673</v>
      </c>
      <c r="AO161" s="59">
        <f t="shared" si="144"/>
        <v>273.52540822767878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0.20408457548566908</v>
      </c>
      <c r="AV161" s="21">
        <f>EXP(-LN(2)/25)*AV160+(1-EXP(-LN(2)/25))/(LN(2)/25)*Calculateur!AQ161*Calculateur!AS161*VLOOKUP('Données projet'!$B$10,Paramètres!$A$1:$I$89,3,0)*0.475*44/12</f>
        <v>0.40396672215078999</v>
      </c>
      <c r="AW161" s="21">
        <f>EXP(-LN(2)/2)*AW160+(1-EXP(-LN(2)/2))/(LN(2)/2)*AQ161*AT161*VLOOKUP('Données projet'!$B$10,Paramètres!$A$1:$I$89,3,0)*0.475*44/12</f>
        <v>1.2578405612911694E-18</v>
      </c>
      <c r="AX161" s="21">
        <f t="shared" si="166"/>
        <v>0.60805129763645904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72.647148358003676</v>
      </c>
      <c r="BJ161" s="59">
        <f t="shared" si="146"/>
        <v>87.231299224620898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0.10086523754797207</v>
      </c>
      <c r="BQ161" s="21">
        <f>EXP(-LN(2)/25)*BQ160+(1-EXP(-LN(2)/25))/(LN(2)/25)*Calculateur!BL161*Calculateur!BN161*VLOOKUP('Données projet'!$B$11,Paramètres!$A$1:$I$89,3,0)*0.475*44/12</f>
        <v>0.13029649940875385</v>
      </c>
      <c r="BR161" s="21">
        <f>EXP(-LN(2)/2)*BR160+(1-EXP(-LN(2)/2))/(LN(2)/2)*BL161*BO161*VLOOKUP('Données projet'!$B$11,Paramètres!$A$1:$I$89,3,0)*0.475*44/12</f>
        <v>1.2364762622372675E-19</v>
      </c>
      <c r="BS161" s="22">
        <f t="shared" si="169"/>
        <v>0.23116173695672593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5.6843418860808015E-14</v>
      </c>
      <c r="BZ161" s="13">
        <f>BY161*VLOOKUP('Données projet'!$B$12,Paramètres!$A$1:$I$89,3,0)*VLOOKUP('Données projet'!$B$12,Paramètres!$A$1:$I$89,5,0)</f>
        <v>3.3992364478763198E-14</v>
      </c>
      <c r="CA161" s="13">
        <f t="shared" si="170"/>
        <v>5.790027782444094E-13</v>
      </c>
      <c r="CB161" s="20">
        <f t="shared" si="171"/>
        <v>1.0676332069095257E-12</v>
      </c>
      <c r="CC161" s="59">
        <f t="shared" si="119"/>
        <v>293.33333333333439</v>
      </c>
      <c r="CD161" s="59">
        <f ca="1">AVERAGE(OFFSET($CC$3,0,0,'Données projet'!$E$12+1,1))-AVERAGE(OFFSET($H$3,0,0,'Données projet'!$E$12+1,1))</f>
        <v>165.39579887388538</v>
      </c>
      <c r="CE161" s="59">
        <f t="shared" si="148"/>
        <v>155.89639262545802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</v>
      </c>
      <c r="CL161" s="21">
        <f>EXP(-LN(2)/25)*CL160+(1-EXP(-LN(2)/25))/(LN(2)/25)*Calculateur!CG161*Calculateur!CI161*VLOOKUP('Données projet'!$B$12,Paramètres!$A$1:$I$89,3,0)*0.475*44/12</f>
        <v>0.20960854306415194</v>
      </c>
      <c r="CM161" s="21">
        <f>EXP(-LN(2)/2)*CM160+(1-EXP(-LN(2)/2))/(LN(2)/2)*CG161*CJ161*VLOOKUP('Données projet'!$B$12,Paramètres!$A$1:$I$89,3,0)*0.475*44/12</f>
        <v>7.5243824492360636E-19</v>
      </c>
      <c r="CN161" s="22">
        <f t="shared" si="172"/>
        <v>0.20960854306415194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3.4106051316484809E-13</v>
      </c>
      <c r="CU161" s="17">
        <f>CT161*VLOOKUP('Données projet'!$B$13,Paramètres!$A$1:$I$89,3,0)*VLOOKUP('Données projet'!$B$13,Paramètres!$A$1:$I$89,5,0)</f>
        <v>2.6602720026858149E-13</v>
      </c>
      <c r="CV161" s="13">
        <f t="shared" si="173"/>
        <v>3.5662905043956649E-12</v>
      </c>
      <c r="CW161" s="20">
        <f t="shared" si="174"/>
        <v>6.6746200022902298E-12</v>
      </c>
      <c r="CX161" s="59">
        <f t="shared" si="122"/>
        <v>293.33333333333997</v>
      </c>
      <c r="CY161" s="59">
        <f ca="1">AVERAGE(OFFSET($CX$3,0,0,'Données projet'!$E$13+1,1))-AVERAGE(OFFSET($H$3,0,0,'Données projet'!$E$13+1,1))</f>
        <v>190.06335940156185</v>
      </c>
      <c r="CZ161" s="59">
        <f t="shared" si="150"/>
        <v>166.43663896839928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</v>
      </c>
      <c r="DG161" s="21">
        <f>EXP(-LN(2)/25)*DG160+(1-EXP(-LN(2)/25))/(LN(2)/25)*Calculateur!DB161*Calculateur!DD161*VLOOKUP('Données projet'!$B$13,Paramètres!$A$1:$I$89,3,0)*0.475*44/12</f>
        <v>0.12843634914179439</v>
      </c>
      <c r="DH161" s="21">
        <f>EXP(-LN(2)/2)*DH160+(1-EXP(-LN(2)/2))/(LN(2)/2)*DB161*DE161*VLOOKUP('Données projet'!$B$13,Paramètres!$A$1:$I$89,3,0)*0.475*44/12</f>
        <v>2.8874466033978986E-19</v>
      </c>
      <c r="DI161" s="22">
        <f t="shared" si="175"/>
        <v>0.12843634914179439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-1.1368683772161603E-13</v>
      </c>
      <c r="DP161" s="17">
        <f>DO161*VLOOKUP('Données projet'!$B$14,Paramètres!$A$1:$I$89,3,0)*VLOOKUP('Données projet'!$B$14,Paramètres!$A$1:$I$89,5,0)</f>
        <v>-1.0995790944434703E-13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261.22357949323879</v>
      </c>
      <c r="DU161" s="59">
        <f t="shared" si="152"/>
        <v>163.41029152029387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0</v>
      </c>
      <c r="EB161" s="21">
        <f>EXP(-LN(2)/25)*EB160+(1-EXP(-LN(2)/25))/(LN(2)/25)*Calculateur!DW161*Calculateur!DY161*VLOOKUP('Données projet'!$B$14,Paramètres!$A$1:$I$89,3,0)*0.475*44/12</f>
        <v>9.5473517723941748E-2</v>
      </c>
      <c r="EC161" s="21">
        <f>EXP(-LN(2)/2)*EC160+(1-EXP(-LN(2)/2))/(LN(2)/2)*DW161*DZ161*VLOOKUP('Données projet'!$B$14,Paramètres!$A$1:$I$89,3,0)*0.475*44/12</f>
        <v>3.5866488981247181E-19</v>
      </c>
      <c r="ED161" s="22">
        <f t="shared" si="178"/>
        <v>9.5473517723941748E-2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-1.1368683772161603E-13</v>
      </c>
      <c r="EK161" s="17">
        <f>EJ161*VLOOKUP('Données projet'!$B$15,Paramètres!$A$1:$I$89,3,0)*VLOOKUP('Données projet'!$B$15,Paramètres!$A$1:$I$89,5,0)</f>
        <v>-5.3205440053716299E-14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123.60520571614535</v>
      </c>
      <c r="EP161" s="59">
        <f t="shared" si="154"/>
        <v>119.00926870519527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6.8748134379523082E-2</v>
      </c>
      <c r="EW161" s="21">
        <f>EXP(-LN(2)/25)*EW160+(1-EXP(-LN(2)/25))/(LN(2)/25)*Calculateur!ER161*Calculateur!ET161*VLOOKUP('Données projet'!$B$15,Paramètres!$A$1:$I$89,3,0)*0.475*44/12</f>
        <v>0.13735980964500599</v>
      </c>
      <c r="EX161" s="21">
        <f>EXP(-LN(2)/2)*EX160+(1-EXP(-LN(2)/2))/(LN(2)/2)*ER161*EU161*VLOOKUP('Données projet'!$B$15,Paramètres!$A$1:$I$89,3,0)*0.475*44/12</f>
        <v>3.314249098189558E-19</v>
      </c>
      <c r="EY161" s="22">
        <f t="shared" si="181"/>
        <v>0.20610794402452909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-8.5265128291212022E-14</v>
      </c>
      <c r="FF161" s="17">
        <f>FE161*VLOOKUP('Données projet'!$B$16,Paramètres!$A$1:$I$89,3,0)*VLOOKUP('Données projet'!$B$16,Paramètres!$A$1:$I$89,5,0)</f>
        <v>-6.2516392063116648E-14</v>
      </c>
      <c r="FG161" s="13" t="e">
        <f t="shared" si="182"/>
        <v>#NUM!</v>
      </c>
      <c r="FH161" s="20" t="e">
        <f t="shared" si="183"/>
        <v>#NUM!</v>
      </c>
      <c r="FI161" s="59" t="e">
        <f t="shared" si="131"/>
        <v>#NUM!</v>
      </c>
      <c r="FJ161" s="59">
        <f ca="1">AVERAGE(OFFSET($FI$3,0,0,'Données projet'!$E$16+1,1))-AVERAGE(OFFSET($H$3,0,0,'Données projet'!$E$16+1,1))</f>
        <v>124.15919323713428</v>
      </c>
      <c r="FK161" s="59">
        <f t="shared" si="156"/>
        <v>157.85954678210715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0</v>
      </c>
      <c r="FR161" s="21">
        <f>EXP(-LN(2)/25)*FR160+(1-EXP(-LN(2)/25))/(LN(2)/25)*Calculateur!FM161*Calculateur!FO161*VLOOKUP('Données projet'!$B$16,Paramètres!$A$1:$I$89,3,0)*0.475*44/12</f>
        <v>0.14453809792800926</v>
      </c>
      <c r="FS161" s="21">
        <f>EXP(-LN(2)/2)*FS160+(1-EXP(-LN(2)/2))/(LN(2)/2)*FM161*FP161*VLOOKUP('Données projet'!$B$16,Paramètres!$A$1:$I$89,3,0)*0.475*44/12</f>
        <v>3.9992606378474576E-19</v>
      </c>
      <c r="FT161" s="22">
        <f t="shared" si="184"/>
        <v>0.14453809792800926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-1.1368683772161603E-13</v>
      </c>
      <c r="O162" s="13">
        <f>N162*VLOOKUP('Données projet'!$B$9,Paramètres!$A$1:$I$89,3,0)*VLOOKUP('Données projet'!$B$9,Paramètres!$A$1:$I$89,5,0)</f>
        <v>-1.0286385077051818E-13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237.22177246688199</v>
      </c>
      <c r="T162" s="59">
        <f t="shared" si="142"/>
        <v>149.27472147904302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</v>
      </c>
      <c r="AA162" s="21">
        <f>EXP(-LN(2)/25)*AA161+(1-EXP(-LN(2)/25))/(LN(2)/25)*Calculateur!V162*Calculateur!X162*VLOOKUP('Données projet'!$B$9,Paramètres!$A$1:$I$89,3,0)*0.475*44/12</f>
        <v>8.6871641660333884E-2</v>
      </c>
      <c r="AB162" s="21">
        <f>EXP(-LN(2)/2)*AB161+(1-EXP(-LN(2)/2))/(LN(2)/2)*V162*Y162*VLOOKUP('Données projet'!$B$9,Paramètres!$A$1:$I$89,3,0)*0.475*44/12</f>
        <v>2.3725215796896184E-19</v>
      </c>
      <c r="AC162" s="22">
        <f t="shared" si="163"/>
        <v>8.6871641660333884E-2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-8.5265128291212022E-14</v>
      </c>
      <c r="AJ162" s="13">
        <f>AI162*VLOOKUP('Données projet'!$B$10,Paramètres!$A$1:$I$89,3,0)*VLOOKUP('Données projet'!$B$10,Paramètres!$A$1:$I$89,5,0)</f>
        <v>-7.4487616075202836E-14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191.94797389630673</v>
      </c>
      <c r="AO162" s="59">
        <f t="shared" si="144"/>
        <v>273.52540822767878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0.20008260143969483</v>
      </c>
      <c r="AV162" s="21">
        <f>EXP(-LN(2)/25)*AV161+(1-EXP(-LN(2)/25))/(LN(2)/25)*Calculateur!AQ162*Calculateur!AS162*VLOOKUP('Données projet'!$B$10,Paramètres!$A$1:$I$89,3,0)*0.475*44/12</f>
        <v>0.39292023088988998</v>
      </c>
      <c r="AW162" s="21">
        <f>EXP(-LN(2)/2)*AW161+(1-EXP(-LN(2)/2))/(LN(2)/2)*AQ162*AT162*VLOOKUP('Données projet'!$B$10,Paramètres!$A$1:$I$89,3,0)*0.475*44/12</f>
        <v>8.8942759054047898E-19</v>
      </c>
      <c r="AX162" s="21">
        <f t="shared" si="166"/>
        <v>0.59300283232958484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72.647148358003676</v>
      </c>
      <c r="BJ162" s="59">
        <f t="shared" si="146"/>
        <v>87.231299224620898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9.8887331761376471E-2</v>
      </c>
      <c r="BQ162" s="21">
        <f>EXP(-LN(2)/25)*BQ161+(1-EXP(-LN(2)/25))/(LN(2)/25)*Calculateur!BL162*Calculateur!BN162*VLOOKUP('Données projet'!$B$11,Paramètres!$A$1:$I$89,3,0)*0.475*44/12</f>
        <v>0.12673353478042637</v>
      </c>
      <c r="BR162" s="21">
        <f>EXP(-LN(2)/2)*BR161+(1-EXP(-LN(2)/2))/(LN(2)/2)*BL162*BO162*VLOOKUP('Données projet'!$B$11,Paramètres!$A$1:$I$89,3,0)*0.475*44/12</f>
        <v>8.7432074980416771E-20</v>
      </c>
      <c r="BS162" s="22">
        <f t="shared" si="169"/>
        <v>0.22562086654180286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5.6843418860808015E-14</v>
      </c>
      <c r="BZ162" s="13">
        <f>BY162*VLOOKUP('Données projet'!$B$12,Paramètres!$A$1:$I$89,3,0)*VLOOKUP('Données projet'!$B$12,Paramètres!$A$1:$I$89,5,0)</f>
        <v>3.3992364478763198E-14</v>
      </c>
      <c r="CA162" s="13">
        <f t="shared" si="170"/>
        <v>5.790027782444094E-13</v>
      </c>
      <c r="CB162" s="20">
        <f t="shared" si="171"/>
        <v>1.0676332069095257E-12</v>
      </c>
      <c r="CC162" s="59">
        <f t="shared" si="119"/>
        <v>293.33333333333439</v>
      </c>
      <c r="CD162" s="59">
        <f ca="1">AVERAGE(OFFSET($CC$3,0,0,'Données projet'!$E$12+1,1))-AVERAGE(OFFSET($H$3,0,0,'Données projet'!$E$12+1,1))</f>
        <v>165.39579887388538</v>
      </c>
      <c r="CE162" s="59">
        <f t="shared" si="148"/>
        <v>155.89639262545802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</v>
      </c>
      <c r="CL162" s="21">
        <f>EXP(-LN(2)/25)*CL161+(1-EXP(-LN(2)/25))/(LN(2)/25)*Calculateur!CG162*Calculateur!CI162*VLOOKUP('Données projet'!$B$12,Paramètres!$A$1:$I$89,3,0)*0.475*44/12</f>
        <v>0.2038767864312285</v>
      </c>
      <c r="CM162" s="21">
        <f>EXP(-LN(2)/2)*CM161+(1-EXP(-LN(2)/2))/(LN(2)/2)*CG162*CJ162*VLOOKUP('Données projet'!$B$12,Paramètres!$A$1:$I$89,3,0)*0.475*44/12</f>
        <v>5.3205418540958636E-19</v>
      </c>
      <c r="CN162" s="22">
        <f t="shared" si="172"/>
        <v>0.2038767864312285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3.4106051316484809E-13</v>
      </c>
      <c r="CU162" s="17">
        <f>CT162*VLOOKUP('Données projet'!$B$13,Paramètres!$A$1:$I$89,3,0)*VLOOKUP('Données projet'!$B$13,Paramètres!$A$1:$I$89,5,0)</f>
        <v>2.6602720026858149E-13</v>
      </c>
      <c r="CV162" s="13">
        <f t="shared" si="173"/>
        <v>3.5662905043956649E-12</v>
      </c>
      <c r="CW162" s="20">
        <f t="shared" si="174"/>
        <v>6.6746200022902298E-12</v>
      </c>
      <c r="CX162" s="59">
        <f t="shared" si="122"/>
        <v>293.33333333333997</v>
      </c>
      <c r="CY162" s="59">
        <f ca="1">AVERAGE(OFFSET($CX$3,0,0,'Données projet'!$E$13+1,1))-AVERAGE(OFFSET($H$3,0,0,'Données projet'!$E$13+1,1))</f>
        <v>190.06335940156185</v>
      </c>
      <c r="CZ162" s="59">
        <f t="shared" si="150"/>
        <v>166.43663896839928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</v>
      </c>
      <c r="DG162" s="21">
        <f>EXP(-LN(2)/25)*DG161+(1-EXP(-LN(2)/25))/(LN(2)/25)*Calculateur!DB162*Calculateur!DD162*VLOOKUP('Données projet'!$B$13,Paramètres!$A$1:$I$89,3,0)*0.475*44/12</f>
        <v>0.12492425042033796</v>
      </c>
      <c r="DH162" s="21">
        <f>EXP(-LN(2)/2)*DH161+(1-EXP(-LN(2)/2))/(LN(2)/2)*DB162*DE162*VLOOKUP('Données projet'!$B$13,Paramètres!$A$1:$I$89,3,0)*0.475*44/12</f>
        <v>2.0417330735767178E-19</v>
      </c>
      <c r="DI162" s="22">
        <f t="shared" si="175"/>
        <v>0.12492425042033796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-1.1368683772161603E-13</v>
      </c>
      <c r="DP162" s="17">
        <f>DO162*VLOOKUP('Données projet'!$B$14,Paramètres!$A$1:$I$89,3,0)*VLOOKUP('Données projet'!$B$14,Paramètres!$A$1:$I$89,5,0)</f>
        <v>-1.0995790944434703E-13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261.22357949323879</v>
      </c>
      <c r="DU162" s="59">
        <f t="shared" si="152"/>
        <v>163.41029152029387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0</v>
      </c>
      <c r="EB162" s="21">
        <f>EXP(-LN(2)/25)*EB161+(1-EXP(-LN(2)/25))/(LN(2)/25)*Calculateur!DW162*Calculateur!DY162*VLOOKUP('Données projet'!$B$14,Paramètres!$A$1:$I$89,3,0)*0.475*44/12</f>
        <v>9.2862789361046472E-2</v>
      </c>
      <c r="EC162" s="21">
        <f>EXP(-LN(2)/2)*EC161+(1-EXP(-LN(2)/2))/(LN(2)/2)*DW162*DZ162*VLOOKUP('Données projet'!$B$14,Paramètres!$A$1:$I$89,3,0)*0.475*44/12</f>
        <v>2.5361437575992468E-19</v>
      </c>
      <c r="ED162" s="22">
        <f t="shared" si="178"/>
        <v>9.2862789361046472E-2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-1.1368683772161603E-13</v>
      </c>
      <c r="EK162" s="17">
        <f>EJ162*VLOOKUP('Données projet'!$B$15,Paramètres!$A$1:$I$89,3,0)*VLOOKUP('Données projet'!$B$15,Paramètres!$A$1:$I$89,5,0)</f>
        <v>-5.3205440053716299E-14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123.60520571614535</v>
      </c>
      <c r="EP162" s="59">
        <f t="shared" si="154"/>
        <v>119.00926870519527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6.7400025396562147E-2</v>
      </c>
      <c r="EW162" s="21">
        <f>EXP(-LN(2)/25)*EW161+(1-EXP(-LN(2)/25))/(LN(2)/25)*Calculateur!ER162*Calculateur!ET162*VLOOKUP('Données projet'!$B$15,Paramètres!$A$1:$I$89,3,0)*0.475*44/12</f>
        <v>0.13360369842682485</v>
      </c>
      <c r="EX162" s="21">
        <f>EXP(-LN(2)/2)*EX161+(1-EXP(-LN(2)/2))/(LN(2)/2)*ER162*EU162*VLOOKUP('Données projet'!$B$15,Paramètres!$A$1:$I$89,3,0)*0.475*44/12</f>
        <v>2.3435280118712362E-19</v>
      </c>
      <c r="EY162" s="22">
        <f t="shared" si="181"/>
        <v>0.20100372382338699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-8.5265128291212022E-14</v>
      </c>
      <c r="FF162" s="17">
        <f>FE162*VLOOKUP('Données projet'!$B$16,Paramètres!$A$1:$I$89,3,0)*VLOOKUP('Données projet'!$B$16,Paramètres!$A$1:$I$89,5,0)</f>
        <v>-6.2516392063116648E-14</v>
      </c>
      <c r="FG162" s="13" t="e">
        <f t="shared" si="182"/>
        <v>#NUM!</v>
      </c>
      <c r="FH162" s="20" t="e">
        <f t="shared" si="183"/>
        <v>#NUM!</v>
      </c>
      <c r="FI162" s="59" t="e">
        <f t="shared" si="131"/>
        <v>#NUM!</v>
      </c>
      <c r="FJ162" s="59">
        <f ca="1">AVERAGE(OFFSET($FI$3,0,0,'Données projet'!$E$16+1,1))-AVERAGE(OFFSET($H$3,0,0,'Données projet'!$E$16+1,1))</f>
        <v>124.15919323713428</v>
      </c>
      <c r="FK162" s="59">
        <f t="shared" si="156"/>
        <v>157.85954678210715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0</v>
      </c>
      <c r="FR162" s="21">
        <f>EXP(-LN(2)/25)*FR161+(1-EXP(-LN(2)/25))/(LN(2)/25)*Calculateur!FM162*Calculateur!FO162*VLOOKUP('Données projet'!$B$16,Paramètres!$A$1:$I$89,3,0)*0.475*44/12</f>
        <v>0.14058569603923962</v>
      </c>
      <c r="FS162" s="21">
        <f>EXP(-LN(2)/2)*FS161+(1-EXP(-LN(2)/2))/(LN(2)/2)*FM162*FP162*VLOOKUP('Données projet'!$B$16,Paramètres!$A$1:$I$89,3,0)*0.475*44/12</f>
        <v>2.8279043167543746E-19</v>
      </c>
      <c r="FT162" s="22">
        <f t="shared" si="184"/>
        <v>0.14058569603923962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-1.1368683772161603E-13</v>
      </c>
      <c r="O163" s="13">
        <f>N163*VLOOKUP('Données projet'!$B$9,Paramètres!$A$1:$I$89,3,0)*VLOOKUP('Données projet'!$B$9,Paramètres!$A$1:$I$89,5,0)</f>
        <v>-1.0286385077051818E-13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237.22177246688199</v>
      </c>
      <c r="T163" s="59">
        <f t="shared" si="142"/>
        <v>149.27472147904302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</v>
      </c>
      <c r="AA163" s="21">
        <f>EXP(-LN(2)/25)*AA162+(1-EXP(-LN(2)/25))/(LN(2)/25)*Calculateur!V163*Calculateur!X163*VLOOKUP('Données projet'!$B$9,Paramètres!$A$1:$I$89,3,0)*0.475*44/12</f>
        <v>8.4496132050750961E-2</v>
      </c>
      <c r="AB163" s="21">
        <f>EXP(-LN(2)/2)*AB162+(1-EXP(-LN(2)/2))/(LN(2)/2)*V163*Y163*VLOOKUP('Données projet'!$B$9,Paramètres!$A$1:$I$89,3,0)*0.475*44/12</f>
        <v>1.6776260975099491E-19</v>
      </c>
      <c r="AC163" s="22">
        <f t="shared" si="163"/>
        <v>8.4496132050750961E-2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-8.5265128291212022E-14</v>
      </c>
      <c r="AJ163" s="13">
        <f>AI163*VLOOKUP('Données projet'!$B$10,Paramètres!$A$1:$I$89,3,0)*VLOOKUP('Données projet'!$B$10,Paramètres!$A$1:$I$89,5,0)</f>
        <v>-7.4487616075202836E-14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191.94797389630673</v>
      </c>
      <c r="AO163" s="59">
        <f t="shared" si="144"/>
        <v>273.52540822767878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0.19615910366379902</v>
      </c>
      <c r="AV163" s="21">
        <f>EXP(-LN(2)/25)*AV162+(1-EXP(-LN(2)/25))/(LN(2)/25)*Calculateur!AQ163*Calculateur!AS163*VLOOKUP('Données projet'!$B$10,Paramètres!$A$1:$I$89,3,0)*0.475*44/12</f>
        <v>0.38217580651342903</v>
      </c>
      <c r="AW163" s="21">
        <f>EXP(-LN(2)/2)*AW162+(1-EXP(-LN(2)/2))/(LN(2)/2)*AQ163*AT163*VLOOKUP('Données projet'!$B$10,Paramètres!$A$1:$I$89,3,0)*0.475*44/12</f>
        <v>6.2892028064558468E-19</v>
      </c>
      <c r="AX163" s="21">
        <f t="shared" si="166"/>
        <v>0.57833491017722805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72.647148358003676</v>
      </c>
      <c r="BJ163" s="59">
        <f t="shared" si="146"/>
        <v>87.231299224620898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9.6948211500852616E-2</v>
      </c>
      <c r="BQ163" s="21">
        <f>EXP(-LN(2)/25)*BQ162+(1-EXP(-LN(2)/25))/(LN(2)/25)*Calculateur!BL163*Calculateur!BN163*VLOOKUP('Données projet'!$B$11,Paramètres!$A$1:$I$89,3,0)*0.475*44/12</f>
        <v>0.12326799960722867</v>
      </c>
      <c r="BR163" s="21">
        <f>EXP(-LN(2)/2)*BR162+(1-EXP(-LN(2)/2))/(LN(2)/2)*BL163*BO163*VLOOKUP('Données projet'!$B$11,Paramètres!$A$1:$I$89,3,0)*0.475*44/12</f>
        <v>6.1823813111863377E-20</v>
      </c>
      <c r="BS163" s="22">
        <f t="shared" si="169"/>
        <v>0.22021621110808129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5.6843418860808015E-14</v>
      </c>
      <c r="BZ163" s="13">
        <f>BY163*VLOOKUP('Données projet'!$B$12,Paramètres!$A$1:$I$89,3,0)*VLOOKUP('Données projet'!$B$12,Paramètres!$A$1:$I$89,5,0)</f>
        <v>3.3992364478763198E-14</v>
      </c>
      <c r="CA163" s="13">
        <f t="shared" si="170"/>
        <v>5.790027782444094E-13</v>
      </c>
      <c r="CB163" s="20">
        <f t="shared" si="171"/>
        <v>1.0676332069095257E-12</v>
      </c>
      <c r="CC163" s="59">
        <f t="shared" si="119"/>
        <v>293.33333333333439</v>
      </c>
      <c r="CD163" s="59">
        <f ca="1">AVERAGE(OFFSET($CC$3,0,0,'Données projet'!$E$12+1,1))-AVERAGE(OFFSET($H$3,0,0,'Données projet'!$E$12+1,1))</f>
        <v>165.39579887388538</v>
      </c>
      <c r="CE163" s="59">
        <f t="shared" si="148"/>
        <v>155.89639262545802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</v>
      </c>
      <c r="CL163" s="21">
        <f>EXP(-LN(2)/25)*CL162+(1-EXP(-LN(2)/25))/(LN(2)/25)*Calculateur!CG163*Calculateur!CI163*VLOOKUP('Données projet'!$B$12,Paramètres!$A$1:$I$89,3,0)*0.475*44/12</f>
        <v>0.19830176498485233</v>
      </c>
      <c r="CM163" s="21">
        <f>EXP(-LN(2)/2)*CM162+(1-EXP(-LN(2)/2))/(LN(2)/2)*CG163*CJ163*VLOOKUP('Données projet'!$B$12,Paramètres!$A$1:$I$89,3,0)*0.475*44/12</f>
        <v>3.7621912246180318E-19</v>
      </c>
      <c r="CN163" s="22">
        <f t="shared" si="172"/>
        <v>0.19830176498485233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3.4106051316484809E-13</v>
      </c>
      <c r="CU163" s="17">
        <f>CT163*VLOOKUP('Données projet'!$B$13,Paramètres!$A$1:$I$89,3,0)*VLOOKUP('Données projet'!$B$13,Paramètres!$A$1:$I$89,5,0)</f>
        <v>2.6602720026858149E-13</v>
      </c>
      <c r="CV163" s="13">
        <f t="shared" si="173"/>
        <v>3.5662905043956649E-12</v>
      </c>
      <c r="CW163" s="20">
        <f t="shared" si="174"/>
        <v>6.6746200022902298E-12</v>
      </c>
      <c r="CX163" s="59">
        <f t="shared" si="122"/>
        <v>293.33333333333997</v>
      </c>
      <c r="CY163" s="59">
        <f ca="1">AVERAGE(OFFSET($CX$3,0,0,'Données projet'!$E$13+1,1))-AVERAGE(OFFSET($H$3,0,0,'Données projet'!$E$13+1,1))</f>
        <v>190.06335940156185</v>
      </c>
      <c r="CZ163" s="59">
        <f t="shared" si="150"/>
        <v>166.43663896839928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</v>
      </c>
      <c r="DG163" s="21">
        <f>EXP(-LN(2)/25)*DG162+(1-EXP(-LN(2)/25))/(LN(2)/25)*Calculateur!DB163*Calculateur!DD163*VLOOKUP('Données projet'!$B$13,Paramètres!$A$1:$I$89,3,0)*0.475*44/12</f>
        <v>0.121508190223113</v>
      </c>
      <c r="DH163" s="21">
        <f>EXP(-LN(2)/2)*DH162+(1-EXP(-LN(2)/2))/(LN(2)/2)*DB163*DE163*VLOOKUP('Données projet'!$B$13,Paramètres!$A$1:$I$89,3,0)*0.475*44/12</f>
        <v>1.4437233016989493E-19</v>
      </c>
      <c r="DI163" s="22">
        <f t="shared" si="175"/>
        <v>0.121508190223113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-1.1368683772161603E-13</v>
      </c>
      <c r="DP163" s="17">
        <f>DO163*VLOOKUP('Données projet'!$B$14,Paramètres!$A$1:$I$89,3,0)*VLOOKUP('Données projet'!$B$14,Paramètres!$A$1:$I$89,5,0)</f>
        <v>-1.0995790944434703E-13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261.22357949323879</v>
      </c>
      <c r="DU163" s="59">
        <f t="shared" si="152"/>
        <v>163.41029152029387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0</v>
      </c>
      <c r="EB163" s="21">
        <f>EXP(-LN(2)/25)*EB162+(1-EXP(-LN(2)/25))/(LN(2)/25)*Calculateur!DW163*Calculateur!DY163*VLOOKUP('Données projet'!$B$14,Paramètres!$A$1:$I$89,3,0)*0.475*44/12</f>
        <v>9.0323451502526811E-2</v>
      </c>
      <c r="EC163" s="21">
        <f>EXP(-LN(2)/2)*EC162+(1-EXP(-LN(2)/2))/(LN(2)/2)*DW163*DZ163*VLOOKUP('Données projet'!$B$14,Paramètres!$A$1:$I$89,3,0)*0.475*44/12</f>
        <v>1.7933244490623591E-19</v>
      </c>
      <c r="ED163" s="22">
        <f t="shared" si="178"/>
        <v>9.0323451502526811E-2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-1.1368683772161603E-13</v>
      </c>
      <c r="EK163" s="17">
        <f>EJ163*VLOOKUP('Données projet'!$B$15,Paramètres!$A$1:$I$89,3,0)*VLOOKUP('Données projet'!$B$15,Paramètres!$A$1:$I$89,5,0)</f>
        <v>-5.3205440053716299E-14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123.60520571614535</v>
      </c>
      <c r="EP163" s="59">
        <f t="shared" si="154"/>
        <v>119.00926870519527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6.6078352008491784E-2</v>
      </c>
      <c r="EW163" s="21">
        <f>EXP(-LN(2)/25)*EW162+(1-EXP(-LN(2)/25))/(LN(2)/25)*Calculateur!ER163*Calculateur!ET163*VLOOKUP('Données projet'!$B$15,Paramètres!$A$1:$I$89,3,0)*0.475*44/12</f>
        <v>0.12995029826743018</v>
      </c>
      <c r="EX163" s="21">
        <f>EXP(-LN(2)/2)*EX162+(1-EXP(-LN(2)/2))/(LN(2)/2)*ER163*EU163*VLOOKUP('Données projet'!$B$15,Paramètres!$A$1:$I$89,3,0)*0.475*44/12</f>
        <v>1.657124549094779E-19</v>
      </c>
      <c r="EY163" s="22">
        <f t="shared" si="181"/>
        <v>0.19602865027592198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-8.5265128291212022E-14</v>
      </c>
      <c r="FF163" s="17">
        <f>FE163*VLOOKUP('Données projet'!$B$16,Paramètres!$A$1:$I$89,3,0)*VLOOKUP('Données projet'!$B$16,Paramètres!$A$1:$I$89,5,0)</f>
        <v>-6.2516392063116648E-14</v>
      </c>
      <c r="FG163" s="13" t="e">
        <f t="shared" si="182"/>
        <v>#NUM!</v>
      </c>
      <c r="FH163" s="20" t="e">
        <f t="shared" si="183"/>
        <v>#NUM!</v>
      </c>
      <c r="FI163" s="59" t="e">
        <f t="shared" si="131"/>
        <v>#NUM!</v>
      </c>
      <c r="FJ163" s="59">
        <f ca="1">AVERAGE(OFFSET($FI$3,0,0,'Données projet'!$E$16+1,1))-AVERAGE(OFFSET($H$3,0,0,'Données projet'!$E$16+1,1))</f>
        <v>124.15919323713428</v>
      </c>
      <c r="FK163" s="59">
        <f t="shared" si="156"/>
        <v>157.85954678210715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0</v>
      </c>
      <c r="FR163" s="21">
        <f>EXP(-LN(2)/25)*FR162+(1-EXP(-LN(2)/25))/(LN(2)/25)*Calculateur!FM163*Calculateur!FO163*VLOOKUP('Données projet'!$B$16,Paramètres!$A$1:$I$89,3,0)*0.475*44/12</f>
        <v>0.13674137278796616</v>
      </c>
      <c r="FS163" s="21">
        <f>EXP(-LN(2)/2)*FS162+(1-EXP(-LN(2)/2))/(LN(2)/2)*FM163*FP163*VLOOKUP('Données projet'!$B$16,Paramètres!$A$1:$I$89,3,0)*0.475*44/12</f>
        <v>1.9996303189237288E-19</v>
      </c>
      <c r="FT163" s="22">
        <f t="shared" si="184"/>
        <v>0.13674137278796616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-1.1368683772161603E-13</v>
      </c>
      <c r="O164" s="13">
        <f>N164*VLOOKUP('Données projet'!$B$9,Paramètres!$A$1:$I$89,3,0)*VLOOKUP('Données projet'!$B$9,Paramètres!$A$1:$I$89,5,0)</f>
        <v>-1.0286385077051818E-13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237.22177246688199</v>
      </c>
      <c r="T164" s="59">
        <f t="shared" si="142"/>
        <v>149.27472147904302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</v>
      </c>
      <c r="AA164" s="21">
        <f>EXP(-LN(2)/25)*AA163+(1-EXP(-LN(2)/25))/(LN(2)/25)*Calculateur!V164*Calculateur!X164*VLOOKUP('Données projet'!$B$9,Paramètres!$A$1:$I$89,3,0)*0.475*44/12</f>
        <v>8.2185580876364711E-2</v>
      </c>
      <c r="AB164" s="21">
        <f>EXP(-LN(2)/2)*AB163+(1-EXP(-LN(2)/2))/(LN(2)/2)*V164*Y164*VLOOKUP('Données projet'!$B$9,Paramètres!$A$1:$I$89,3,0)*0.475*44/12</f>
        <v>1.1862607898448092E-19</v>
      </c>
      <c r="AC164" s="22">
        <f t="shared" si="163"/>
        <v>8.2185580876364711E-2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-8.5265128291212022E-14</v>
      </c>
      <c r="AJ164" s="13">
        <f>AI164*VLOOKUP('Données projet'!$B$10,Paramètres!$A$1:$I$89,3,0)*VLOOKUP('Données projet'!$B$10,Paramètres!$A$1:$I$89,5,0)</f>
        <v>-7.4487616075202836E-14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191.94797389630673</v>
      </c>
      <c r="AO164" s="59">
        <f t="shared" si="144"/>
        <v>273.52540822767878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0.19231254328619116</v>
      </c>
      <c r="AV164" s="21">
        <f>EXP(-LN(2)/25)*AV163+(1-EXP(-LN(2)/25))/(LN(2)/25)*Calculateur!AQ164*Calculateur!AS164*VLOOKUP('Données projet'!$B$10,Paramètres!$A$1:$I$89,3,0)*0.475*44/12</f>
        <v>0.37172518898656715</v>
      </c>
      <c r="AW164" s="21">
        <f>EXP(-LN(2)/2)*AW163+(1-EXP(-LN(2)/2))/(LN(2)/2)*AQ164*AT164*VLOOKUP('Données projet'!$B$10,Paramètres!$A$1:$I$89,3,0)*0.475*44/12</f>
        <v>4.4471379527023949E-19</v>
      </c>
      <c r="AX164" s="21">
        <f t="shared" si="166"/>
        <v>0.56403773227275833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72.647148358003676</v>
      </c>
      <c r="BJ164" s="59">
        <f t="shared" si="146"/>
        <v>87.231299224620898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9.5047116205891055E-2</v>
      </c>
      <c r="BQ164" s="21">
        <f>EXP(-LN(2)/25)*BQ163+(1-EXP(-LN(2)/25))/(LN(2)/25)*Calculateur!BL164*Calculateur!BN164*VLOOKUP('Données projet'!$B$11,Paramètres!$A$1:$I$89,3,0)*0.475*44/12</f>
        <v>0.11989722967558664</v>
      </c>
      <c r="BR164" s="21">
        <f>EXP(-LN(2)/2)*BR163+(1-EXP(-LN(2)/2))/(LN(2)/2)*BL164*BO164*VLOOKUP('Données projet'!$B$11,Paramètres!$A$1:$I$89,3,0)*0.475*44/12</f>
        <v>4.3716037490208385E-20</v>
      </c>
      <c r="BS164" s="22">
        <f t="shared" si="169"/>
        <v>0.21494434588147771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5.6843418860808015E-14</v>
      </c>
      <c r="BZ164" s="13">
        <f>BY164*VLOOKUP('Données projet'!$B$12,Paramètres!$A$1:$I$89,3,0)*VLOOKUP('Données projet'!$B$12,Paramètres!$A$1:$I$89,5,0)</f>
        <v>3.3992364478763198E-14</v>
      </c>
      <c r="CA164" s="13">
        <f t="shared" si="170"/>
        <v>5.790027782444094E-13</v>
      </c>
      <c r="CB164" s="20">
        <f t="shared" si="171"/>
        <v>1.0676332069095257E-12</v>
      </c>
      <c r="CC164" s="59">
        <f t="shared" si="119"/>
        <v>293.33333333333439</v>
      </c>
      <c r="CD164" s="59">
        <f ca="1">AVERAGE(OFFSET($CC$3,0,0,'Données projet'!$E$12+1,1))-AVERAGE(OFFSET($H$3,0,0,'Données projet'!$E$12+1,1))</f>
        <v>165.39579887388538</v>
      </c>
      <c r="CE164" s="59">
        <f t="shared" si="148"/>
        <v>155.89639262545802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</v>
      </c>
      <c r="CL164" s="21">
        <f>EXP(-LN(2)/25)*CL163+(1-EXP(-LN(2)/25))/(LN(2)/25)*Calculateur!CG164*Calculateur!CI164*VLOOKUP('Données projet'!$B$12,Paramètres!$A$1:$I$89,3,0)*0.475*44/12</f>
        <v>0.19287919279310495</v>
      </c>
      <c r="CM164" s="21">
        <f>EXP(-LN(2)/2)*CM163+(1-EXP(-LN(2)/2))/(LN(2)/2)*CG164*CJ164*VLOOKUP('Données projet'!$B$12,Paramètres!$A$1:$I$89,3,0)*0.475*44/12</f>
        <v>2.6602709270479318E-19</v>
      </c>
      <c r="CN164" s="22">
        <f t="shared" si="172"/>
        <v>0.19287919279310495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3.4106051316484809E-13</v>
      </c>
      <c r="CU164" s="17">
        <f>CT164*VLOOKUP('Données projet'!$B$13,Paramètres!$A$1:$I$89,3,0)*VLOOKUP('Données projet'!$B$13,Paramètres!$A$1:$I$89,5,0)</f>
        <v>2.6602720026858149E-13</v>
      </c>
      <c r="CV164" s="13">
        <f t="shared" si="173"/>
        <v>3.5662905043956649E-12</v>
      </c>
      <c r="CW164" s="20">
        <f t="shared" si="174"/>
        <v>6.6746200022902298E-12</v>
      </c>
      <c r="CX164" s="59">
        <f t="shared" si="122"/>
        <v>293.33333333333997</v>
      </c>
      <c r="CY164" s="59">
        <f ca="1">AVERAGE(OFFSET($CX$3,0,0,'Données projet'!$E$13+1,1))-AVERAGE(OFFSET($H$3,0,0,'Données projet'!$E$13+1,1))</f>
        <v>190.06335940156185</v>
      </c>
      <c r="CZ164" s="59">
        <f t="shared" si="150"/>
        <v>166.43663896839928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</v>
      </c>
      <c r="DG164" s="21">
        <f>EXP(-LN(2)/25)*DG163+(1-EXP(-LN(2)/25))/(LN(2)/25)*Calculateur!DB164*Calculateur!DD164*VLOOKUP('Données projet'!$B$13,Paramètres!$A$1:$I$89,3,0)*0.475*44/12</f>
        <v>0.11818554237162396</v>
      </c>
      <c r="DH164" s="21">
        <f>EXP(-LN(2)/2)*DH163+(1-EXP(-LN(2)/2))/(LN(2)/2)*DB164*DE164*VLOOKUP('Données projet'!$B$13,Paramètres!$A$1:$I$89,3,0)*0.475*44/12</f>
        <v>1.0208665367883589E-19</v>
      </c>
      <c r="DI164" s="22">
        <f t="shared" si="175"/>
        <v>0.11818554237162396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-1.1368683772161603E-13</v>
      </c>
      <c r="DP164" s="17">
        <f>DO164*VLOOKUP('Données projet'!$B$14,Paramètres!$A$1:$I$89,3,0)*VLOOKUP('Données projet'!$B$14,Paramètres!$A$1:$I$89,5,0)</f>
        <v>-1.0995790944434703E-13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261.22357949323879</v>
      </c>
      <c r="DU164" s="59">
        <f t="shared" si="152"/>
        <v>163.41029152029387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0</v>
      </c>
      <c r="EB164" s="21">
        <f>EXP(-LN(2)/25)*EB163+(1-EXP(-LN(2)/25))/(LN(2)/25)*Calculateur!DW164*Calculateur!DY164*VLOOKUP('Données projet'!$B$14,Paramètres!$A$1:$I$89,3,0)*0.475*44/12</f>
        <v>8.7853551971286331E-2</v>
      </c>
      <c r="EC164" s="21">
        <f>EXP(-LN(2)/2)*EC163+(1-EXP(-LN(2)/2))/(LN(2)/2)*DW164*DZ164*VLOOKUP('Données projet'!$B$14,Paramètres!$A$1:$I$89,3,0)*0.475*44/12</f>
        <v>1.2680718787996234E-19</v>
      </c>
      <c r="ED164" s="22">
        <f t="shared" si="178"/>
        <v>8.7853551971286331E-2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-1.1368683772161603E-13</v>
      </c>
      <c r="EK164" s="17">
        <f>EJ164*VLOOKUP('Données projet'!$B$15,Paramètres!$A$1:$I$89,3,0)*VLOOKUP('Données projet'!$B$15,Paramètres!$A$1:$I$89,5,0)</f>
        <v>-5.3205440053716299E-14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123.60520571614535</v>
      </c>
      <c r="EP164" s="59">
        <f t="shared" si="154"/>
        <v>119.00926870519527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6.4782595829420309E-2</v>
      </c>
      <c r="EW164" s="21">
        <f>EXP(-LN(2)/25)*EW163+(1-EXP(-LN(2)/25))/(LN(2)/25)*Calculateur!ER164*Calculateur!ET164*VLOOKUP('Données projet'!$B$15,Paramètres!$A$1:$I$89,3,0)*0.475*44/12</f>
        <v>0.12639680052751812</v>
      </c>
      <c r="EX164" s="21">
        <f>EXP(-LN(2)/2)*EX163+(1-EXP(-LN(2)/2))/(LN(2)/2)*ER164*EU164*VLOOKUP('Données projet'!$B$15,Paramètres!$A$1:$I$89,3,0)*0.475*44/12</f>
        <v>1.1717640059356181E-19</v>
      </c>
      <c r="EY164" s="22">
        <f t="shared" si="181"/>
        <v>0.19117939635693842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-8.5265128291212022E-14</v>
      </c>
      <c r="FF164" s="17">
        <f>FE164*VLOOKUP('Données projet'!$B$16,Paramètres!$A$1:$I$89,3,0)*VLOOKUP('Données projet'!$B$16,Paramètres!$A$1:$I$89,5,0)</f>
        <v>-6.2516392063116648E-14</v>
      </c>
      <c r="FG164" s="13" t="e">
        <f t="shared" si="182"/>
        <v>#NUM!</v>
      </c>
      <c r="FH164" s="20" t="e">
        <f t="shared" si="183"/>
        <v>#NUM!</v>
      </c>
      <c r="FI164" s="59" t="e">
        <f t="shared" si="131"/>
        <v>#NUM!</v>
      </c>
      <c r="FJ164" s="59">
        <f ca="1">AVERAGE(OFFSET($FI$3,0,0,'Données projet'!$E$16+1,1))-AVERAGE(OFFSET($H$3,0,0,'Données projet'!$E$16+1,1))</f>
        <v>124.15919323713428</v>
      </c>
      <c r="FK164" s="59">
        <f t="shared" si="156"/>
        <v>157.85954678210715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0</v>
      </c>
      <c r="FR164" s="21">
        <f>EXP(-LN(2)/25)*FR163+(1-EXP(-LN(2)/25))/(LN(2)/25)*Calculateur!FM164*Calculateur!FO164*VLOOKUP('Données projet'!$B$16,Paramètres!$A$1:$I$89,3,0)*0.475*44/12</f>
        <v>0.13300217275816295</v>
      </c>
      <c r="FS164" s="21">
        <f>EXP(-LN(2)/2)*FS163+(1-EXP(-LN(2)/2))/(LN(2)/2)*FM164*FP164*VLOOKUP('Données projet'!$B$16,Paramètres!$A$1:$I$89,3,0)*0.475*44/12</f>
        <v>1.4139521583771873E-19</v>
      </c>
      <c r="FT164" s="22">
        <f t="shared" si="184"/>
        <v>0.13300217275816295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-1.1368683772161603E-13</v>
      </c>
      <c r="O165" s="13">
        <f>N165*VLOOKUP('Données projet'!$B$9,Paramètres!$A$1:$I$89,3,0)*VLOOKUP('Données projet'!$B$9,Paramètres!$A$1:$I$89,5,0)</f>
        <v>-1.0286385077051818E-13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237.22177246688199</v>
      </c>
      <c r="T165" s="59">
        <f t="shared" si="142"/>
        <v>149.27472147904302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</v>
      </c>
      <c r="AA165" s="21">
        <f>EXP(-LN(2)/25)*AA164+(1-EXP(-LN(2)/25))/(LN(2)/25)*Calculateur!V165*Calculateur!X165*VLOOKUP('Données projet'!$B$9,Paramètres!$A$1:$I$89,3,0)*0.475*44/12</f>
        <v>7.9938211845348661E-2</v>
      </c>
      <c r="AB165" s="21">
        <f>EXP(-LN(2)/2)*AB164+(1-EXP(-LN(2)/2))/(LN(2)/2)*V165*Y165*VLOOKUP('Données projet'!$B$9,Paramètres!$A$1:$I$89,3,0)*0.475*44/12</f>
        <v>8.3881304875497456E-20</v>
      </c>
      <c r="AC165" s="22">
        <f t="shared" si="163"/>
        <v>7.9938211845348661E-2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-8.5265128291212022E-14</v>
      </c>
      <c r="AJ165" s="13">
        <f>AI165*VLOOKUP('Données projet'!$B$10,Paramètres!$A$1:$I$89,3,0)*VLOOKUP('Données projet'!$B$10,Paramètres!$A$1:$I$89,5,0)</f>
        <v>-7.4487616075202836E-14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191.94797389630673</v>
      </c>
      <c r="AO165" s="59">
        <f t="shared" si="144"/>
        <v>273.52540822767878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0.18854141161141802</v>
      </c>
      <c r="AV165" s="21">
        <f>EXP(-LN(2)/25)*AV164+(1-EXP(-LN(2)/25))/(LN(2)/25)*Calculateur!AQ165*Calculateur!AS165*VLOOKUP('Données projet'!$B$10,Paramètres!$A$1:$I$89,3,0)*0.475*44/12</f>
        <v>0.36156034414555138</v>
      </c>
      <c r="AW165" s="21">
        <f>EXP(-LN(2)/2)*AW164+(1-EXP(-LN(2)/2))/(LN(2)/2)*AQ165*AT165*VLOOKUP('Données projet'!$B$10,Paramètres!$A$1:$I$89,3,0)*0.475*44/12</f>
        <v>3.1446014032279234E-19</v>
      </c>
      <c r="AX165" s="21">
        <f t="shared" si="166"/>
        <v>0.5501017557569694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72.647148358003676</v>
      </c>
      <c r="BJ165" s="59">
        <f t="shared" si="146"/>
        <v>87.231299224620898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9.3183300230110053E-2</v>
      </c>
      <c r="BQ165" s="21">
        <f>EXP(-LN(2)/25)*BQ164+(1-EXP(-LN(2)/25))/(LN(2)/25)*Calculateur!BL165*Calculateur!BN165*VLOOKUP('Données projet'!$B$11,Paramètres!$A$1:$I$89,3,0)*0.475*44/12</f>
        <v>0.11661863362498644</v>
      </c>
      <c r="BR165" s="21">
        <f>EXP(-LN(2)/2)*BR164+(1-EXP(-LN(2)/2))/(LN(2)/2)*BL165*BO165*VLOOKUP('Données projet'!$B$11,Paramètres!$A$1:$I$89,3,0)*0.475*44/12</f>
        <v>3.0911906555931689E-20</v>
      </c>
      <c r="BS165" s="22">
        <f t="shared" si="169"/>
        <v>0.20980193385509649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5.6843418860808015E-14</v>
      </c>
      <c r="BZ165" s="13">
        <f>BY165*VLOOKUP('Données projet'!$B$12,Paramètres!$A$1:$I$89,3,0)*VLOOKUP('Données projet'!$B$12,Paramètres!$A$1:$I$89,5,0)</f>
        <v>3.3992364478763198E-14</v>
      </c>
      <c r="CA165" s="13">
        <f t="shared" si="170"/>
        <v>5.790027782444094E-13</v>
      </c>
      <c r="CB165" s="20">
        <f t="shared" si="171"/>
        <v>1.0676332069095257E-12</v>
      </c>
      <c r="CC165" s="59">
        <f t="shared" si="119"/>
        <v>293.33333333333439</v>
      </c>
      <c r="CD165" s="59">
        <f ca="1">AVERAGE(OFFSET($CC$3,0,0,'Données projet'!$E$12+1,1))-AVERAGE(OFFSET($H$3,0,0,'Données projet'!$E$12+1,1))</f>
        <v>165.39579887388538</v>
      </c>
      <c r="CE165" s="59">
        <f t="shared" si="148"/>
        <v>155.89639262545802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</v>
      </c>
      <c r="CL165" s="21">
        <f>EXP(-LN(2)/25)*CL164+(1-EXP(-LN(2)/25))/(LN(2)/25)*Calculateur!CG165*Calculateur!CI165*VLOOKUP('Données projet'!$B$12,Paramètres!$A$1:$I$89,3,0)*0.475*44/12</f>
        <v>0.18760490112310158</v>
      </c>
      <c r="CM165" s="21">
        <f>EXP(-LN(2)/2)*CM164+(1-EXP(-LN(2)/2))/(LN(2)/2)*CG165*CJ165*VLOOKUP('Données projet'!$B$12,Paramètres!$A$1:$I$89,3,0)*0.475*44/12</f>
        <v>1.8810956123090159E-19</v>
      </c>
      <c r="CN165" s="22">
        <f t="shared" si="172"/>
        <v>0.18760490112310158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3.4106051316484809E-13</v>
      </c>
      <c r="CU165" s="17">
        <f>CT165*VLOOKUP('Données projet'!$B$13,Paramètres!$A$1:$I$89,3,0)*VLOOKUP('Données projet'!$B$13,Paramètres!$A$1:$I$89,5,0)</f>
        <v>2.6602720026858149E-13</v>
      </c>
      <c r="CV165" s="13">
        <f t="shared" si="173"/>
        <v>3.5662905043956649E-12</v>
      </c>
      <c r="CW165" s="20">
        <f t="shared" si="174"/>
        <v>6.6746200022902298E-12</v>
      </c>
      <c r="CX165" s="59">
        <f t="shared" si="122"/>
        <v>293.33333333333997</v>
      </c>
      <c r="CY165" s="59">
        <f ca="1">AVERAGE(OFFSET($CX$3,0,0,'Données projet'!$E$13+1,1))-AVERAGE(OFFSET($H$3,0,0,'Données projet'!$E$13+1,1))</f>
        <v>190.06335940156185</v>
      </c>
      <c r="CZ165" s="59">
        <f t="shared" si="150"/>
        <v>166.43663896839928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</v>
      </c>
      <c r="DG165" s="21">
        <f>EXP(-LN(2)/25)*DG164+(1-EXP(-LN(2)/25))/(LN(2)/25)*Calculateur!DB165*Calculateur!DD165*VLOOKUP('Données projet'!$B$13,Paramètres!$A$1:$I$89,3,0)*0.475*44/12</f>
        <v>0.11495375250036434</v>
      </c>
      <c r="DH165" s="21">
        <f>EXP(-LN(2)/2)*DH164+(1-EXP(-LN(2)/2))/(LN(2)/2)*DB165*DE165*VLOOKUP('Données projet'!$B$13,Paramètres!$A$1:$I$89,3,0)*0.475*44/12</f>
        <v>7.2186165084947466E-20</v>
      </c>
      <c r="DI165" s="22">
        <f t="shared" si="175"/>
        <v>0.11495375250036434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-1.1368683772161603E-13</v>
      </c>
      <c r="DP165" s="17">
        <f>DO165*VLOOKUP('Données projet'!$B$14,Paramètres!$A$1:$I$89,3,0)*VLOOKUP('Données projet'!$B$14,Paramètres!$A$1:$I$89,5,0)</f>
        <v>-1.0995790944434703E-13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261.22357949323879</v>
      </c>
      <c r="DU165" s="59">
        <f t="shared" si="152"/>
        <v>163.41029152029387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0</v>
      </c>
      <c r="EB165" s="21">
        <f>EXP(-LN(2)/25)*EB164+(1-EXP(-LN(2)/25))/(LN(2)/25)*Calculateur!DW165*Calculateur!DY165*VLOOKUP('Données projet'!$B$14,Paramètres!$A$1:$I$89,3,0)*0.475*44/12</f>
        <v>8.5451191972613999E-2</v>
      </c>
      <c r="EC165" s="21">
        <f>EXP(-LN(2)/2)*EC164+(1-EXP(-LN(2)/2))/(LN(2)/2)*DW165*DZ165*VLOOKUP('Données projet'!$B$14,Paramètres!$A$1:$I$89,3,0)*0.475*44/12</f>
        <v>8.9666222453117953E-20</v>
      </c>
      <c r="ED165" s="22">
        <f t="shared" si="178"/>
        <v>8.5451191972613999E-2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-1.1368683772161603E-13</v>
      </c>
      <c r="EK165" s="17">
        <f>EJ165*VLOOKUP('Données projet'!$B$15,Paramètres!$A$1:$I$89,3,0)*VLOOKUP('Données projet'!$B$15,Paramètres!$A$1:$I$89,5,0)</f>
        <v>-5.3205440053716299E-14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123.60520571614535</v>
      </c>
      <c r="EP165" s="59">
        <f t="shared" si="154"/>
        <v>119.00926870519527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6.3512248638687194E-2</v>
      </c>
      <c r="EW165" s="21">
        <f>EXP(-LN(2)/25)*EW164+(1-EXP(-LN(2)/25))/(LN(2)/25)*Calculateur!ER165*Calculateur!ET165*VLOOKUP('Données projet'!$B$15,Paramètres!$A$1:$I$89,3,0)*0.475*44/12</f>
        <v>0.12294047337017427</v>
      </c>
      <c r="EX165" s="21">
        <f>EXP(-LN(2)/2)*EX164+(1-EXP(-LN(2)/2))/(LN(2)/2)*ER165*EU165*VLOOKUP('Données projet'!$B$15,Paramètres!$A$1:$I$89,3,0)*0.475*44/12</f>
        <v>8.285622745473895E-20</v>
      </c>
      <c r="EY165" s="22">
        <f t="shared" si="181"/>
        <v>0.18645272200886148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-8.5265128291212022E-14</v>
      </c>
      <c r="FF165" s="17">
        <f>FE165*VLOOKUP('Données projet'!$B$16,Paramètres!$A$1:$I$89,3,0)*VLOOKUP('Données projet'!$B$16,Paramètres!$A$1:$I$89,5,0)</f>
        <v>-6.2516392063116648E-14</v>
      </c>
      <c r="FG165" s="13" t="e">
        <f t="shared" si="182"/>
        <v>#NUM!</v>
      </c>
      <c r="FH165" s="20" t="e">
        <f t="shared" si="183"/>
        <v>#NUM!</v>
      </c>
      <c r="FI165" s="59" t="e">
        <f t="shared" si="131"/>
        <v>#NUM!</v>
      </c>
      <c r="FJ165" s="59">
        <f ca="1">AVERAGE(OFFSET($FI$3,0,0,'Données projet'!$E$16+1,1))-AVERAGE(OFFSET($H$3,0,0,'Données projet'!$E$16+1,1))</f>
        <v>124.15919323713428</v>
      </c>
      <c r="FK165" s="59">
        <f t="shared" si="156"/>
        <v>157.85954678210715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0</v>
      </c>
      <c r="FR165" s="21">
        <f>EXP(-LN(2)/25)*FR164+(1-EXP(-LN(2)/25))/(LN(2)/25)*Calculateur!FM165*Calculateur!FO165*VLOOKUP('Données projet'!$B$16,Paramètres!$A$1:$I$89,3,0)*0.475*44/12</f>
        <v>0.12936522134981071</v>
      </c>
      <c r="FS165" s="21">
        <f>EXP(-LN(2)/2)*FS164+(1-EXP(-LN(2)/2))/(LN(2)/2)*FM165*FP165*VLOOKUP('Données projet'!$B$16,Paramètres!$A$1:$I$89,3,0)*0.475*44/12</f>
        <v>9.998151594618644E-20</v>
      </c>
      <c r="FT165" s="22">
        <f t="shared" si="184"/>
        <v>0.12936522134981071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-1.1368683772161603E-13</v>
      </c>
      <c r="O166" s="13">
        <f>N166*VLOOKUP('Données projet'!$B$9,Paramètres!$A$1:$I$89,3,0)*VLOOKUP('Données projet'!$B$9,Paramètres!$A$1:$I$89,5,0)</f>
        <v>-1.0286385077051818E-13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237.22177246688199</v>
      </c>
      <c r="T166" s="59">
        <f t="shared" si="142"/>
        <v>149.27472147904302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</v>
      </c>
      <c r="AA166" s="21">
        <f>EXP(-LN(2)/25)*AA165+(1-EXP(-LN(2)/25))/(LN(2)/25)*Calculateur!V166*Calculateur!X166*VLOOKUP('Données projet'!$B$9,Paramètres!$A$1:$I$89,3,0)*0.475*44/12</f>
        <v>7.7752297238669749E-2</v>
      </c>
      <c r="AB166" s="21">
        <f>EXP(-LN(2)/2)*AB165+(1-EXP(-LN(2)/2))/(LN(2)/2)*V166*Y166*VLOOKUP('Données projet'!$B$9,Paramètres!$A$1:$I$89,3,0)*0.475*44/12</f>
        <v>5.9313039492240461E-20</v>
      </c>
      <c r="AC166" s="22">
        <f t="shared" si="163"/>
        <v>7.7752297238669749E-2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-8.5265128291212022E-14</v>
      </c>
      <c r="AJ166" s="13">
        <f>AI166*VLOOKUP('Données projet'!$B$10,Paramètres!$A$1:$I$89,3,0)*VLOOKUP('Données projet'!$B$10,Paramètres!$A$1:$I$89,5,0)</f>
        <v>-7.4487616075202836E-14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191.94797389630673</v>
      </c>
      <c r="AO166" s="59">
        <f t="shared" si="144"/>
        <v>273.52540822767878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0.184844229528624</v>
      </c>
      <c r="AV166" s="21">
        <f>EXP(-LN(2)/25)*AV165+(1-EXP(-LN(2)/25))/(LN(2)/25)*Calculateur!AQ166*Calculateur!AS166*VLOOKUP('Données projet'!$B$10,Paramètres!$A$1:$I$89,3,0)*0.475*44/12</f>
        <v>0.35167345752125911</v>
      </c>
      <c r="AW166" s="21">
        <f>EXP(-LN(2)/2)*AW165+(1-EXP(-LN(2)/2))/(LN(2)/2)*AQ166*AT166*VLOOKUP('Données projet'!$B$10,Paramètres!$A$1:$I$89,3,0)*0.475*44/12</f>
        <v>2.2235689763511975E-19</v>
      </c>
      <c r="AX166" s="21">
        <f t="shared" si="166"/>
        <v>0.53651768704988312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72.647148358003676</v>
      </c>
      <c r="BJ166" s="59">
        <f t="shared" si="146"/>
        <v>87.231299224620898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9.1356032548798621E-2</v>
      </c>
      <c r="BQ166" s="21">
        <f>EXP(-LN(2)/25)*BQ165+(1-EXP(-LN(2)/25))/(LN(2)/25)*Calculateur!BL166*Calculateur!BN166*VLOOKUP('Données projet'!$B$11,Paramètres!$A$1:$I$89,3,0)*0.475*44/12</f>
        <v>0.11342969095580377</v>
      </c>
      <c r="BR166" s="21">
        <f>EXP(-LN(2)/2)*BR165+(1-EXP(-LN(2)/2))/(LN(2)/2)*BL166*BO166*VLOOKUP('Données projet'!$B$11,Paramètres!$A$1:$I$89,3,0)*0.475*44/12</f>
        <v>2.1858018745104193E-20</v>
      </c>
      <c r="BS166" s="22">
        <f t="shared" si="169"/>
        <v>0.20478572350460239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5.6843418860808015E-14</v>
      </c>
      <c r="BZ166" s="13">
        <f>BY166*VLOOKUP('Données projet'!$B$12,Paramètres!$A$1:$I$89,3,0)*VLOOKUP('Données projet'!$B$12,Paramètres!$A$1:$I$89,5,0)</f>
        <v>3.3992364478763198E-14</v>
      </c>
      <c r="CA166" s="13">
        <f t="shared" si="170"/>
        <v>5.790027782444094E-13</v>
      </c>
      <c r="CB166" s="20">
        <f t="shared" si="171"/>
        <v>1.0676332069095257E-12</v>
      </c>
      <c r="CC166" s="59">
        <f t="shared" si="119"/>
        <v>293.33333333333439</v>
      </c>
      <c r="CD166" s="59">
        <f ca="1">AVERAGE(OFFSET($CC$3,0,0,'Données projet'!$E$12+1,1))-AVERAGE(OFFSET($H$3,0,0,'Données projet'!$E$12+1,1))</f>
        <v>165.39579887388538</v>
      </c>
      <c r="CE166" s="59">
        <f t="shared" si="148"/>
        <v>155.89639262545802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</v>
      </c>
      <c r="CL166" s="21">
        <f>EXP(-LN(2)/25)*CL165+(1-EXP(-LN(2)/25))/(LN(2)/25)*Calculateur!CG166*Calculateur!CI166*VLOOKUP('Données projet'!$B$12,Paramètres!$A$1:$I$89,3,0)*0.475*44/12</f>
        <v>0.18247483523617739</v>
      </c>
      <c r="CM166" s="21">
        <f>EXP(-LN(2)/2)*CM165+(1-EXP(-LN(2)/2))/(LN(2)/2)*CG166*CJ166*VLOOKUP('Données projet'!$B$12,Paramètres!$A$1:$I$89,3,0)*0.475*44/12</f>
        <v>1.3301354635239659E-19</v>
      </c>
      <c r="CN166" s="22">
        <f t="shared" si="172"/>
        <v>0.18247483523617739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3.4106051316484809E-13</v>
      </c>
      <c r="CU166" s="17">
        <f>CT166*VLOOKUP('Données projet'!$B$13,Paramètres!$A$1:$I$89,3,0)*VLOOKUP('Données projet'!$B$13,Paramètres!$A$1:$I$89,5,0)</f>
        <v>2.6602720026858149E-13</v>
      </c>
      <c r="CV166" s="13">
        <f t="shared" si="173"/>
        <v>3.5662905043956649E-12</v>
      </c>
      <c r="CW166" s="20">
        <f t="shared" si="174"/>
        <v>6.6746200022902298E-12</v>
      </c>
      <c r="CX166" s="59">
        <f t="shared" si="122"/>
        <v>293.33333333333997</v>
      </c>
      <c r="CY166" s="59">
        <f ca="1">AVERAGE(OFFSET($CX$3,0,0,'Données projet'!$E$13+1,1))-AVERAGE(OFFSET($H$3,0,0,'Données projet'!$E$13+1,1))</f>
        <v>190.06335940156185</v>
      </c>
      <c r="CZ166" s="59">
        <f t="shared" si="150"/>
        <v>166.43663896839928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</v>
      </c>
      <c r="DG166" s="21">
        <f>EXP(-LN(2)/25)*DG165+(1-EXP(-LN(2)/25))/(LN(2)/25)*Calculateur!DB166*Calculateur!DD166*VLOOKUP('Données projet'!$B$13,Paramètres!$A$1:$I$89,3,0)*0.475*44/12</f>
        <v>0.11181033609308676</v>
      </c>
      <c r="DH166" s="21">
        <f>EXP(-LN(2)/2)*DH165+(1-EXP(-LN(2)/2))/(LN(2)/2)*DB166*DE166*VLOOKUP('Données projet'!$B$13,Paramètres!$A$1:$I$89,3,0)*0.475*44/12</f>
        <v>5.1043326839417945E-20</v>
      </c>
      <c r="DI166" s="22">
        <f t="shared" si="175"/>
        <v>0.11181033609308676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-1.1368683772161603E-13</v>
      </c>
      <c r="DP166" s="17">
        <f>DO166*VLOOKUP('Données projet'!$B$14,Paramètres!$A$1:$I$89,3,0)*VLOOKUP('Données projet'!$B$14,Paramètres!$A$1:$I$89,5,0)</f>
        <v>-1.0995790944434703E-13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261.22357949323879</v>
      </c>
      <c r="DU166" s="59">
        <f t="shared" si="152"/>
        <v>163.41029152029387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0</v>
      </c>
      <c r="EB166" s="21">
        <f>EXP(-LN(2)/25)*EB165+(1-EXP(-LN(2)/25))/(LN(2)/25)*Calculateur!DW166*Calculateur!DY166*VLOOKUP('Données projet'!$B$14,Paramètres!$A$1:$I$89,3,0)*0.475*44/12</f>
        <v>8.3114524634439982E-2</v>
      </c>
      <c r="EC166" s="21">
        <f>EXP(-LN(2)/2)*EC165+(1-EXP(-LN(2)/2))/(LN(2)/2)*DW166*DZ166*VLOOKUP('Données projet'!$B$14,Paramètres!$A$1:$I$89,3,0)*0.475*44/12</f>
        <v>6.340359393998117E-20</v>
      </c>
      <c r="ED166" s="22">
        <f t="shared" si="178"/>
        <v>8.3114524634439982E-2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-1.1368683772161603E-13</v>
      </c>
      <c r="EK166" s="17">
        <f>EJ166*VLOOKUP('Données projet'!$B$15,Paramètres!$A$1:$I$89,3,0)*VLOOKUP('Données projet'!$B$15,Paramètres!$A$1:$I$89,5,0)</f>
        <v>-5.3205440053716299E-14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123.60520571614535</v>
      </c>
      <c r="EP166" s="59">
        <f t="shared" si="154"/>
        <v>119.00926870519527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6.2266812181529081E-2</v>
      </c>
      <c r="EW166" s="21">
        <f>EXP(-LN(2)/25)*EW165+(1-EXP(-LN(2)/25))/(LN(2)/25)*Calculateur!ER166*Calculateur!ET166*VLOOKUP('Données projet'!$B$15,Paramètres!$A$1:$I$89,3,0)*0.475*44/12</f>
        <v>0.11957865966070835</v>
      </c>
      <c r="EX166" s="21">
        <f>EXP(-LN(2)/2)*EX165+(1-EXP(-LN(2)/2))/(LN(2)/2)*ER166*EU166*VLOOKUP('Données projet'!$B$15,Paramètres!$A$1:$I$89,3,0)*0.475*44/12</f>
        <v>5.8588200296780905E-20</v>
      </c>
      <c r="EY166" s="22">
        <f t="shared" si="181"/>
        <v>0.18184547184223743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-8.5265128291212022E-14</v>
      </c>
      <c r="FF166" s="17">
        <f>FE166*VLOOKUP('Données projet'!$B$16,Paramètres!$A$1:$I$89,3,0)*VLOOKUP('Données projet'!$B$16,Paramètres!$A$1:$I$89,5,0)</f>
        <v>-6.2516392063116648E-14</v>
      </c>
      <c r="FG166" s="13" t="e">
        <f t="shared" si="182"/>
        <v>#NUM!</v>
      </c>
      <c r="FH166" s="20" t="e">
        <f t="shared" si="183"/>
        <v>#NUM!</v>
      </c>
      <c r="FI166" s="59" t="e">
        <f t="shared" si="131"/>
        <v>#NUM!</v>
      </c>
      <c r="FJ166" s="59">
        <f ca="1">AVERAGE(OFFSET($FI$3,0,0,'Données projet'!$E$16+1,1))-AVERAGE(OFFSET($H$3,0,0,'Données projet'!$E$16+1,1))</f>
        <v>124.15919323713428</v>
      </c>
      <c r="FK166" s="59">
        <f t="shared" si="156"/>
        <v>157.85954678210715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0</v>
      </c>
      <c r="FR166" s="21">
        <f>EXP(-LN(2)/25)*FR165+(1-EXP(-LN(2)/25))/(LN(2)/25)*Calculateur!FM166*Calculateur!FO166*VLOOKUP('Données projet'!$B$16,Paramètres!$A$1:$I$89,3,0)*0.475*44/12</f>
        <v>0.12582772256897881</v>
      </c>
      <c r="FS166" s="21">
        <f>EXP(-LN(2)/2)*FS165+(1-EXP(-LN(2)/2))/(LN(2)/2)*FM166*FP166*VLOOKUP('Données projet'!$B$16,Paramètres!$A$1:$I$89,3,0)*0.475*44/12</f>
        <v>7.0697607918859366E-20</v>
      </c>
      <c r="FT166" s="22">
        <f t="shared" si="184"/>
        <v>0.12582772256897881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-1.1368683772161603E-13</v>
      </c>
      <c r="O167" s="13">
        <f>N167*VLOOKUP('Données projet'!$B$9,Paramètres!$A$1:$I$89,3,0)*VLOOKUP('Données projet'!$B$9,Paramètres!$A$1:$I$89,5,0)</f>
        <v>-1.0286385077051818E-13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237.22177246688199</v>
      </c>
      <c r="T167" s="59">
        <f t="shared" si="142"/>
        <v>149.27472147904302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</v>
      </c>
      <c r="AA167" s="21">
        <f>EXP(-LN(2)/25)*AA166+(1-EXP(-LN(2)/25))/(LN(2)/25)*Calculateur!V167*Calculateur!X167*VLOOKUP('Données projet'!$B$9,Paramètres!$A$1:$I$89,3,0)*0.475*44/12</f>
        <v>7.5626156581862725E-2</v>
      </c>
      <c r="AB167" s="21">
        <f>EXP(-LN(2)/2)*AB166+(1-EXP(-LN(2)/2))/(LN(2)/2)*V167*Y167*VLOOKUP('Données projet'!$B$9,Paramètres!$A$1:$I$89,3,0)*0.475*44/12</f>
        <v>4.1940652437748728E-20</v>
      </c>
      <c r="AC167" s="22">
        <f t="shared" si="163"/>
        <v>7.5626156581862725E-2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-8.5265128291212022E-14</v>
      </c>
      <c r="AJ167" s="13">
        <f>AI167*VLOOKUP('Données projet'!$B$10,Paramètres!$A$1:$I$89,3,0)*VLOOKUP('Données projet'!$B$10,Paramètres!$A$1:$I$89,5,0)</f>
        <v>-7.4487616075202836E-14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191.94797389630673</v>
      </c>
      <c r="AO167" s="59">
        <f t="shared" si="144"/>
        <v>273.52540822767878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0.18121954693141518</v>
      </c>
      <c r="AV167" s="21">
        <f>EXP(-LN(2)/25)*AV166+(1-EXP(-LN(2)/25))/(LN(2)/25)*Calculateur!AQ167*Calculateur!AS167*VLOOKUP('Données projet'!$B$10,Paramètres!$A$1:$I$89,3,0)*0.475*44/12</f>
        <v>0.34205692833163692</v>
      </c>
      <c r="AW167" s="21">
        <f>EXP(-LN(2)/2)*AW166+(1-EXP(-LN(2)/2))/(LN(2)/2)*AQ167*AT167*VLOOKUP('Données projet'!$B$10,Paramètres!$A$1:$I$89,3,0)*0.475*44/12</f>
        <v>1.5723007016139617E-19</v>
      </c>
      <c r="AX167" s="21">
        <f t="shared" si="166"/>
        <v>0.5232764752630521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72.647148358003676</v>
      </c>
      <c r="BJ167" s="59">
        <f t="shared" si="146"/>
        <v>87.231299224620898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8.9564596472194474E-2</v>
      </c>
      <c r="BQ167" s="21">
        <f>EXP(-LN(2)/25)*BQ166+(1-EXP(-LN(2)/25))/(LN(2)/25)*Calculateur!BL167*Calculateur!BN167*VLOOKUP('Données projet'!$B$11,Paramètres!$A$1:$I$89,3,0)*0.475*44/12</f>
        <v>0.11032795009160912</v>
      </c>
      <c r="BR167" s="21">
        <f>EXP(-LN(2)/2)*BR166+(1-EXP(-LN(2)/2))/(LN(2)/2)*BL167*BO167*VLOOKUP('Données projet'!$B$11,Paramètres!$A$1:$I$89,3,0)*0.475*44/12</f>
        <v>1.5455953277965844E-20</v>
      </c>
      <c r="BS167" s="22">
        <f t="shared" si="169"/>
        <v>0.19989254656380359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5.6843418860808015E-14</v>
      </c>
      <c r="BZ167" s="13">
        <f>BY167*VLOOKUP('Données projet'!$B$12,Paramètres!$A$1:$I$89,3,0)*VLOOKUP('Données projet'!$B$12,Paramètres!$A$1:$I$89,5,0)</f>
        <v>3.3992364478763198E-14</v>
      </c>
      <c r="CA167" s="13">
        <f t="shared" si="170"/>
        <v>5.790027782444094E-13</v>
      </c>
      <c r="CB167" s="20">
        <f t="shared" si="171"/>
        <v>1.0676332069095257E-12</v>
      </c>
      <c r="CC167" s="59">
        <f t="shared" si="119"/>
        <v>293.33333333333439</v>
      </c>
      <c r="CD167" s="59">
        <f ca="1">AVERAGE(OFFSET($CC$3,0,0,'Données projet'!$E$12+1,1))-AVERAGE(OFFSET($H$3,0,0,'Données projet'!$E$12+1,1))</f>
        <v>165.39579887388538</v>
      </c>
      <c r="CE167" s="59">
        <f t="shared" si="148"/>
        <v>155.89639262545802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</v>
      </c>
      <c r="CL167" s="21">
        <f>EXP(-LN(2)/25)*CL166+(1-EXP(-LN(2)/25))/(LN(2)/25)*Calculateur!CG167*Calculateur!CI167*VLOOKUP('Données projet'!$B$12,Paramètres!$A$1:$I$89,3,0)*0.475*44/12</f>
        <v>0.17748505127070957</v>
      </c>
      <c r="CM167" s="21">
        <f>EXP(-LN(2)/2)*CM166+(1-EXP(-LN(2)/2))/(LN(2)/2)*CG167*CJ167*VLOOKUP('Données projet'!$B$12,Paramètres!$A$1:$I$89,3,0)*0.475*44/12</f>
        <v>9.4054780615450795E-20</v>
      </c>
      <c r="CN167" s="22">
        <f t="shared" si="172"/>
        <v>0.17748505127070957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3.4106051316484809E-13</v>
      </c>
      <c r="CU167" s="17">
        <f>CT167*VLOOKUP('Données projet'!$B$13,Paramètres!$A$1:$I$89,3,0)*VLOOKUP('Données projet'!$B$13,Paramètres!$A$1:$I$89,5,0)</f>
        <v>2.6602720026858149E-13</v>
      </c>
      <c r="CV167" s="13">
        <f t="shared" si="173"/>
        <v>3.5662905043956649E-12</v>
      </c>
      <c r="CW167" s="20">
        <f t="shared" si="174"/>
        <v>6.6746200022902298E-12</v>
      </c>
      <c r="CX167" s="59">
        <f t="shared" si="122"/>
        <v>293.33333333333997</v>
      </c>
      <c r="CY167" s="59">
        <f ca="1">AVERAGE(OFFSET($CX$3,0,0,'Données projet'!$E$13+1,1))-AVERAGE(OFFSET($H$3,0,0,'Données projet'!$E$13+1,1))</f>
        <v>190.06335940156185</v>
      </c>
      <c r="CZ167" s="59">
        <f t="shared" si="150"/>
        <v>166.43663896839928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</v>
      </c>
      <c r="DG167" s="21">
        <f>EXP(-LN(2)/25)*DG166+(1-EXP(-LN(2)/25))/(LN(2)/25)*Calculateur!DB167*Calculateur!DD167*VLOOKUP('Données projet'!$B$13,Paramètres!$A$1:$I$89,3,0)*0.475*44/12</f>
        <v>0.10875287657277127</v>
      </c>
      <c r="DH167" s="21">
        <f>EXP(-LN(2)/2)*DH166+(1-EXP(-LN(2)/2))/(LN(2)/2)*DB167*DE167*VLOOKUP('Données projet'!$B$13,Paramètres!$A$1:$I$89,3,0)*0.475*44/12</f>
        <v>3.6093082542473733E-20</v>
      </c>
      <c r="DI167" s="22">
        <f t="shared" si="175"/>
        <v>0.10875287657277127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-1.1368683772161603E-13</v>
      </c>
      <c r="DP167" s="17">
        <f>DO167*VLOOKUP('Données projet'!$B$14,Paramètres!$A$1:$I$89,3,0)*VLOOKUP('Données projet'!$B$14,Paramètres!$A$1:$I$89,5,0)</f>
        <v>-1.0995790944434703E-13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261.22357949323879</v>
      </c>
      <c r="DU167" s="59">
        <f t="shared" si="152"/>
        <v>163.41029152029387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0</v>
      </c>
      <c r="EB167" s="21">
        <f>EXP(-LN(2)/25)*EB166+(1-EXP(-LN(2)/25))/(LN(2)/25)*Calculateur!DW167*Calculateur!DY167*VLOOKUP('Données projet'!$B$14,Paramètres!$A$1:$I$89,3,0)*0.475*44/12</f>
        <v>8.0841753587508336E-2</v>
      </c>
      <c r="EC167" s="21">
        <f>EXP(-LN(2)/2)*EC166+(1-EXP(-LN(2)/2))/(LN(2)/2)*DW167*DZ167*VLOOKUP('Données projet'!$B$14,Paramètres!$A$1:$I$89,3,0)*0.475*44/12</f>
        <v>4.4833111226558977E-20</v>
      </c>
      <c r="ED167" s="22">
        <f t="shared" si="178"/>
        <v>8.0841753587508336E-2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-1.1368683772161603E-13</v>
      </c>
      <c r="EK167" s="17">
        <f>EJ167*VLOOKUP('Données projet'!$B$15,Paramètres!$A$1:$I$89,3,0)*VLOOKUP('Données projet'!$B$15,Paramètres!$A$1:$I$89,5,0)</f>
        <v>-5.3205440053716299E-14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123.60520571614535</v>
      </c>
      <c r="EP167" s="59">
        <f t="shared" si="154"/>
        <v>119.00926870519527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6.1045797973654614E-2</v>
      </c>
      <c r="EW167" s="21">
        <f>EXP(-LN(2)/25)*EW166+(1-EXP(-LN(2)/25))/(LN(2)/25)*Calculateur!ER167*Calculateur!ET167*VLOOKUP('Données projet'!$B$15,Paramètres!$A$1:$I$89,3,0)*0.475*44/12</f>
        <v>0.11630877492391788</v>
      </c>
      <c r="EX167" s="21">
        <f>EXP(-LN(2)/2)*EX166+(1-EXP(-LN(2)/2))/(LN(2)/2)*ER167*EU167*VLOOKUP('Données projet'!$B$15,Paramètres!$A$1:$I$89,3,0)*0.475*44/12</f>
        <v>4.1428113727369475E-20</v>
      </c>
      <c r="EY167" s="22">
        <f t="shared" si="181"/>
        <v>0.1773545728975725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-8.5265128291212022E-14</v>
      </c>
      <c r="FF167" s="17">
        <f>FE167*VLOOKUP('Données projet'!$B$16,Paramètres!$A$1:$I$89,3,0)*VLOOKUP('Données projet'!$B$16,Paramètres!$A$1:$I$89,5,0)</f>
        <v>-6.2516392063116648E-14</v>
      </c>
      <c r="FG167" s="13" t="e">
        <f t="shared" si="182"/>
        <v>#NUM!</v>
      </c>
      <c r="FH167" s="20" t="e">
        <f t="shared" si="183"/>
        <v>#NUM!</v>
      </c>
      <c r="FI167" s="59" t="e">
        <f t="shared" si="131"/>
        <v>#NUM!</v>
      </c>
      <c r="FJ167" s="59">
        <f ca="1">AVERAGE(OFFSET($FI$3,0,0,'Données projet'!$E$16+1,1))-AVERAGE(OFFSET($H$3,0,0,'Données projet'!$E$16+1,1))</f>
        <v>124.15919323713428</v>
      </c>
      <c r="FK167" s="59">
        <f t="shared" si="156"/>
        <v>157.85954678210715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0</v>
      </c>
      <c r="FR167" s="21">
        <f>EXP(-LN(2)/25)*FR166+(1-EXP(-LN(2)/25))/(LN(2)/25)*Calculateur!FM167*Calculateur!FO167*VLOOKUP('Données projet'!$B$16,Paramètres!$A$1:$I$89,3,0)*0.475*44/12</f>
        <v>0.12238695687833774</v>
      </c>
      <c r="FS167" s="21">
        <f>EXP(-LN(2)/2)*FS166+(1-EXP(-LN(2)/2))/(LN(2)/2)*FM167*FP167*VLOOKUP('Données projet'!$B$16,Paramètres!$A$1:$I$89,3,0)*0.475*44/12</f>
        <v>4.999075797309322E-20</v>
      </c>
      <c r="FT167" s="22">
        <f t="shared" si="184"/>
        <v>0.12238695687833774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-1.1368683772161603E-13</v>
      </c>
      <c r="O168" s="13">
        <f>N168*VLOOKUP('Données projet'!$B$9,Paramètres!$A$1:$I$89,3,0)*VLOOKUP('Données projet'!$B$9,Paramètres!$A$1:$I$89,5,0)</f>
        <v>-1.0286385077051818E-13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237.22177246688199</v>
      </c>
      <c r="T168" s="59">
        <f t="shared" si="142"/>
        <v>149.27472147904302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</v>
      </c>
      <c r="AA168" s="21">
        <f>EXP(-LN(2)/25)*AA167+(1-EXP(-LN(2)/25))/(LN(2)/25)*Calculateur!V168*Calculateur!X168*VLOOKUP('Données projet'!$B$9,Paramètres!$A$1:$I$89,3,0)*0.475*44/12</f>
        <v>7.355815535312496E-2</v>
      </c>
      <c r="AB168" s="21">
        <f>EXP(-LN(2)/2)*AB167+(1-EXP(-LN(2)/2))/(LN(2)/2)*V168*Y168*VLOOKUP('Données projet'!$B$9,Paramètres!$A$1:$I$89,3,0)*0.475*44/12</f>
        <v>2.965651974612023E-20</v>
      </c>
      <c r="AC168" s="22">
        <f t="shared" si="163"/>
        <v>7.355815535312496E-2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-8.5265128291212022E-14</v>
      </c>
      <c r="AJ168" s="13">
        <f>AI168*VLOOKUP('Données projet'!$B$10,Paramètres!$A$1:$I$89,3,0)*VLOOKUP('Données projet'!$B$10,Paramètres!$A$1:$I$89,5,0)</f>
        <v>-7.4487616075202836E-14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191.94797389630673</v>
      </c>
      <c r="AO168" s="59">
        <f t="shared" si="144"/>
        <v>273.52540822767878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0.17766594214909953</v>
      </c>
      <c r="AV168" s="21">
        <f>EXP(-LN(2)/25)*AV167+(1-EXP(-LN(2)/25))/(LN(2)/25)*Calculateur!AQ168*Calculateur!AS168*VLOOKUP('Données projet'!$B$10,Paramètres!$A$1:$I$89,3,0)*0.475*44/12</f>
        <v>0.33270336363841624</v>
      </c>
      <c r="AW168" s="21">
        <f>EXP(-LN(2)/2)*AW167+(1-EXP(-LN(2)/2))/(LN(2)/2)*AQ168*AT168*VLOOKUP('Données projet'!$B$10,Paramètres!$A$1:$I$89,3,0)*0.475*44/12</f>
        <v>1.1117844881755987E-19</v>
      </c>
      <c r="AX168" s="21">
        <f t="shared" si="166"/>
        <v>0.51036930578751583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72.647148358003676</v>
      </c>
      <c r="BJ168" s="59">
        <f t="shared" si="146"/>
        <v>87.231299224620898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8.7808289364384423E-2</v>
      </c>
      <c r="BQ168" s="21">
        <f>EXP(-LN(2)/25)*BQ167+(1-EXP(-LN(2)/25))/(LN(2)/25)*Calculateur!BL168*Calculateur!BN168*VLOOKUP('Données projet'!$B$11,Paramètres!$A$1:$I$89,3,0)*0.475*44/12</f>
        <v>0.10731102649445932</v>
      </c>
      <c r="BR168" s="21">
        <f>EXP(-LN(2)/2)*BR167+(1-EXP(-LN(2)/2))/(LN(2)/2)*BL168*BO168*VLOOKUP('Données projet'!$B$11,Paramètres!$A$1:$I$89,3,0)*0.475*44/12</f>
        <v>1.0929009372552096E-20</v>
      </c>
      <c r="BS168" s="22">
        <f t="shared" si="169"/>
        <v>0.19511931585884373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5.6843418860808015E-14</v>
      </c>
      <c r="BZ168" s="13">
        <f>BY168*VLOOKUP('Données projet'!$B$12,Paramètres!$A$1:$I$89,3,0)*VLOOKUP('Données projet'!$B$12,Paramètres!$A$1:$I$89,5,0)</f>
        <v>3.3992364478763198E-14</v>
      </c>
      <c r="CA168" s="13">
        <f t="shared" si="170"/>
        <v>5.790027782444094E-13</v>
      </c>
      <c r="CB168" s="20">
        <f t="shared" si="171"/>
        <v>1.0676332069095257E-12</v>
      </c>
      <c r="CC168" s="59">
        <f t="shared" si="119"/>
        <v>293.33333333333439</v>
      </c>
      <c r="CD168" s="59">
        <f ca="1">AVERAGE(OFFSET($CC$3,0,0,'Données projet'!$E$12+1,1))-AVERAGE(OFFSET($H$3,0,0,'Données projet'!$E$12+1,1))</f>
        <v>165.39579887388538</v>
      </c>
      <c r="CE168" s="59">
        <f t="shared" si="148"/>
        <v>155.89639262545802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</v>
      </c>
      <c r="CL168" s="21">
        <f>EXP(-LN(2)/25)*CL167+(1-EXP(-LN(2)/25))/(LN(2)/25)*Calculateur!CG168*Calculateur!CI168*VLOOKUP('Données projet'!$B$12,Paramètres!$A$1:$I$89,3,0)*0.475*44/12</f>
        <v>0.17263171321017881</v>
      </c>
      <c r="CM168" s="21">
        <f>EXP(-LN(2)/2)*CM167+(1-EXP(-LN(2)/2))/(LN(2)/2)*CG168*CJ168*VLOOKUP('Données projet'!$B$12,Paramètres!$A$1:$I$89,3,0)*0.475*44/12</f>
        <v>6.6506773176198296E-20</v>
      </c>
      <c r="CN168" s="22">
        <f t="shared" si="172"/>
        <v>0.17263171321017881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3.4106051316484809E-13</v>
      </c>
      <c r="CU168" s="17">
        <f>CT168*VLOOKUP('Données projet'!$B$13,Paramètres!$A$1:$I$89,3,0)*VLOOKUP('Données projet'!$B$13,Paramètres!$A$1:$I$89,5,0)</f>
        <v>2.6602720026858149E-13</v>
      </c>
      <c r="CV168" s="13">
        <f t="shared" si="173"/>
        <v>3.5662905043956649E-12</v>
      </c>
      <c r="CW168" s="20">
        <f t="shared" si="174"/>
        <v>6.6746200022902298E-12</v>
      </c>
      <c r="CX168" s="59">
        <f t="shared" si="122"/>
        <v>293.33333333333997</v>
      </c>
      <c r="CY168" s="59">
        <f ca="1">AVERAGE(OFFSET($CX$3,0,0,'Données projet'!$E$13+1,1))-AVERAGE(OFFSET($H$3,0,0,'Données projet'!$E$13+1,1))</f>
        <v>190.06335940156185</v>
      </c>
      <c r="CZ168" s="59">
        <f t="shared" si="150"/>
        <v>166.43663896839928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</v>
      </c>
      <c r="DG168" s="21">
        <f>EXP(-LN(2)/25)*DG167+(1-EXP(-LN(2)/25))/(LN(2)/25)*Calculateur!DB168*Calculateur!DD168*VLOOKUP('Données projet'!$B$13,Paramètres!$A$1:$I$89,3,0)*0.475*44/12</f>
        <v>0.10577902344382362</v>
      </c>
      <c r="DH168" s="21">
        <f>EXP(-LN(2)/2)*DH167+(1-EXP(-LN(2)/2))/(LN(2)/2)*DB168*DE168*VLOOKUP('Données projet'!$B$13,Paramètres!$A$1:$I$89,3,0)*0.475*44/12</f>
        <v>2.5521663419708973E-20</v>
      </c>
      <c r="DI168" s="22">
        <f t="shared" si="175"/>
        <v>0.10577902344382362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-1.1368683772161603E-13</v>
      </c>
      <c r="DP168" s="17">
        <f>DO168*VLOOKUP('Données projet'!$B$14,Paramètres!$A$1:$I$89,3,0)*VLOOKUP('Données projet'!$B$14,Paramètres!$A$1:$I$89,5,0)</f>
        <v>-1.0995790944434703E-13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261.22357949323879</v>
      </c>
      <c r="DU168" s="59">
        <f t="shared" si="152"/>
        <v>163.41029152029387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0</v>
      </c>
      <c r="EB168" s="21">
        <f>EXP(-LN(2)/25)*EB167+(1-EXP(-LN(2)/25))/(LN(2)/25)*Calculateur!DW168*Calculateur!DY168*VLOOKUP('Données projet'!$B$14,Paramètres!$A$1:$I$89,3,0)*0.475*44/12</f>
        <v>7.8631131584374861E-2</v>
      </c>
      <c r="EC168" s="21">
        <f>EXP(-LN(2)/2)*EC167+(1-EXP(-LN(2)/2))/(LN(2)/2)*DW168*DZ168*VLOOKUP('Données projet'!$B$14,Paramètres!$A$1:$I$89,3,0)*0.475*44/12</f>
        <v>3.1701796969990585E-20</v>
      </c>
      <c r="ED168" s="22">
        <f t="shared" si="178"/>
        <v>7.8631131584374861E-2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-1.1368683772161603E-13</v>
      </c>
      <c r="EK168" s="17">
        <f>EJ168*VLOOKUP('Données projet'!$B$15,Paramètres!$A$1:$I$89,3,0)*VLOOKUP('Données projet'!$B$15,Paramètres!$A$1:$I$89,5,0)</f>
        <v>-5.3205440053716299E-14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123.60520571614535</v>
      </c>
      <c r="EP168" s="59">
        <f t="shared" si="154"/>
        <v>119.00926870519527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5.9848727109651431E-2</v>
      </c>
      <c r="EW168" s="21">
        <f>EXP(-LN(2)/25)*EW167+(1-EXP(-LN(2)/25))/(LN(2)/25)*Calculateur!ER168*Calculateur!ET168*VLOOKUP('Données projet'!$B$15,Paramètres!$A$1:$I$89,3,0)*0.475*44/12</f>
        <v>0.11312830535721069</v>
      </c>
      <c r="EX168" s="21">
        <f>EXP(-LN(2)/2)*EX167+(1-EXP(-LN(2)/2))/(LN(2)/2)*ER168*EU168*VLOOKUP('Données projet'!$B$15,Paramètres!$A$1:$I$89,3,0)*0.475*44/12</f>
        <v>2.9294100148390453E-20</v>
      </c>
      <c r="EY168" s="22">
        <f t="shared" si="181"/>
        <v>0.17297703246686214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-8.5265128291212022E-14</v>
      </c>
      <c r="FF168" s="17">
        <f>FE168*VLOOKUP('Données projet'!$B$16,Paramètres!$A$1:$I$89,3,0)*VLOOKUP('Données projet'!$B$16,Paramètres!$A$1:$I$89,5,0)</f>
        <v>-6.2516392063116648E-14</v>
      </c>
      <c r="FG168" s="13" t="e">
        <f t="shared" si="182"/>
        <v>#NUM!</v>
      </c>
      <c r="FH168" s="20" t="e">
        <f t="shared" si="183"/>
        <v>#NUM!</v>
      </c>
      <c r="FI168" s="59" t="e">
        <f t="shared" si="131"/>
        <v>#NUM!</v>
      </c>
      <c r="FJ168" s="59">
        <f ca="1">AVERAGE(OFFSET($FI$3,0,0,'Données projet'!$E$16+1,1))-AVERAGE(OFFSET($H$3,0,0,'Données projet'!$E$16+1,1))</f>
        <v>124.15919323713428</v>
      </c>
      <c r="FK168" s="59">
        <f t="shared" si="156"/>
        <v>157.85954678210715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0</v>
      </c>
      <c r="FR168" s="21">
        <f>EXP(-LN(2)/25)*FR167+(1-EXP(-LN(2)/25))/(LN(2)/25)*Calculateur!FM168*Calculateur!FO168*VLOOKUP('Données projet'!$B$16,Paramètres!$A$1:$I$89,3,0)*0.475*44/12</f>
        <v>0.11904027910644925</v>
      </c>
      <c r="FS168" s="21">
        <f>EXP(-LN(2)/2)*FS167+(1-EXP(-LN(2)/2))/(LN(2)/2)*FM168*FP168*VLOOKUP('Données projet'!$B$16,Paramètres!$A$1:$I$89,3,0)*0.475*44/12</f>
        <v>3.5348803959429683E-20</v>
      </c>
      <c r="FT168" s="22">
        <f t="shared" si="184"/>
        <v>0.11904027910644925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-1.1368683772161603E-13</v>
      </c>
      <c r="O169" s="13">
        <f>N169*VLOOKUP('Données projet'!$B$9,Paramètres!$A$1:$I$89,3,0)*VLOOKUP('Données projet'!$B$9,Paramètres!$A$1:$I$89,5,0)</f>
        <v>-1.0286385077051818E-13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237.22177246688199</v>
      </c>
      <c r="T169" s="59">
        <f t="shared" si="142"/>
        <v>149.27472147904302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</v>
      </c>
      <c r="AA169" s="21">
        <f>EXP(-LN(2)/25)*AA168+(1-EXP(-LN(2)/25))/(LN(2)/25)*Calculateur!V169*Calculateur!X169*VLOOKUP('Données projet'!$B$9,Paramètres!$A$1:$I$89,3,0)*0.475*44/12</f>
        <v>7.1546703726738492E-2</v>
      </c>
      <c r="AB169" s="21">
        <f>EXP(-LN(2)/2)*AB168+(1-EXP(-LN(2)/2))/(LN(2)/2)*V169*Y169*VLOOKUP('Données projet'!$B$9,Paramètres!$A$1:$I$89,3,0)*0.475*44/12</f>
        <v>2.0970326218874364E-20</v>
      </c>
      <c r="AC169" s="22">
        <f t="shared" si="163"/>
        <v>7.1546703726738492E-2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-8.5265128291212022E-14</v>
      </c>
      <c r="AJ169" s="13">
        <f>AI169*VLOOKUP('Données projet'!$B$10,Paramètres!$A$1:$I$89,3,0)*VLOOKUP('Données projet'!$B$10,Paramètres!$A$1:$I$89,5,0)</f>
        <v>-7.4487616075202836E-14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191.94797389630673</v>
      </c>
      <c r="AO169" s="59">
        <f t="shared" si="144"/>
        <v>273.52540822767878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0.1741820213890802</v>
      </c>
      <c r="AV169" s="21">
        <f>EXP(-LN(2)/25)*AV168+(1-EXP(-LN(2)/25))/(LN(2)/25)*Calculateur!AQ169*Calculateur!AS169*VLOOKUP('Données projet'!$B$10,Paramètres!$A$1:$I$89,3,0)*0.475*44/12</f>
        <v>0.32360557266361428</v>
      </c>
      <c r="AW169" s="21">
        <f>EXP(-LN(2)/2)*AW168+(1-EXP(-LN(2)/2))/(LN(2)/2)*AQ169*AT169*VLOOKUP('Données projet'!$B$10,Paramètres!$A$1:$I$89,3,0)*0.475*44/12</f>
        <v>7.8615035080698085E-20</v>
      </c>
      <c r="AX169" s="21">
        <f t="shared" si="166"/>
        <v>0.49778759405269446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72.647148358003676</v>
      </c>
      <c r="BJ169" s="59">
        <f t="shared" si="146"/>
        <v>87.231299224620898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8.6086422367716964E-2</v>
      </c>
      <c r="BQ169" s="21">
        <f>EXP(-LN(2)/25)*BQ168+(1-EXP(-LN(2)/25))/(LN(2)/25)*Calculateur!BL169*Calculateur!BN169*VLOOKUP('Données projet'!$B$11,Paramètres!$A$1:$I$89,3,0)*0.475*44/12</f>
        <v>0.10437660083172672</v>
      </c>
      <c r="BR169" s="21">
        <f>EXP(-LN(2)/2)*BR168+(1-EXP(-LN(2)/2))/(LN(2)/2)*BL169*BO169*VLOOKUP('Données projet'!$B$11,Paramètres!$A$1:$I$89,3,0)*0.475*44/12</f>
        <v>7.7279766389829222E-21</v>
      </c>
      <c r="BS169" s="22">
        <f t="shared" si="169"/>
        <v>0.19046302319944369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5.6843418860808015E-14</v>
      </c>
      <c r="BZ169" s="13">
        <f>BY169*VLOOKUP('Données projet'!$B$12,Paramètres!$A$1:$I$89,3,0)*VLOOKUP('Données projet'!$B$12,Paramètres!$A$1:$I$89,5,0)</f>
        <v>3.3992364478763198E-14</v>
      </c>
      <c r="CA169" s="13">
        <f t="shared" si="170"/>
        <v>5.790027782444094E-13</v>
      </c>
      <c r="CB169" s="20">
        <f t="shared" si="171"/>
        <v>1.0676332069095257E-12</v>
      </c>
      <c r="CC169" s="59">
        <f t="shared" si="119"/>
        <v>293.33333333333439</v>
      </c>
      <c r="CD169" s="59">
        <f ca="1">AVERAGE(OFFSET($CC$3,0,0,'Données projet'!$E$12+1,1))-AVERAGE(OFFSET($H$3,0,0,'Données projet'!$E$12+1,1))</f>
        <v>165.39579887388538</v>
      </c>
      <c r="CE169" s="59">
        <f t="shared" si="148"/>
        <v>155.89639262545802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</v>
      </c>
      <c r="CL169" s="21">
        <f>EXP(-LN(2)/25)*CL168+(1-EXP(-LN(2)/25))/(LN(2)/25)*Calculateur!CG169*Calculateur!CI169*VLOOKUP('Données projet'!$B$12,Paramètres!$A$1:$I$89,3,0)*0.475*44/12</f>
        <v>0.16791108993413922</v>
      </c>
      <c r="CM169" s="21">
        <f>EXP(-LN(2)/2)*CM168+(1-EXP(-LN(2)/2))/(LN(2)/2)*CG169*CJ169*VLOOKUP('Données projet'!$B$12,Paramètres!$A$1:$I$89,3,0)*0.475*44/12</f>
        <v>4.7027390307725397E-20</v>
      </c>
      <c r="CN169" s="22">
        <f t="shared" si="172"/>
        <v>0.16791108993413922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3.4106051316484809E-13</v>
      </c>
      <c r="CU169" s="17">
        <f>CT169*VLOOKUP('Données projet'!$B$13,Paramètres!$A$1:$I$89,3,0)*VLOOKUP('Données projet'!$B$13,Paramètres!$A$1:$I$89,5,0)</f>
        <v>2.6602720026858149E-13</v>
      </c>
      <c r="CV169" s="13">
        <f t="shared" si="173"/>
        <v>3.5662905043956649E-12</v>
      </c>
      <c r="CW169" s="20">
        <f t="shared" si="174"/>
        <v>6.6746200022902298E-12</v>
      </c>
      <c r="CX169" s="59">
        <f t="shared" si="122"/>
        <v>293.33333333333997</v>
      </c>
      <c r="CY169" s="59">
        <f ca="1">AVERAGE(OFFSET($CX$3,0,0,'Données projet'!$E$13+1,1))-AVERAGE(OFFSET($H$3,0,0,'Données projet'!$E$13+1,1))</f>
        <v>190.06335940156185</v>
      </c>
      <c r="CZ169" s="59">
        <f t="shared" si="150"/>
        <v>166.43663896839928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</v>
      </c>
      <c r="DG169" s="21">
        <f>EXP(-LN(2)/25)*DG168+(1-EXP(-LN(2)/25))/(LN(2)/25)*Calculateur!DB169*Calculateur!DD169*VLOOKUP('Données projet'!$B$13,Paramètres!$A$1:$I$89,3,0)*0.475*44/12</f>
        <v>0.10288649048507517</v>
      </c>
      <c r="DH169" s="21">
        <f>EXP(-LN(2)/2)*DH168+(1-EXP(-LN(2)/2))/(LN(2)/2)*DB169*DE169*VLOOKUP('Données projet'!$B$13,Paramètres!$A$1:$I$89,3,0)*0.475*44/12</f>
        <v>1.8046541271236867E-20</v>
      </c>
      <c r="DI169" s="22">
        <f t="shared" si="175"/>
        <v>0.10288649048507517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-1.1368683772161603E-13</v>
      </c>
      <c r="DP169" s="17">
        <f>DO169*VLOOKUP('Données projet'!$B$14,Paramètres!$A$1:$I$89,3,0)*VLOOKUP('Données projet'!$B$14,Paramètres!$A$1:$I$89,5,0)</f>
        <v>-1.0995790944434703E-13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261.22357949323879</v>
      </c>
      <c r="DU169" s="59">
        <f t="shared" si="152"/>
        <v>163.41029152029387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0</v>
      </c>
      <c r="EB169" s="21">
        <f>EXP(-LN(2)/25)*EB168+(1-EXP(-LN(2)/25))/(LN(2)/25)*Calculateur!DW169*Calculateur!DY169*VLOOKUP('Données projet'!$B$14,Paramètres!$A$1:$I$89,3,0)*0.475*44/12</f>
        <v>7.6480959156168635E-2</v>
      </c>
      <c r="EC169" s="21">
        <f>EXP(-LN(2)/2)*EC168+(1-EXP(-LN(2)/2))/(LN(2)/2)*DW169*DZ169*VLOOKUP('Données projet'!$B$14,Paramètres!$A$1:$I$89,3,0)*0.475*44/12</f>
        <v>2.2416555613279488E-20</v>
      </c>
      <c r="ED169" s="22">
        <f t="shared" si="178"/>
        <v>7.6480959156168635E-2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-1.1368683772161603E-13</v>
      </c>
      <c r="EK169" s="17">
        <f>EJ169*VLOOKUP('Données projet'!$B$15,Paramètres!$A$1:$I$89,3,0)*VLOOKUP('Données projet'!$B$15,Paramètres!$A$1:$I$89,5,0)</f>
        <v>-5.3205440053716299E-14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123.60520571614535</v>
      </c>
      <c r="EP169" s="59">
        <f t="shared" si="154"/>
        <v>119.00926870519527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5.8675130075150218E-2</v>
      </c>
      <c r="EW169" s="21">
        <f>EXP(-LN(2)/25)*EW168+(1-EXP(-LN(2)/25))/(LN(2)/25)*Calculateur!ER169*Calculateur!ET169*VLOOKUP('Données projet'!$B$15,Paramètres!$A$1:$I$89,3,0)*0.475*44/12</f>
        <v>0.11003480589805874</v>
      </c>
      <c r="EX169" s="21">
        <f>EXP(-LN(2)/2)*EX168+(1-EXP(-LN(2)/2))/(LN(2)/2)*ER169*EU169*VLOOKUP('Données projet'!$B$15,Paramètres!$A$1:$I$89,3,0)*0.475*44/12</f>
        <v>2.0714056863684738E-20</v>
      </c>
      <c r="EY169" s="22">
        <f t="shared" si="181"/>
        <v>0.16870993597320896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-8.5265128291212022E-14</v>
      </c>
      <c r="FF169" s="17">
        <f>FE169*VLOOKUP('Données projet'!$B$16,Paramètres!$A$1:$I$89,3,0)*VLOOKUP('Données projet'!$B$16,Paramètres!$A$1:$I$89,5,0)</f>
        <v>-6.2516392063116648E-14</v>
      </c>
      <c r="FG169" s="13" t="e">
        <f t="shared" si="182"/>
        <v>#NUM!</v>
      </c>
      <c r="FH169" s="20" t="e">
        <f t="shared" si="183"/>
        <v>#NUM!</v>
      </c>
      <c r="FI169" s="59" t="e">
        <f t="shared" si="131"/>
        <v>#NUM!</v>
      </c>
      <c r="FJ169" s="59">
        <f ca="1">AVERAGE(OFFSET($FI$3,0,0,'Données projet'!$E$16+1,1))-AVERAGE(OFFSET($H$3,0,0,'Données projet'!$E$16+1,1))</f>
        <v>124.15919323713428</v>
      </c>
      <c r="FK169" s="59">
        <f t="shared" si="156"/>
        <v>157.85954678210715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0</v>
      </c>
      <c r="FR169" s="21">
        <f>EXP(-LN(2)/25)*FR168+(1-EXP(-LN(2)/25))/(LN(2)/25)*Calculateur!FM169*Calculateur!FO169*VLOOKUP('Données projet'!$B$16,Paramètres!$A$1:$I$89,3,0)*0.475*44/12</f>
        <v>0.11578511641422719</v>
      </c>
      <c r="FS169" s="21">
        <f>EXP(-LN(2)/2)*FS168+(1-EXP(-LN(2)/2))/(LN(2)/2)*FM169*FP169*VLOOKUP('Données projet'!$B$16,Paramètres!$A$1:$I$89,3,0)*0.475*44/12</f>
        <v>2.499537898654661E-20</v>
      </c>
      <c r="FT169" s="22">
        <f t="shared" si="184"/>
        <v>0.11578511641422719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-1.1368683772161603E-13</v>
      </c>
      <c r="O170" s="13">
        <f>N170*VLOOKUP('Données projet'!$B$9,Paramètres!$A$1:$I$89,3,0)*VLOOKUP('Données projet'!$B$9,Paramètres!$A$1:$I$89,5,0)</f>
        <v>-1.0286385077051818E-13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237.22177246688199</v>
      </c>
      <c r="T170" s="59">
        <f t="shared" si="142"/>
        <v>149.27472147904302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</v>
      </c>
      <c r="AA170" s="21">
        <f>EXP(-LN(2)/25)*AA169+(1-EXP(-LN(2)/25))/(LN(2)/25)*Calculateur!V170*Calculateur!X170*VLOOKUP('Données projet'!$B$9,Paramètres!$A$1:$I$89,3,0)*0.475*44/12</f>
        <v>6.9590255350853197E-2</v>
      </c>
      <c r="AB170" s="21">
        <f>EXP(-LN(2)/2)*AB169+(1-EXP(-LN(2)/2))/(LN(2)/2)*V170*Y170*VLOOKUP('Données projet'!$B$9,Paramètres!$A$1:$I$89,3,0)*0.475*44/12</f>
        <v>1.4828259873060115E-20</v>
      </c>
      <c r="AC170" s="22">
        <f t="shared" si="163"/>
        <v>6.9590255350853197E-2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-8.5265128291212022E-14</v>
      </c>
      <c r="AJ170" s="13">
        <f>AI170*VLOOKUP('Données projet'!$B$10,Paramètres!$A$1:$I$89,3,0)*VLOOKUP('Données projet'!$B$10,Paramètres!$A$1:$I$89,5,0)</f>
        <v>-7.4487616075202836E-14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191.94797389630673</v>
      </c>
      <c r="AO170" s="59">
        <f t="shared" si="144"/>
        <v>273.52540822767878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0.17076641819018301</v>
      </c>
      <c r="AV170" s="21">
        <f>EXP(-LN(2)/25)*AV169+(1-EXP(-LN(2)/25))/(LN(2)/25)*Calculateur!AQ170*Calculateur!AS170*VLOOKUP('Données projet'!$B$10,Paramètres!$A$1:$I$89,3,0)*0.475*44/12</f>
        <v>0.3147565612614503</v>
      </c>
      <c r="AW170" s="21">
        <f>EXP(-LN(2)/2)*AW169+(1-EXP(-LN(2)/2))/(LN(2)/2)*AQ170*AT170*VLOOKUP('Données projet'!$B$10,Paramètres!$A$1:$I$89,3,0)*0.475*44/12</f>
        <v>5.5589224408779937E-20</v>
      </c>
      <c r="AX170" s="21">
        <f t="shared" si="166"/>
        <v>0.48552297945163331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72.647148358003676</v>
      </c>
      <c r="BJ170" s="59">
        <f t="shared" si="146"/>
        <v>87.231299224620898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8.4398320132618984E-2</v>
      </c>
      <c r="BQ170" s="21">
        <f>EXP(-LN(2)/25)*BQ169+(1-EXP(-LN(2)/25))/(LN(2)/25)*Calculateur!BL170*Calculateur!BN170*VLOOKUP('Données projet'!$B$11,Paramètres!$A$1:$I$89,3,0)*0.475*44/12</f>
        <v>0.10152241719305627</v>
      </c>
      <c r="BR170" s="21">
        <f>EXP(-LN(2)/2)*BR169+(1-EXP(-LN(2)/2))/(LN(2)/2)*BL170*BO170*VLOOKUP('Données projet'!$B$11,Paramètres!$A$1:$I$89,3,0)*0.475*44/12</f>
        <v>5.4645046862760482E-21</v>
      </c>
      <c r="BS170" s="22">
        <f t="shared" si="169"/>
        <v>0.18592073732567527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5.6843418860808015E-14</v>
      </c>
      <c r="BZ170" s="13">
        <f>BY170*VLOOKUP('Données projet'!$B$12,Paramètres!$A$1:$I$89,3,0)*VLOOKUP('Données projet'!$B$12,Paramètres!$A$1:$I$89,5,0)</f>
        <v>3.3992364478763198E-14</v>
      </c>
      <c r="CA170" s="13">
        <f t="shared" si="170"/>
        <v>5.790027782444094E-13</v>
      </c>
      <c r="CB170" s="20">
        <f t="shared" si="171"/>
        <v>1.0676332069095257E-12</v>
      </c>
      <c r="CC170" s="59">
        <f t="shared" si="119"/>
        <v>293.33333333333439</v>
      </c>
      <c r="CD170" s="59">
        <f ca="1">AVERAGE(OFFSET($CC$3,0,0,'Données projet'!$E$12+1,1))-AVERAGE(OFFSET($H$3,0,0,'Données projet'!$E$12+1,1))</f>
        <v>165.39579887388538</v>
      </c>
      <c r="CE170" s="59">
        <f t="shared" si="148"/>
        <v>155.89639262545802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</v>
      </c>
      <c r="CL170" s="21">
        <f>EXP(-LN(2)/25)*CL169+(1-EXP(-LN(2)/25))/(LN(2)/25)*Calculateur!CG170*Calculateur!CI170*VLOOKUP('Données projet'!$B$12,Paramètres!$A$1:$I$89,3,0)*0.475*44/12</f>
        <v>0.16331955234982973</v>
      </c>
      <c r="CM170" s="21">
        <f>EXP(-LN(2)/2)*CM169+(1-EXP(-LN(2)/2))/(LN(2)/2)*CG170*CJ170*VLOOKUP('Données projet'!$B$12,Paramètres!$A$1:$I$89,3,0)*0.475*44/12</f>
        <v>3.3253386588099148E-20</v>
      </c>
      <c r="CN170" s="22">
        <f t="shared" si="172"/>
        <v>0.16331955234982973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3.4106051316484809E-13</v>
      </c>
      <c r="CU170" s="17">
        <f>CT170*VLOOKUP('Données projet'!$B$13,Paramètres!$A$1:$I$89,3,0)*VLOOKUP('Données projet'!$B$13,Paramètres!$A$1:$I$89,5,0)</f>
        <v>2.6602720026858149E-13</v>
      </c>
      <c r="CV170" s="13">
        <f t="shared" si="173"/>
        <v>3.5662905043956649E-12</v>
      </c>
      <c r="CW170" s="20">
        <f t="shared" si="174"/>
        <v>6.6746200022902298E-12</v>
      </c>
      <c r="CX170" s="59">
        <f t="shared" si="122"/>
        <v>293.33333333333997</v>
      </c>
      <c r="CY170" s="59">
        <f ca="1">AVERAGE(OFFSET($CX$3,0,0,'Données projet'!$E$13+1,1))-AVERAGE(OFFSET($H$3,0,0,'Données projet'!$E$13+1,1))</f>
        <v>190.06335940156185</v>
      </c>
      <c r="CZ170" s="59">
        <f t="shared" si="150"/>
        <v>166.43663896839928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</v>
      </c>
      <c r="DG170" s="21">
        <f>EXP(-LN(2)/25)*DG169+(1-EXP(-LN(2)/25))/(LN(2)/25)*Calculateur!DB170*Calculateur!DD170*VLOOKUP('Données projet'!$B$13,Paramètres!$A$1:$I$89,3,0)*0.475*44/12</f>
        <v>0.1000730539921954</v>
      </c>
      <c r="DH170" s="21">
        <f>EXP(-LN(2)/2)*DH169+(1-EXP(-LN(2)/2))/(LN(2)/2)*DB170*DE170*VLOOKUP('Données projet'!$B$13,Paramètres!$A$1:$I$89,3,0)*0.475*44/12</f>
        <v>1.2760831709854486E-20</v>
      </c>
      <c r="DI170" s="22">
        <f t="shared" si="175"/>
        <v>0.1000730539921954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-1.1368683772161603E-13</v>
      </c>
      <c r="DP170" s="17">
        <f>DO170*VLOOKUP('Données projet'!$B$14,Paramètres!$A$1:$I$89,3,0)*VLOOKUP('Données projet'!$B$14,Paramètres!$A$1:$I$89,5,0)</f>
        <v>-1.0995790944434703E-13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261.22357949323879</v>
      </c>
      <c r="DU170" s="59">
        <f t="shared" si="152"/>
        <v>163.41029152029387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0</v>
      </c>
      <c r="EB170" s="21">
        <f>EXP(-LN(2)/25)*EB169+(1-EXP(-LN(2)/25))/(LN(2)/25)*Calculateur!DW170*Calculateur!DY170*VLOOKUP('Données projet'!$B$14,Paramètres!$A$1:$I$89,3,0)*0.475*44/12</f>
        <v>7.4389583306084361E-2</v>
      </c>
      <c r="EC170" s="21">
        <f>EXP(-LN(2)/2)*EC169+(1-EXP(-LN(2)/2))/(LN(2)/2)*DW170*DZ170*VLOOKUP('Données projet'!$B$14,Paramètres!$A$1:$I$89,3,0)*0.475*44/12</f>
        <v>1.5850898484995292E-20</v>
      </c>
      <c r="ED170" s="22">
        <f t="shared" si="178"/>
        <v>7.4389583306084361E-2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-1.1368683772161603E-13</v>
      </c>
      <c r="EK170" s="17">
        <f>EJ170*VLOOKUP('Données projet'!$B$15,Paramètres!$A$1:$I$89,3,0)*VLOOKUP('Données projet'!$B$15,Paramètres!$A$1:$I$89,5,0)</f>
        <v>-5.3205440053716299E-14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123.60520571614535</v>
      </c>
      <c r="EP170" s="59">
        <f t="shared" si="154"/>
        <v>119.00926870519527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5.7524546562672065E-2</v>
      </c>
      <c r="EW170" s="21">
        <f>EXP(-LN(2)/25)*EW169+(1-EXP(-LN(2)/25))/(LN(2)/25)*Calculateur!ER170*Calculateur!ET170*VLOOKUP('Données projet'!$B$15,Paramètres!$A$1:$I$89,3,0)*0.475*44/12</f>
        <v>0.10702589834429736</v>
      </c>
      <c r="EX170" s="21">
        <f>EXP(-LN(2)/2)*EX169+(1-EXP(-LN(2)/2))/(LN(2)/2)*ER170*EU170*VLOOKUP('Données projet'!$B$15,Paramètres!$A$1:$I$89,3,0)*0.475*44/12</f>
        <v>1.4647050074195226E-20</v>
      </c>
      <c r="EY170" s="22">
        <f t="shared" si="181"/>
        <v>0.16455044490696943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-8.5265128291212022E-14</v>
      </c>
      <c r="FF170" s="17">
        <f>FE170*VLOOKUP('Données projet'!$B$16,Paramètres!$A$1:$I$89,3,0)*VLOOKUP('Données projet'!$B$16,Paramètres!$A$1:$I$89,5,0)</f>
        <v>-6.2516392063116648E-14</v>
      </c>
      <c r="FG170" s="13" t="e">
        <f t="shared" si="182"/>
        <v>#NUM!</v>
      </c>
      <c r="FH170" s="20" t="e">
        <f t="shared" si="183"/>
        <v>#NUM!</v>
      </c>
      <c r="FI170" s="59" t="e">
        <f t="shared" si="131"/>
        <v>#NUM!</v>
      </c>
      <c r="FJ170" s="59">
        <f ca="1">AVERAGE(OFFSET($FI$3,0,0,'Données projet'!$E$16+1,1))-AVERAGE(OFFSET($H$3,0,0,'Données projet'!$E$16+1,1))</f>
        <v>124.15919323713428</v>
      </c>
      <c r="FK170" s="59">
        <f t="shared" si="156"/>
        <v>157.85954678210715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0</v>
      </c>
      <c r="FR170" s="21">
        <f>EXP(-LN(2)/25)*FR169+(1-EXP(-LN(2)/25))/(LN(2)/25)*Calculateur!FM170*Calculateur!FO170*VLOOKUP('Données projet'!$B$16,Paramètres!$A$1:$I$89,3,0)*0.475*44/12</f>
        <v>0.11261896631700551</v>
      </c>
      <c r="FS170" s="21">
        <f>EXP(-LN(2)/2)*FS169+(1-EXP(-LN(2)/2))/(LN(2)/2)*FM170*FP170*VLOOKUP('Données projet'!$B$16,Paramètres!$A$1:$I$89,3,0)*0.475*44/12</f>
        <v>1.7674401979714841E-20</v>
      </c>
      <c r="FT170" s="22">
        <f t="shared" si="184"/>
        <v>0.11261896631700551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-1.1368683772161603E-13</v>
      </c>
      <c r="O171" s="13">
        <f>N171*VLOOKUP('Données projet'!$B$9,Paramètres!$A$1:$I$89,3,0)*VLOOKUP('Données projet'!$B$9,Paramètres!$A$1:$I$89,5,0)</f>
        <v>-1.0286385077051818E-13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237.22177246688199</v>
      </c>
      <c r="T171" s="59">
        <f t="shared" si="142"/>
        <v>149.27472147904302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</v>
      </c>
      <c r="AA171" s="21">
        <f>EXP(-LN(2)/25)*AA170+(1-EXP(-LN(2)/25))/(LN(2)/25)*Calculateur!V171*Calculateur!X171*VLOOKUP('Données projet'!$B$9,Paramètres!$A$1:$I$89,3,0)*0.475*44/12</f>
        <v>6.7687306158691632E-2</v>
      </c>
      <c r="AB171" s="21">
        <f>EXP(-LN(2)/2)*AB170+(1-EXP(-LN(2)/2))/(LN(2)/2)*V171*Y171*VLOOKUP('Données projet'!$B$9,Paramètres!$A$1:$I$89,3,0)*0.475*44/12</f>
        <v>1.0485163109437182E-20</v>
      </c>
      <c r="AC171" s="22">
        <f t="shared" si="163"/>
        <v>6.7687306158691632E-2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-8.5265128291212022E-14</v>
      </c>
      <c r="AJ171" s="13">
        <f>AI171*VLOOKUP('Données projet'!$B$10,Paramètres!$A$1:$I$89,3,0)*VLOOKUP('Données projet'!$B$10,Paramètres!$A$1:$I$89,5,0)</f>
        <v>-7.4487616075202836E-14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191.94797389630673</v>
      </c>
      <c r="AO171" s="59">
        <f t="shared" si="144"/>
        <v>273.52540822767878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0.16741779288670394</v>
      </c>
      <c r="AV171" s="21">
        <f>EXP(-LN(2)/25)*AV170+(1-EXP(-LN(2)/25))/(LN(2)/25)*Calculateur!AQ171*Calculateur!AS171*VLOOKUP('Données projet'!$B$10,Paramètres!$A$1:$I$89,3,0)*0.475*44/12</f>
        <v>0.30614952654142774</v>
      </c>
      <c r="AW171" s="21">
        <f>EXP(-LN(2)/2)*AW170+(1-EXP(-LN(2)/2))/(LN(2)/2)*AQ171*AT171*VLOOKUP('Données projet'!$B$10,Paramètres!$A$1:$I$89,3,0)*0.475*44/12</f>
        <v>3.9307517540349043E-20</v>
      </c>
      <c r="AX171" s="21">
        <f t="shared" si="166"/>
        <v>0.47356731942813168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72.647148358003676</v>
      </c>
      <c r="BJ171" s="59">
        <f t="shared" si="146"/>
        <v>87.231299224620898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8.2743320552710581E-2</v>
      </c>
      <c r="BQ171" s="21">
        <f>EXP(-LN(2)/25)*BQ170+(1-EXP(-LN(2)/25))/(LN(2)/25)*Calculateur!BL171*Calculateur!BN171*VLOOKUP('Données projet'!$B$11,Paramètres!$A$1:$I$89,3,0)*0.475*44/12</f>
        <v>9.8746281356080254E-2</v>
      </c>
      <c r="BR171" s="21">
        <f>EXP(-LN(2)/2)*BR170+(1-EXP(-LN(2)/2))/(LN(2)/2)*BL171*BO171*VLOOKUP('Données projet'!$B$11,Paramètres!$A$1:$I$89,3,0)*0.475*44/12</f>
        <v>3.8639883194914611E-21</v>
      </c>
      <c r="BS171" s="22">
        <f t="shared" si="169"/>
        <v>0.18148960190879082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5.6843418860808015E-14</v>
      </c>
      <c r="BZ171" s="13">
        <f>BY171*VLOOKUP('Données projet'!$B$12,Paramètres!$A$1:$I$89,3,0)*VLOOKUP('Données projet'!$B$12,Paramètres!$A$1:$I$89,5,0)</f>
        <v>3.3992364478763198E-14</v>
      </c>
      <c r="CA171" s="13">
        <f t="shared" si="170"/>
        <v>5.790027782444094E-13</v>
      </c>
      <c r="CB171" s="20">
        <f t="shared" si="171"/>
        <v>1.0676332069095257E-12</v>
      </c>
      <c r="CC171" s="59">
        <f t="shared" si="119"/>
        <v>293.33333333333439</v>
      </c>
      <c r="CD171" s="59">
        <f ca="1">AVERAGE(OFFSET($CC$3,0,0,'Données projet'!$E$12+1,1))-AVERAGE(OFFSET($H$3,0,0,'Données projet'!$E$12+1,1))</f>
        <v>165.39579887388538</v>
      </c>
      <c r="CE171" s="59">
        <f t="shared" si="148"/>
        <v>155.89639262545802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</v>
      </c>
      <c r="CL171" s="21">
        <f>EXP(-LN(2)/25)*CL170+(1-EXP(-LN(2)/25))/(LN(2)/25)*Calculateur!CG171*Calculateur!CI171*VLOOKUP('Données projet'!$B$12,Paramètres!$A$1:$I$89,3,0)*0.475*44/12</f>
        <v>0.15885357060222166</v>
      </c>
      <c r="CM171" s="21">
        <f>EXP(-LN(2)/2)*CM170+(1-EXP(-LN(2)/2))/(LN(2)/2)*CG171*CJ171*VLOOKUP('Données projet'!$B$12,Paramètres!$A$1:$I$89,3,0)*0.475*44/12</f>
        <v>2.3513695153862699E-20</v>
      </c>
      <c r="CN171" s="22">
        <f t="shared" si="172"/>
        <v>0.15885357060222166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3.4106051316484809E-13</v>
      </c>
      <c r="CU171" s="17">
        <f>CT171*VLOOKUP('Données projet'!$B$13,Paramètres!$A$1:$I$89,3,0)*VLOOKUP('Données projet'!$B$13,Paramètres!$A$1:$I$89,5,0)</f>
        <v>2.6602720026858149E-13</v>
      </c>
      <c r="CV171" s="13">
        <f t="shared" si="173"/>
        <v>3.5662905043956649E-12</v>
      </c>
      <c r="CW171" s="20">
        <f t="shared" si="174"/>
        <v>6.6746200022902298E-12</v>
      </c>
      <c r="CX171" s="59">
        <f t="shared" si="122"/>
        <v>293.33333333333997</v>
      </c>
      <c r="CY171" s="59">
        <f ca="1">AVERAGE(OFFSET($CX$3,0,0,'Données projet'!$E$13+1,1))-AVERAGE(OFFSET($H$3,0,0,'Données projet'!$E$13+1,1))</f>
        <v>190.06335940156185</v>
      </c>
      <c r="CZ171" s="59">
        <f t="shared" si="150"/>
        <v>166.43663896839928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</v>
      </c>
      <c r="DG171" s="21">
        <f>EXP(-LN(2)/25)*DG170+(1-EXP(-LN(2)/25))/(LN(2)/25)*Calculateur!DB171*Calculateur!DD171*VLOOKUP('Données projet'!$B$13,Paramètres!$A$1:$I$89,3,0)*0.475*44/12</f>
        <v>9.7336551068165633E-2</v>
      </c>
      <c r="DH171" s="21">
        <f>EXP(-LN(2)/2)*DH170+(1-EXP(-LN(2)/2))/(LN(2)/2)*DB171*DE171*VLOOKUP('Données projet'!$B$13,Paramètres!$A$1:$I$89,3,0)*0.475*44/12</f>
        <v>9.0232706356184333E-21</v>
      </c>
      <c r="DI171" s="22">
        <f t="shared" si="175"/>
        <v>9.7336551068165633E-2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-1.1368683772161603E-13</v>
      </c>
      <c r="DP171" s="17">
        <f>DO171*VLOOKUP('Données projet'!$B$14,Paramètres!$A$1:$I$89,3,0)*VLOOKUP('Données projet'!$B$14,Paramètres!$A$1:$I$89,5,0)</f>
        <v>-1.0995790944434703E-13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261.22357949323879</v>
      </c>
      <c r="DU171" s="59">
        <f t="shared" si="152"/>
        <v>163.41029152029387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0</v>
      </c>
      <c r="EB171" s="21">
        <f>EXP(-LN(2)/25)*EB170+(1-EXP(-LN(2)/25))/(LN(2)/25)*Calculateur!DW171*Calculateur!DY171*VLOOKUP('Données projet'!$B$14,Paramètres!$A$1:$I$89,3,0)*0.475*44/12</f>
        <v>7.2355396238601322E-2</v>
      </c>
      <c r="EC171" s="21">
        <f>EXP(-LN(2)/2)*EC170+(1-EXP(-LN(2)/2))/(LN(2)/2)*DW171*DZ171*VLOOKUP('Données projet'!$B$14,Paramètres!$A$1:$I$89,3,0)*0.475*44/12</f>
        <v>1.1208277806639744E-20</v>
      </c>
      <c r="ED171" s="22">
        <f t="shared" si="178"/>
        <v>7.2355396238601322E-2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-1.1368683772161603E-13</v>
      </c>
      <c r="EK171" s="17">
        <f>EJ171*VLOOKUP('Données projet'!$B$15,Paramètres!$A$1:$I$89,3,0)*VLOOKUP('Données projet'!$B$15,Paramètres!$A$1:$I$89,5,0)</f>
        <v>-5.3205440053716299E-14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123.60520571614535</v>
      </c>
      <c r="EP171" s="59">
        <f t="shared" si="154"/>
        <v>119.00926870519527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5.6396525291086963E-2</v>
      </c>
      <c r="EW171" s="21">
        <f>EXP(-LN(2)/25)*EW170+(1-EXP(-LN(2)/25))/(LN(2)/25)*Calculateur!ER171*Calculateur!ET171*VLOOKUP('Données projet'!$B$15,Paramètres!$A$1:$I$89,3,0)*0.475*44/12</f>
        <v>0.10409926952582517</v>
      </c>
      <c r="EX171" s="21">
        <f>EXP(-LN(2)/2)*EX170+(1-EXP(-LN(2)/2))/(LN(2)/2)*ER171*EU171*VLOOKUP('Données projet'!$B$15,Paramètres!$A$1:$I$89,3,0)*0.475*44/12</f>
        <v>1.0357028431842369E-20</v>
      </c>
      <c r="EY171" s="22">
        <f t="shared" si="181"/>
        <v>0.16049579481691212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-8.5265128291212022E-14</v>
      </c>
      <c r="FF171" s="17">
        <f>FE171*VLOOKUP('Données projet'!$B$16,Paramètres!$A$1:$I$89,3,0)*VLOOKUP('Données projet'!$B$16,Paramètres!$A$1:$I$89,5,0)</f>
        <v>-6.2516392063116648E-14</v>
      </c>
      <c r="FG171" s="13" t="e">
        <f t="shared" si="182"/>
        <v>#NUM!</v>
      </c>
      <c r="FH171" s="20" t="e">
        <f t="shared" si="183"/>
        <v>#NUM!</v>
      </c>
      <c r="FI171" s="59" t="e">
        <f t="shared" si="131"/>
        <v>#NUM!</v>
      </c>
      <c r="FJ171" s="59">
        <f ca="1">AVERAGE(OFFSET($FI$3,0,0,'Données projet'!$E$16+1,1))-AVERAGE(OFFSET($H$3,0,0,'Données projet'!$E$16+1,1))</f>
        <v>124.15919323713428</v>
      </c>
      <c r="FK171" s="59">
        <f t="shared" si="156"/>
        <v>157.85954678210715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0</v>
      </c>
      <c r="FR171" s="21">
        <f>EXP(-LN(2)/25)*FR170+(1-EXP(-LN(2)/25))/(LN(2)/25)*Calculateur!FM171*Calculateur!FO171*VLOOKUP('Données projet'!$B$16,Paramètres!$A$1:$I$89,3,0)*0.475*44/12</f>
        <v>0.10953939476069295</v>
      </c>
      <c r="FS171" s="21">
        <f>EXP(-LN(2)/2)*FS170+(1-EXP(-LN(2)/2))/(LN(2)/2)*FM171*FP171*VLOOKUP('Données projet'!$B$16,Paramètres!$A$1:$I$89,3,0)*0.475*44/12</f>
        <v>1.2497689493273305E-20</v>
      </c>
      <c r="FT171" s="22">
        <f t="shared" si="184"/>
        <v>0.10953939476069295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-1.1368683772161603E-13</v>
      </c>
      <c r="O172" s="13">
        <f>N172*VLOOKUP('Données projet'!$B$9,Paramètres!$A$1:$I$89,3,0)*VLOOKUP('Données projet'!$B$9,Paramètres!$A$1:$I$89,5,0)</f>
        <v>-1.0286385077051818E-13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237.22177246688199</v>
      </c>
      <c r="T172" s="59">
        <f t="shared" si="142"/>
        <v>149.27472147904302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</v>
      </c>
      <c r="AA172" s="21">
        <f>EXP(-LN(2)/25)*AA171+(1-EXP(-LN(2)/25))/(LN(2)/25)*Calculateur!V172*Calculateur!X172*VLOOKUP('Données projet'!$B$9,Paramètres!$A$1:$I$89,3,0)*0.475*44/12</f>
        <v>6.5836393212261479E-2</v>
      </c>
      <c r="AB172" s="21">
        <f>EXP(-LN(2)/2)*AB171+(1-EXP(-LN(2)/2))/(LN(2)/2)*V172*Y172*VLOOKUP('Données projet'!$B$9,Paramètres!$A$1:$I$89,3,0)*0.475*44/12</f>
        <v>7.4141299365300576E-21</v>
      </c>
      <c r="AC172" s="22">
        <f t="shared" si="163"/>
        <v>6.5836393212261479E-2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-8.5265128291212022E-14</v>
      </c>
      <c r="AJ172" s="13">
        <f>AI172*VLOOKUP('Données projet'!$B$10,Paramètres!$A$1:$I$89,3,0)*VLOOKUP('Données projet'!$B$10,Paramètres!$A$1:$I$89,5,0)</f>
        <v>-7.4487616075202836E-14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191.94797389630673</v>
      </c>
      <c r="AO172" s="59">
        <f t="shared" si="144"/>
        <v>273.52540822767878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0.16413483208296634</v>
      </c>
      <c r="AV172" s="21">
        <f>EXP(-LN(2)/25)*AV171+(1-EXP(-LN(2)/25))/(LN(2)/25)*Calculateur!AQ172*Calculateur!AS172*VLOOKUP('Données projet'!$B$10,Paramètres!$A$1:$I$89,3,0)*0.475*44/12</f>
        <v>0.2977778516384485</v>
      </c>
      <c r="AW172" s="21">
        <f>EXP(-LN(2)/2)*AW171+(1-EXP(-LN(2)/2))/(LN(2)/2)*AQ172*AT172*VLOOKUP('Données projet'!$B$10,Paramètres!$A$1:$I$89,3,0)*0.475*44/12</f>
        <v>2.7794612204389968E-20</v>
      </c>
      <c r="AX172" s="21">
        <f t="shared" si="166"/>
        <v>0.46191268372141481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72.647148358003676</v>
      </c>
      <c r="BJ172" s="59">
        <f t="shared" si="146"/>
        <v>87.231299224620898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8.1120774505114124E-2</v>
      </c>
      <c r="BQ172" s="21">
        <f>EXP(-LN(2)/25)*BQ171+(1-EXP(-LN(2)/25))/(LN(2)/25)*Calculateur!BL172*Calculateur!BN172*VLOOKUP('Données projet'!$B$11,Paramètres!$A$1:$I$89,3,0)*0.475*44/12</f>
        <v>9.6046059099556991E-2</v>
      </c>
      <c r="BR172" s="21">
        <f>EXP(-LN(2)/2)*BR171+(1-EXP(-LN(2)/2))/(LN(2)/2)*BL172*BO172*VLOOKUP('Données projet'!$B$11,Paramètres!$A$1:$I$89,3,0)*0.475*44/12</f>
        <v>2.7322523431380241E-21</v>
      </c>
      <c r="BS172" s="22">
        <f t="shared" si="169"/>
        <v>0.17716683360467111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5.6843418860808015E-14</v>
      </c>
      <c r="BZ172" s="13">
        <f>BY172*VLOOKUP('Données projet'!$B$12,Paramètres!$A$1:$I$89,3,0)*VLOOKUP('Données projet'!$B$12,Paramètres!$A$1:$I$89,5,0)</f>
        <v>3.3992364478763198E-14</v>
      </c>
      <c r="CA172" s="13">
        <f t="shared" si="170"/>
        <v>5.790027782444094E-13</v>
      </c>
      <c r="CB172" s="20">
        <f t="shared" si="171"/>
        <v>1.0676332069095257E-12</v>
      </c>
      <c r="CC172" s="59">
        <f t="shared" si="119"/>
        <v>293.33333333333439</v>
      </c>
      <c r="CD172" s="59">
        <f ca="1">AVERAGE(OFFSET($CC$3,0,0,'Données projet'!$E$12+1,1))-AVERAGE(OFFSET($H$3,0,0,'Données projet'!$E$12+1,1))</f>
        <v>165.39579887388538</v>
      </c>
      <c r="CE172" s="59">
        <f t="shared" si="148"/>
        <v>155.89639262545802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</v>
      </c>
      <c r="CL172" s="21">
        <f>EXP(-LN(2)/25)*CL171+(1-EXP(-LN(2)/25))/(LN(2)/25)*Calculateur!CG172*Calculateur!CI172*VLOOKUP('Données projet'!$B$12,Paramètres!$A$1:$I$89,3,0)*0.475*44/12</f>
        <v>0.15450971136035771</v>
      </c>
      <c r="CM172" s="21">
        <f>EXP(-LN(2)/2)*CM171+(1-EXP(-LN(2)/2))/(LN(2)/2)*CG172*CJ172*VLOOKUP('Données projet'!$B$12,Paramètres!$A$1:$I$89,3,0)*0.475*44/12</f>
        <v>1.6626693294049574E-20</v>
      </c>
      <c r="CN172" s="22">
        <f t="shared" si="172"/>
        <v>0.15450971136035771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3.4106051316484809E-13</v>
      </c>
      <c r="CU172" s="17">
        <f>CT172*VLOOKUP('Données projet'!$B$13,Paramètres!$A$1:$I$89,3,0)*VLOOKUP('Données projet'!$B$13,Paramètres!$A$1:$I$89,5,0)</f>
        <v>2.6602720026858149E-13</v>
      </c>
      <c r="CV172" s="13">
        <f t="shared" si="173"/>
        <v>3.5662905043956649E-12</v>
      </c>
      <c r="CW172" s="20">
        <f t="shared" si="174"/>
        <v>6.6746200022902298E-12</v>
      </c>
      <c r="CX172" s="59">
        <f t="shared" si="122"/>
        <v>293.33333333333997</v>
      </c>
      <c r="CY172" s="59">
        <f ca="1">AVERAGE(OFFSET($CX$3,0,0,'Données projet'!$E$13+1,1))-AVERAGE(OFFSET($H$3,0,0,'Données projet'!$E$13+1,1))</f>
        <v>190.06335940156185</v>
      </c>
      <c r="CZ172" s="59">
        <f t="shared" si="150"/>
        <v>166.43663896839928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</v>
      </c>
      <c r="DG172" s="21">
        <f>EXP(-LN(2)/25)*DG171+(1-EXP(-LN(2)/25))/(LN(2)/25)*Calculateur!DB172*Calculateur!DD172*VLOOKUP('Données projet'!$B$13,Paramètres!$A$1:$I$89,3,0)*0.475*44/12</f>
        <v>9.4674877960499892E-2</v>
      </c>
      <c r="DH172" s="21">
        <f>EXP(-LN(2)/2)*DH171+(1-EXP(-LN(2)/2))/(LN(2)/2)*DB172*DE172*VLOOKUP('Données projet'!$B$13,Paramètres!$A$1:$I$89,3,0)*0.475*44/12</f>
        <v>6.3804158549272432E-21</v>
      </c>
      <c r="DI172" s="22">
        <f t="shared" si="175"/>
        <v>9.4674877960499892E-2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-1.1368683772161603E-13</v>
      </c>
      <c r="DP172" s="17">
        <f>DO172*VLOOKUP('Données projet'!$B$14,Paramètres!$A$1:$I$89,3,0)*VLOOKUP('Données projet'!$B$14,Paramètres!$A$1:$I$89,5,0)</f>
        <v>-1.0995790944434703E-13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261.22357949323879</v>
      </c>
      <c r="DU172" s="59">
        <f t="shared" si="152"/>
        <v>163.41029152029387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0</v>
      </c>
      <c r="EB172" s="21">
        <f>EXP(-LN(2)/25)*EB171+(1-EXP(-LN(2)/25))/(LN(2)/25)*Calculateur!DW172*Calculateur!DY172*VLOOKUP('Données projet'!$B$14,Paramètres!$A$1:$I$89,3,0)*0.475*44/12</f>
        <v>7.0376834123451845E-2</v>
      </c>
      <c r="EC172" s="21">
        <f>EXP(-LN(2)/2)*EC171+(1-EXP(-LN(2)/2))/(LN(2)/2)*DW172*DZ172*VLOOKUP('Données projet'!$B$14,Paramètres!$A$1:$I$89,3,0)*0.475*44/12</f>
        <v>7.9254492424976462E-21</v>
      </c>
      <c r="ED172" s="22">
        <f t="shared" si="178"/>
        <v>7.0376834123451845E-2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-1.1368683772161603E-13</v>
      </c>
      <c r="EK172" s="17">
        <f>EJ172*VLOOKUP('Données projet'!$B$15,Paramètres!$A$1:$I$89,3,0)*VLOOKUP('Données projet'!$B$15,Paramètres!$A$1:$I$89,5,0)</f>
        <v>-5.3205440053716299E-14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123.60520571614535</v>
      </c>
      <c r="EP172" s="59">
        <f t="shared" si="154"/>
        <v>119.00926870519527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5.5290623828612606E-2</v>
      </c>
      <c r="EW172" s="21">
        <f>EXP(-LN(2)/25)*EW171+(1-EXP(-LN(2)/25))/(LN(2)/25)*Calculateur!ER172*Calculateur!ET172*VLOOKUP('Données projet'!$B$15,Paramètres!$A$1:$I$89,3,0)*0.475*44/12</f>
        <v>0.10125266952629881</v>
      </c>
      <c r="EX172" s="21">
        <f>EXP(-LN(2)/2)*EX171+(1-EXP(-LN(2)/2))/(LN(2)/2)*ER172*EU172*VLOOKUP('Données projet'!$B$15,Paramètres!$A$1:$I$89,3,0)*0.475*44/12</f>
        <v>7.3235250370976132E-21</v>
      </c>
      <c r="EY172" s="22">
        <f t="shared" si="181"/>
        <v>0.15654329335491141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-8.5265128291212022E-14</v>
      </c>
      <c r="FF172" s="17">
        <f>FE172*VLOOKUP('Données projet'!$B$16,Paramètres!$A$1:$I$89,3,0)*VLOOKUP('Données projet'!$B$16,Paramètres!$A$1:$I$89,5,0)</f>
        <v>-6.2516392063116648E-14</v>
      </c>
      <c r="FG172" s="13" t="e">
        <f t="shared" si="182"/>
        <v>#NUM!</v>
      </c>
      <c r="FH172" s="20" t="e">
        <f t="shared" si="183"/>
        <v>#NUM!</v>
      </c>
      <c r="FI172" s="59" t="e">
        <f t="shared" si="131"/>
        <v>#NUM!</v>
      </c>
      <c r="FJ172" s="59">
        <f ca="1">AVERAGE(OFFSET($FI$3,0,0,'Données projet'!$E$16+1,1))-AVERAGE(OFFSET($H$3,0,0,'Données projet'!$E$16+1,1))</f>
        <v>124.15919323713428</v>
      </c>
      <c r="FK172" s="59">
        <f t="shared" si="156"/>
        <v>157.85954678210715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0</v>
      </c>
      <c r="FR172" s="21">
        <f>EXP(-LN(2)/25)*FR171+(1-EXP(-LN(2)/25))/(LN(2)/25)*Calculateur!FM172*Calculateur!FO172*VLOOKUP('Données projet'!$B$16,Paramètres!$A$1:$I$89,3,0)*0.475*44/12</f>
        <v>0.10654403425053539</v>
      </c>
      <c r="FS172" s="21">
        <f>EXP(-LN(2)/2)*FS171+(1-EXP(-LN(2)/2))/(LN(2)/2)*FM172*FP172*VLOOKUP('Données projet'!$B$16,Paramètres!$A$1:$I$89,3,0)*0.475*44/12</f>
        <v>8.8372009898574207E-21</v>
      </c>
      <c r="FT172" s="22">
        <f t="shared" si="184"/>
        <v>0.10654403425053539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-1.1368683772161603E-13</v>
      </c>
      <c r="O173" s="13">
        <f>N173*VLOOKUP('Données projet'!$B$9,Paramètres!$A$1:$I$89,3,0)*VLOOKUP('Données projet'!$B$9,Paramètres!$A$1:$I$89,5,0)</f>
        <v>-1.0286385077051818E-13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237.22177246688199</v>
      </c>
      <c r="T173" s="59">
        <f t="shared" si="142"/>
        <v>149.27472147904302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</v>
      </c>
      <c r="AA173" s="21">
        <f>EXP(-LN(2)/25)*AA172+(1-EXP(-LN(2)/25))/(LN(2)/25)*Calculateur!V173*Calculateur!X173*VLOOKUP('Données projet'!$B$9,Paramètres!$A$1:$I$89,3,0)*0.475*44/12</f>
        <v>6.4036093577686748E-2</v>
      </c>
      <c r="AB173" s="21">
        <f>EXP(-LN(2)/2)*AB172+(1-EXP(-LN(2)/2))/(LN(2)/2)*V173*Y173*VLOOKUP('Données projet'!$B$9,Paramètres!$A$1:$I$89,3,0)*0.475*44/12</f>
        <v>5.242581554718591E-21</v>
      </c>
      <c r="AC173" s="22">
        <f t="shared" si="163"/>
        <v>6.4036093577686748E-2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-8.5265128291212022E-14</v>
      </c>
      <c r="AJ173" s="13">
        <f>AI173*VLOOKUP('Données projet'!$B$10,Paramètres!$A$1:$I$89,3,0)*VLOOKUP('Données projet'!$B$10,Paramètres!$A$1:$I$89,5,0)</f>
        <v>-7.4487616075202836E-14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191.94797389630673</v>
      </c>
      <c r="AO173" s="59">
        <f t="shared" si="144"/>
        <v>273.52540822767878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0.16091624813818167</v>
      </c>
      <c r="AV173" s="21">
        <f>EXP(-LN(2)/25)*AV172+(1-EXP(-LN(2)/25))/(LN(2)/25)*Calculateur!AQ173*Calculateur!AS173*VLOOKUP('Données projet'!$B$10,Paramètres!$A$1:$I$89,3,0)*0.475*44/12</f>
        <v>0.2896351006259385</v>
      </c>
      <c r="AW173" s="21">
        <f>EXP(-LN(2)/2)*AW172+(1-EXP(-LN(2)/2))/(LN(2)/2)*AQ173*AT173*VLOOKUP('Données projet'!$B$10,Paramètres!$A$1:$I$89,3,0)*0.475*44/12</f>
        <v>1.9653758770174521E-20</v>
      </c>
      <c r="AX173" s="21">
        <f t="shared" si="166"/>
        <v>0.45055134876412017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72.647148358003676</v>
      </c>
      <c r="BJ173" s="59">
        <f t="shared" si="146"/>
        <v>87.231299224620898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7.9530045595855664E-2</v>
      </c>
      <c r="BQ173" s="21">
        <f>EXP(-LN(2)/25)*BQ172+(1-EXP(-LN(2)/25))/(LN(2)/25)*Calculateur!BL173*Calculateur!BN173*VLOOKUP('Données projet'!$B$11,Paramètres!$A$1:$I$89,3,0)*0.475*44/12</f>
        <v>9.3419674562636876E-2</v>
      </c>
      <c r="BR173" s="21">
        <f>EXP(-LN(2)/2)*BR172+(1-EXP(-LN(2)/2))/(LN(2)/2)*BL173*BO173*VLOOKUP('Données projet'!$B$11,Paramètres!$A$1:$I$89,3,0)*0.475*44/12</f>
        <v>1.9319941597457305E-21</v>
      </c>
      <c r="BS173" s="22">
        <f t="shared" si="169"/>
        <v>0.17294972015849253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5.6843418860808015E-14</v>
      </c>
      <c r="BZ173" s="13">
        <f>BY173*VLOOKUP('Données projet'!$B$12,Paramètres!$A$1:$I$89,3,0)*VLOOKUP('Données projet'!$B$12,Paramètres!$A$1:$I$89,5,0)</f>
        <v>3.3992364478763198E-14</v>
      </c>
      <c r="CA173" s="13">
        <f t="shared" si="170"/>
        <v>5.790027782444094E-13</v>
      </c>
      <c r="CB173" s="20">
        <f t="shared" si="171"/>
        <v>1.0676332069095257E-12</v>
      </c>
      <c r="CC173" s="59">
        <f t="shared" si="119"/>
        <v>293.33333333333439</v>
      </c>
      <c r="CD173" s="59">
        <f ca="1">AVERAGE(OFFSET($CC$3,0,0,'Données projet'!$E$12+1,1))-AVERAGE(OFFSET($H$3,0,0,'Données projet'!$E$12+1,1))</f>
        <v>165.39579887388538</v>
      </c>
      <c r="CE173" s="59">
        <f t="shared" si="148"/>
        <v>155.89639262545802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</v>
      </c>
      <c r="CL173" s="21">
        <f>EXP(-LN(2)/25)*CL172+(1-EXP(-LN(2)/25))/(LN(2)/25)*Calculateur!CG173*Calculateur!CI173*VLOOKUP('Données projet'!$B$12,Paramètres!$A$1:$I$89,3,0)*0.475*44/12</f>
        <v>0.15028463517789614</v>
      </c>
      <c r="CM173" s="21">
        <f>EXP(-LN(2)/2)*CM172+(1-EXP(-LN(2)/2))/(LN(2)/2)*CG173*CJ173*VLOOKUP('Données projet'!$B$12,Paramètres!$A$1:$I$89,3,0)*0.475*44/12</f>
        <v>1.1756847576931349E-20</v>
      </c>
      <c r="CN173" s="22">
        <f t="shared" si="172"/>
        <v>0.15028463517789614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3.4106051316484809E-13</v>
      </c>
      <c r="CU173" s="17">
        <f>CT173*VLOOKUP('Données projet'!$B$13,Paramètres!$A$1:$I$89,3,0)*VLOOKUP('Données projet'!$B$13,Paramètres!$A$1:$I$89,5,0)</f>
        <v>2.6602720026858149E-13</v>
      </c>
      <c r="CV173" s="13">
        <f t="shared" si="173"/>
        <v>3.5662905043956649E-12</v>
      </c>
      <c r="CW173" s="20">
        <f t="shared" si="174"/>
        <v>6.6746200022902298E-12</v>
      </c>
      <c r="CX173" s="59">
        <f t="shared" si="122"/>
        <v>293.33333333333997</v>
      </c>
      <c r="CY173" s="59">
        <f ca="1">AVERAGE(OFFSET($CX$3,0,0,'Données projet'!$E$13+1,1))-AVERAGE(OFFSET($H$3,0,0,'Données projet'!$E$13+1,1))</f>
        <v>190.06335940156185</v>
      </c>
      <c r="CZ173" s="59">
        <f t="shared" si="150"/>
        <v>166.43663896839928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</v>
      </c>
      <c r="DG173" s="21">
        <f>EXP(-LN(2)/25)*DG172+(1-EXP(-LN(2)/25))/(LN(2)/25)*Calculateur!DB173*Calculateur!DD173*VLOOKUP('Données projet'!$B$13,Paramètres!$A$1:$I$89,3,0)*0.475*44/12</f>
        <v>9.2085988443934577E-2</v>
      </c>
      <c r="DH173" s="21">
        <f>EXP(-LN(2)/2)*DH172+(1-EXP(-LN(2)/2))/(LN(2)/2)*DB173*DE173*VLOOKUP('Données projet'!$B$13,Paramètres!$A$1:$I$89,3,0)*0.475*44/12</f>
        <v>4.5116353178092166E-21</v>
      </c>
      <c r="DI173" s="22">
        <f t="shared" si="175"/>
        <v>9.2085988443934577E-2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-1.1368683772161603E-13</v>
      </c>
      <c r="DP173" s="17">
        <f>DO173*VLOOKUP('Données projet'!$B$14,Paramètres!$A$1:$I$89,3,0)*VLOOKUP('Données projet'!$B$14,Paramètres!$A$1:$I$89,5,0)</f>
        <v>-1.0995790944434703E-13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261.22357949323879</v>
      </c>
      <c r="DU173" s="59">
        <f t="shared" si="152"/>
        <v>163.41029152029387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0</v>
      </c>
      <c r="EB173" s="21">
        <f>EXP(-LN(2)/25)*EB172+(1-EXP(-LN(2)/25))/(LN(2)/25)*Calculateur!DW173*Calculateur!DY173*VLOOKUP('Données projet'!$B$14,Paramètres!$A$1:$I$89,3,0)*0.475*44/12</f>
        <v>6.8452375893389192E-2</v>
      </c>
      <c r="EC173" s="21">
        <f>EXP(-LN(2)/2)*EC172+(1-EXP(-LN(2)/2))/(LN(2)/2)*DW173*DZ173*VLOOKUP('Données projet'!$B$14,Paramètres!$A$1:$I$89,3,0)*0.475*44/12</f>
        <v>5.6041389033198721E-21</v>
      </c>
      <c r="ED173" s="22">
        <f t="shared" si="178"/>
        <v>6.8452375893389192E-2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-1.1368683772161603E-13</v>
      </c>
      <c r="EK173" s="17">
        <f>EJ173*VLOOKUP('Données projet'!$B$15,Paramètres!$A$1:$I$89,3,0)*VLOOKUP('Données projet'!$B$15,Paramètres!$A$1:$I$89,5,0)</f>
        <v>-5.3205440053716299E-14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123.60520571614535</v>
      </c>
      <c r="EP173" s="59">
        <f t="shared" si="154"/>
        <v>119.00926870519527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5.4206408419284084E-2</v>
      </c>
      <c r="EW173" s="21">
        <f>EXP(-LN(2)/25)*EW172+(1-EXP(-LN(2)/25))/(LN(2)/25)*Calculateur!ER173*Calculateur!ET173*VLOOKUP('Données projet'!$B$15,Paramètres!$A$1:$I$89,3,0)*0.475*44/12</f>
        <v>9.8483909953455698E-2</v>
      </c>
      <c r="EX173" s="21">
        <f>EXP(-LN(2)/2)*EX172+(1-EXP(-LN(2)/2))/(LN(2)/2)*ER173*EU173*VLOOKUP('Données projet'!$B$15,Paramètres!$A$1:$I$89,3,0)*0.475*44/12</f>
        <v>5.1785142159211844E-21</v>
      </c>
      <c r="EY173" s="22">
        <f t="shared" si="181"/>
        <v>0.15269031837273978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-8.5265128291212022E-14</v>
      </c>
      <c r="FF173" s="17">
        <f>FE173*VLOOKUP('Données projet'!$B$16,Paramètres!$A$1:$I$89,3,0)*VLOOKUP('Données projet'!$B$16,Paramètres!$A$1:$I$89,5,0)</f>
        <v>-6.2516392063116648E-14</v>
      </c>
      <c r="FG173" s="13" t="e">
        <f t="shared" si="182"/>
        <v>#NUM!</v>
      </c>
      <c r="FH173" s="20" t="e">
        <f t="shared" si="183"/>
        <v>#NUM!</v>
      </c>
      <c r="FI173" s="59" t="e">
        <f t="shared" si="131"/>
        <v>#NUM!</v>
      </c>
      <c r="FJ173" s="59">
        <f ca="1">AVERAGE(OFFSET($FI$3,0,0,'Données projet'!$E$16+1,1))-AVERAGE(OFFSET($H$3,0,0,'Données projet'!$E$16+1,1))</f>
        <v>124.15919323713428</v>
      </c>
      <c r="FK173" s="59">
        <f t="shared" si="156"/>
        <v>157.85954678210715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0</v>
      </c>
      <c r="FR173" s="21">
        <f>EXP(-LN(2)/25)*FR172+(1-EXP(-LN(2)/25))/(LN(2)/25)*Calculateur!FM173*Calculateur!FO173*VLOOKUP('Données projet'!$B$16,Paramètres!$A$1:$I$89,3,0)*0.475*44/12</f>
        <v>0.10363058203104725</v>
      </c>
      <c r="FS173" s="21">
        <f>EXP(-LN(2)/2)*FS172+(1-EXP(-LN(2)/2))/(LN(2)/2)*FM173*FP173*VLOOKUP('Données projet'!$B$16,Paramètres!$A$1:$I$89,3,0)*0.475*44/12</f>
        <v>6.2488447466366525E-21</v>
      </c>
      <c r="FT173" s="22">
        <f t="shared" si="184"/>
        <v>0.10363058203104725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-1.1368683772161603E-13</v>
      </c>
      <c r="O174" s="13">
        <f>N174*VLOOKUP('Données projet'!$B$9,Paramètres!$A$1:$I$89,3,0)*VLOOKUP('Données projet'!$B$9,Paramètres!$A$1:$I$89,5,0)</f>
        <v>-1.0286385077051818E-13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237.22177246688199</v>
      </c>
      <c r="T174" s="59">
        <f t="shared" si="142"/>
        <v>149.27472147904302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</v>
      </c>
      <c r="AA174" s="21">
        <f>EXP(-LN(2)/25)*AA173+(1-EXP(-LN(2)/25))/(LN(2)/25)*Calculateur!V174*Calculateur!X174*VLOOKUP('Données projet'!$B$9,Paramètres!$A$1:$I$89,3,0)*0.475*44/12</f>
        <v>6.2285023231293098E-2</v>
      </c>
      <c r="AB174" s="21">
        <f>EXP(-LN(2)/2)*AB173+(1-EXP(-LN(2)/2))/(LN(2)/2)*V174*Y174*VLOOKUP('Données projet'!$B$9,Paramètres!$A$1:$I$89,3,0)*0.475*44/12</f>
        <v>3.7070649682650288E-21</v>
      </c>
      <c r="AC174" s="22">
        <f t="shared" si="163"/>
        <v>6.2285023231293098E-2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-8.5265128291212022E-14</v>
      </c>
      <c r="AJ174" s="13">
        <f>AI174*VLOOKUP('Données projet'!$B$10,Paramètres!$A$1:$I$89,3,0)*VLOOKUP('Données projet'!$B$10,Paramètres!$A$1:$I$89,5,0)</f>
        <v>-7.4487616075202836E-14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191.94797389630673</v>
      </c>
      <c r="AO174" s="59">
        <f t="shared" si="144"/>
        <v>273.52540822767878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0.15776077866141186</v>
      </c>
      <c r="AV174" s="21">
        <f>EXP(-LN(2)/25)*AV173+(1-EXP(-LN(2)/25))/(LN(2)/25)*Calculateur!AQ174*Calculateur!AS174*VLOOKUP('Données projet'!$B$10,Paramètres!$A$1:$I$89,3,0)*0.475*44/12</f>
        <v>0.28171501356807427</v>
      </c>
      <c r="AW174" s="21">
        <f>EXP(-LN(2)/2)*AW173+(1-EXP(-LN(2)/2))/(LN(2)/2)*AQ174*AT174*VLOOKUP('Données projet'!$B$10,Paramètres!$A$1:$I$89,3,0)*0.475*44/12</f>
        <v>1.3897306102194984E-20</v>
      </c>
      <c r="AX174" s="21">
        <f t="shared" si="166"/>
        <v>0.43947579222948613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72.647148358003676</v>
      </c>
      <c r="BJ174" s="59">
        <f t="shared" si="146"/>
        <v>87.231299224620898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7.7970509910258931E-2</v>
      </c>
      <c r="BQ174" s="21">
        <f>EXP(-LN(2)/25)*BQ173+(1-EXP(-LN(2)/25))/(LN(2)/25)*Calculateur!BL174*Calculateur!BN174*VLOOKUP('Données projet'!$B$11,Paramètres!$A$1:$I$89,3,0)*0.475*44/12</f>
        <v>9.08651086489944E-2</v>
      </c>
      <c r="BR174" s="21">
        <f>EXP(-LN(2)/2)*BR173+(1-EXP(-LN(2)/2))/(LN(2)/2)*BL174*BO174*VLOOKUP('Données projet'!$B$11,Paramètres!$A$1:$I$89,3,0)*0.475*44/12</f>
        <v>1.366126171569012E-21</v>
      </c>
      <c r="BS174" s="22">
        <f t="shared" si="169"/>
        <v>0.16883561855925333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5.6843418860808015E-14</v>
      </c>
      <c r="BZ174" s="13">
        <f>BY174*VLOOKUP('Données projet'!$B$12,Paramètres!$A$1:$I$89,3,0)*VLOOKUP('Données projet'!$B$12,Paramètres!$A$1:$I$89,5,0)</f>
        <v>3.3992364478763198E-14</v>
      </c>
      <c r="CA174" s="13">
        <f t="shared" si="170"/>
        <v>5.790027782444094E-13</v>
      </c>
      <c r="CB174" s="20">
        <f t="shared" si="171"/>
        <v>1.0676332069095257E-12</v>
      </c>
      <c r="CC174" s="59">
        <f t="shared" si="119"/>
        <v>293.33333333333439</v>
      </c>
      <c r="CD174" s="59">
        <f ca="1">AVERAGE(OFFSET($CC$3,0,0,'Données projet'!$E$12+1,1))-AVERAGE(OFFSET($H$3,0,0,'Données projet'!$E$12+1,1))</f>
        <v>165.39579887388538</v>
      </c>
      <c r="CE174" s="59">
        <f t="shared" si="148"/>
        <v>155.89639262545802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</v>
      </c>
      <c r="CL174" s="21">
        <f>EXP(-LN(2)/25)*CL173+(1-EXP(-LN(2)/25))/(LN(2)/25)*Calculateur!CG174*Calculateur!CI174*VLOOKUP('Données projet'!$B$12,Paramètres!$A$1:$I$89,3,0)*0.475*44/12</f>
        <v>0.14617509392583108</v>
      </c>
      <c r="CM174" s="21">
        <f>EXP(-LN(2)/2)*CM173+(1-EXP(-LN(2)/2))/(LN(2)/2)*CG174*CJ174*VLOOKUP('Données projet'!$B$12,Paramètres!$A$1:$I$89,3,0)*0.475*44/12</f>
        <v>8.3133466470247869E-21</v>
      </c>
      <c r="CN174" s="22">
        <f t="shared" si="172"/>
        <v>0.14617509392583108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3.4106051316484809E-13</v>
      </c>
      <c r="CU174" s="17">
        <f>CT174*VLOOKUP('Données projet'!$B$13,Paramètres!$A$1:$I$89,3,0)*VLOOKUP('Données projet'!$B$13,Paramètres!$A$1:$I$89,5,0)</f>
        <v>2.6602720026858149E-13</v>
      </c>
      <c r="CV174" s="13">
        <f t="shared" si="173"/>
        <v>3.5662905043956649E-12</v>
      </c>
      <c r="CW174" s="20">
        <f t="shared" si="174"/>
        <v>6.6746200022902298E-12</v>
      </c>
      <c r="CX174" s="59">
        <f t="shared" si="122"/>
        <v>293.33333333333997</v>
      </c>
      <c r="CY174" s="59">
        <f ca="1">AVERAGE(OFFSET($CX$3,0,0,'Données projet'!$E$13+1,1))-AVERAGE(OFFSET($H$3,0,0,'Données projet'!$E$13+1,1))</f>
        <v>190.06335940156185</v>
      </c>
      <c r="CZ174" s="59">
        <f t="shared" si="150"/>
        <v>166.43663896839928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</v>
      </c>
      <c r="DG174" s="21">
        <f>EXP(-LN(2)/25)*DG173+(1-EXP(-LN(2)/25))/(LN(2)/25)*Calculateur!DB174*Calculateur!DD174*VLOOKUP('Données projet'!$B$13,Paramètres!$A$1:$I$89,3,0)*0.475*44/12</f>
        <v>8.9567892247343517E-2</v>
      </c>
      <c r="DH174" s="21">
        <f>EXP(-LN(2)/2)*DH173+(1-EXP(-LN(2)/2))/(LN(2)/2)*DB174*DE174*VLOOKUP('Données projet'!$B$13,Paramètres!$A$1:$I$89,3,0)*0.475*44/12</f>
        <v>3.1902079274636216E-21</v>
      </c>
      <c r="DI174" s="22">
        <f t="shared" si="175"/>
        <v>8.9567892247343517E-2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-1.1368683772161603E-13</v>
      </c>
      <c r="DP174" s="17">
        <f>DO174*VLOOKUP('Données projet'!$B$14,Paramètres!$A$1:$I$89,3,0)*VLOOKUP('Données projet'!$B$14,Paramètres!$A$1:$I$89,5,0)</f>
        <v>-1.0995790944434703E-13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261.22357949323879</v>
      </c>
      <c r="DU174" s="59">
        <f t="shared" si="152"/>
        <v>163.41029152029387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0</v>
      </c>
      <c r="EB174" s="21">
        <f>EXP(-LN(2)/25)*EB173+(1-EXP(-LN(2)/25))/(LN(2)/25)*Calculateur!DW174*Calculateur!DY174*VLOOKUP('Données projet'!$B$14,Paramètres!$A$1:$I$89,3,0)*0.475*44/12</f>
        <v>6.6580542074830468E-2</v>
      </c>
      <c r="EC174" s="21">
        <f>EXP(-LN(2)/2)*EC173+(1-EXP(-LN(2)/2))/(LN(2)/2)*DW174*DZ174*VLOOKUP('Données projet'!$B$14,Paramètres!$A$1:$I$89,3,0)*0.475*44/12</f>
        <v>3.9627246212488231E-21</v>
      </c>
      <c r="ED174" s="22">
        <f t="shared" si="178"/>
        <v>6.6580542074830468E-2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-1.1368683772161603E-13</v>
      </c>
      <c r="EK174" s="17">
        <f>EJ174*VLOOKUP('Données projet'!$B$15,Paramètres!$A$1:$I$89,3,0)*VLOOKUP('Données projet'!$B$15,Paramètres!$A$1:$I$89,5,0)</f>
        <v>-5.3205440053716299E-14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123.60520571614535</v>
      </c>
      <c r="EP174" s="59">
        <f t="shared" si="154"/>
        <v>119.00926870519527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5.3143453812826397E-2</v>
      </c>
      <c r="EW174" s="21">
        <f>EXP(-LN(2)/25)*EW173+(1-EXP(-LN(2)/25))/(LN(2)/25)*Calculateur!ER174*Calculateur!ET174*VLOOKUP('Données projet'!$B$15,Paramètres!$A$1:$I$89,3,0)*0.475*44/12</f>
        <v>9.5790862256734721E-2</v>
      </c>
      <c r="EX174" s="21">
        <f>EXP(-LN(2)/2)*EX173+(1-EXP(-LN(2)/2))/(LN(2)/2)*ER174*EU174*VLOOKUP('Données projet'!$B$15,Paramètres!$A$1:$I$89,3,0)*0.475*44/12</f>
        <v>3.6617625185488066E-21</v>
      </c>
      <c r="EY174" s="22">
        <f t="shared" si="181"/>
        <v>0.14893431606956112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-8.5265128291212022E-14</v>
      </c>
      <c r="FF174" s="17">
        <f>FE174*VLOOKUP('Données projet'!$B$16,Paramètres!$A$1:$I$89,3,0)*VLOOKUP('Données projet'!$B$16,Paramètres!$A$1:$I$89,5,0)</f>
        <v>-6.2516392063116648E-14</v>
      </c>
      <c r="FG174" s="13" t="e">
        <f t="shared" si="182"/>
        <v>#NUM!</v>
      </c>
      <c r="FH174" s="20" t="e">
        <f t="shared" si="183"/>
        <v>#NUM!</v>
      </c>
      <c r="FI174" s="59" t="e">
        <f t="shared" si="131"/>
        <v>#NUM!</v>
      </c>
      <c r="FJ174" s="59">
        <f ca="1">AVERAGE(OFFSET($FI$3,0,0,'Données projet'!$E$16+1,1))-AVERAGE(OFFSET($H$3,0,0,'Données projet'!$E$16+1,1))</f>
        <v>124.15919323713428</v>
      </c>
      <c r="FK174" s="59">
        <f t="shared" si="156"/>
        <v>157.85954678210715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0</v>
      </c>
      <c r="FR174" s="21">
        <f>EXP(-LN(2)/25)*FR173+(1-EXP(-LN(2)/25))/(LN(2)/25)*Calculateur!FM174*Calculateur!FO174*VLOOKUP('Données projet'!$B$16,Paramètres!$A$1:$I$89,3,0)*0.475*44/12</f>
        <v>0.1007967983157128</v>
      </c>
      <c r="FS174" s="21">
        <f>EXP(-LN(2)/2)*FS173+(1-EXP(-LN(2)/2))/(LN(2)/2)*FM174*FP174*VLOOKUP('Données projet'!$B$16,Paramètres!$A$1:$I$89,3,0)*0.475*44/12</f>
        <v>4.4186004949287104E-21</v>
      </c>
      <c r="FT174" s="22">
        <f t="shared" si="184"/>
        <v>0.1007967983157128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-1.1368683772161603E-13</v>
      </c>
      <c r="O175" s="13">
        <f>N175*VLOOKUP('Données projet'!$B$9,Paramètres!$A$1:$I$89,3,0)*VLOOKUP('Données projet'!$B$9,Paramètres!$A$1:$I$89,5,0)</f>
        <v>-1.0286385077051818E-13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237.22177246688199</v>
      </c>
      <c r="T175" s="59">
        <f t="shared" si="142"/>
        <v>149.27472147904302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</v>
      </c>
      <c r="AA175" s="21">
        <f>EXP(-LN(2)/25)*AA174+(1-EXP(-LN(2)/25))/(LN(2)/25)*Calculateur!V175*Calculateur!X175*VLOOKUP('Données projet'!$B$9,Paramètres!$A$1:$I$89,3,0)*0.475*44/12</f>
        <v>6.0581835995606369E-2</v>
      </c>
      <c r="AB175" s="21">
        <f>EXP(-LN(2)/2)*AB174+(1-EXP(-LN(2)/2))/(LN(2)/2)*V175*Y175*VLOOKUP('Données projet'!$B$9,Paramètres!$A$1:$I$89,3,0)*0.475*44/12</f>
        <v>2.6212907773592955E-21</v>
      </c>
      <c r="AC175" s="22">
        <f t="shared" si="163"/>
        <v>6.0581835995606369E-2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-8.5265128291212022E-14</v>
      </c>
      <c r="AJ175" s="13">
        <f>AI175*VLOOKUP('Données projet'!$B$10,Paramètres!$A$1:$I$89,3,0)*VLOOKUP('Données projet'!$B$10,Paramètres!$A$1:$I$89,5,0)</f>
        <v>-7.4487616075202836E-14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191.94797389630673</v>
      </c>
      <c r="AO175" s="59">
        <f t="shared" si="144"/>
        <v>273.52540822767878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0.15466718601643517</v>
      </c>
      <c r="AV175" s="21">
        <f>EXP(-LN(2)/25)*AV174+(1-EXP(-LN(2)/25))/(LN(2)/25)*Calculateur!AQ175*Calculateur!AS175*VLOOKUP('Données projet'!$B$10,Paramètres!$A$1:$I$89,3,0)*0.475*44/12</f>
        <v>0.27401150170730659</v>
      </c>
      <c r="AW175" s="21">
        <f>EXP(-LN(2)/2)*AW174+(1-EXP(-LN(2)/2))/(LN(2)/2)*AQ175*AT175*VLOOKUP('Données projet'!$B$10,Paramètres!$A$1:$I$89,3,0)*0.475*44/12</f>
        <v>9.8268793850872607E-21</v>
      </c>
      <c r="AX175" s="21">
        <f t="shared" si="166"/>
        <v>0.42867868772374174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72.647148358003676</v>
      </c>
      <c r="BJ175" s="59">
        <f t="shared" si="146"/>
        <v>87.231299224620898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7.6441555768233901E-2</v>
      </c>
      <c r="BQ175" s="21">
        <f>EXP(-LN(2)/25)*BQ174+(1-EXP(-LN(2)/25))/(LN(2)/25)*Calculateur!BL175*Calculateur!BN175*VLOOKUP('Données projet'!$B$11,Paramètres!$A$1:$I$89,3,0)*0.475*44/12</f>
        <v>8.8380397474599262E-2</v>
      </c>
      <c r="BR175" s="21">
        <f>EXP(-LN(2)/2)*BR174+(1-EXP(-LN(2)/2))/(LN(2)/2)*BL175*BO175*VLOOKUP('Données projet'!$B$11,Paramètres!$A$1:$I$89,3,0)*0.475*44/12</f>
        <v>9.6599707987286527E-22</v>
      </c>
      <c r="BS175" s="22">
        <f t="shared" si="169"/>
        <v>0.16482195324283316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5.6843418860808015E-14</v>
      </c>
      <c r="BZ175" s="13">
        <f>BY175*VLOOKUP('Données projet'!$B$12,Paramètres!$A$1:$I$89,3,0)*VLOOKUP('Données projet'!$B$12,Paramètres!$A$1:$I$89,5,0)</f>
        <v>3.3992364478763198E-14</v>
      </c>
      <c r="CA175" s="13">
        <f t="shared" si="170"/>
        <v>5.790027782444094E-13</v>
      </c>
      <c r="CB175" s="20">
        <f t="shared" si="171"/>
        <v>1.0676332069095257E-12</v>
      </c>
      <c r="CC175" s="59">
        <f t="shared" si="119"/>
        <v>293.33333333333439</v>
      </c>
      <c r="CD175" s="59">
        <f ca="1">AVERAGE(OFFSET($CC$3,0,0,'Données projet'!$E$12+1,1))-AVERAGE(OFFSET($H$3,0,0,'Données projet'!$E$12+1,1))</f>
        <v>165.39579887388538</v>
      </c>
      <c r="CE175" s="59">
        <f t="shared" si="148"/>
        <v>155.89639262545802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</v>
      </c>
      <c r="CL175" s="21">
        <f>EXP(-LN(2)/25)*CL174+(1-EXP(-LN(2)/25))/(LN(2)/25)*Calculateur!CG175*Calculateur!CI175*VLOOKUP('Données projet'!$B$12,Paramètres!$A$1:$I$89,3,0)*0.475*44/12</f>
        <v>0.14217792829541512</v>
      </c>
      <c r="CM175" s="21">
        <f>EXP(-LN(2)/2)*CM174+(1-EXP(-LN(2)/2))/(LN(2)/2)*CG175*CJ175*VLOOKUP('Données projet'!$B$12,Paramètres!$A$1:$I$89,3,0)*0.475*44/12</f>
        <v>5.8784237884656747E-21</v>
      </c>
      <c r="CN175" s="22">
        <f t="shared" si="172"/>
        <v>0.14217792829541512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3.4106051316484809E-13</v>
      </c>
      <c r="CU175" s="17">
        <f>CT175*VLOOKUP('Données projet'!$B$13,Paramètres!$A$1:$I$89,3,0)*VLOOKUP('Données projet'!$B$13,Paramètres!$A$1:$I$89,5,0)</f>
        <v>2.6602720026858149E-13</v>
      </c>
      <c r="CV175" s="13">
        <f t="shared" si="173"/>
        <v>3.5662905043956649E-12</v>
      </c>
      <c r="CW175" s="20">
        <f t="shared" si="174"/>
        <v>6.6746200022902298E-12</v>
      </c>
      <c r="CX175" s="59">
        <f t="shared" si="122"/>
        <v>293.33333333333997</v>
      </c>
      <c r="CY175" s="59">
        <f ca="1">AVERAGE(OFFSET($CX$3,0,0,'Données projet'!$E$13+1,1))-AVERAGE(OFFSET($H$3,0,0,'Données projet'!$E$13+1,1))</f>
        <v>190.06335940156185</v>
      </c>
      <c r="CZ175" s="59">
        <f t="shared" si="150"/>
        <v>166.43663896839928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</v>
      </c>
      <c r="DG175" s="21">
        <f>EXP(-LN(2)/25)*DG174+(1-EXP(-LN(2)/25))/(LN(2)/25)*Calculateur!DB175*Calculateur!DD175*VLOOKUP('Données projet'!$B$13,Paramètres!$A$1:$I$89,3,0)*0.475*44/12</f>
        <v>8.7118653523669168E-2</v>
      </c>
      <c r="DH175" s="21">
        <f>EXP(-LN(2)/2)*DH174+(1-EXP(-LN(2)/2))/(LN(2)/2)*DB175*DE175*VLOOKUP('Données projet'!$B$13,Paramètres!$A$1:$I$89,3,0)*0.475*44/12</f>
        <v>2.2558176589046083E-21</v>
      </c>
      <c r="DI175" s="22">
        <f t="shared" si="175"/>
        <v>8.7118653523669168E-2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-1.1368683772161603E-13</v>
      </c>
      <c r="DP175" s="17">
        <f>DO175*VLOOKUP('Données projet'!$B$14,Paramètres!$A$1:$I$89,3,0)*VLOOKUP('Données projet'!$B$14,Paramètres!$A$1:$I$89,5,0)</f>
        <v>-1.0995790944434703E-13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261.22357949323879</v>
      </c>
      <c r="DU175" s="59">
        <f t="shared" si="152"/>
        <v>163.41029152029387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0</v>
      </c>
      <c r="EB175" s="21">
        <f>EXP(-LN(2)/25)*EB174+(1-EXP(-LN(2)/25))/(LN(2)/25)*Calculateur!DW175*Calculateur!DY175*VLOOKUP('Données projet'!$B$14,Paramètres!$A$1:$I$89,3,0)*0.475*44/12</f>
        <v>6.4759893650475686E-2</v>
      </c>
      <c r="EC175" s="21">
        <f>EXP(-LN(2)/2)*EC174+(1-EXP(-LN(2)/2))/(LN(2)/2)*DW175*DZ175*VLOOKUP('Données projet'!$B$14,Paramètres!$A$1:$I$89,3,0)*0.475*44/12</f>
        <v>2.802069451659936E-21</v>
      </c>
      <c r="ED175" s="22">
        <f t="shared" si="178"/>
        <v>6.4759893650475686E-2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-1.1368683772161603E-13</v>
      </c>
      <c r="EK175" s="17">
        <f>EJ175*VLOOKUP('Données projet'!$B$15,Paramètres!$A$1:$I$89,3,0)*VLOOKUP('Données projet'!$B$15,Paramètres!$A$1:$I$89,5,0)</f>
        <v>-5.3205440053716299E-14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123.60520571614535</v>
      </c>
      <c r="EP175" s="59">
        <f t="shared" si="154"/>
        <v>119.00926870519527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5.2101343097863052E-2</v>
      </c>
      <c r="EW175" s="21">
        <f>EXP(-LN(2)/25)*EW174+(1-EXP(-LN(2)/25))/(LN(2)/25)*Calculateur!ER175*Calculateur!ET175*VLOOKUP('Données projet'!$B$15,Paramètres!$A$1:$I$89,3,0)*0.475*44/12</f>
        <v>9.31714560909018E-2</v>
      </c>
      <c r="EX175" s="21">
        <f>EXP(-LN(2)/2)*EX174+(1-EXP(-LN(2)/2))/(LN(2)/2)*ER175*EU175*VLOOKUP('Données projet'!$B$15,Paramètres!$A$1:$I$89,3,0)*0.475*44/12</f>
        <v>2.5892571079605922E-21</v>
      </c>
      <c r="EY175" s="22">
        <f t="shared" si="181"/>
        <v>0.14527279918876485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-8.5265128291212022E-14</v>
      </c>
      <c r="FF175" s="17">
        <f>FE175*VLOOKUP('Données projet'!$B$16,Paramètres!$A$1:$I$89,3,0)*VLOOKUP('Données projet'!$B$16,Paramètres!$A$1:$I$89,5,0)</f>
        <v>-6.2516392063116648E-14</v>
      </c>
      <c r="FG175" s="13" t="e">
        <f t="shared" si="182"/>
        <v>#NUM!</v>
      </c>
      <c r="FH175" s="20" t="e">
        <f t="shared" si="183"/>
        <v>#NUM!</v>
      </c>
      <c r="FI175" s="59" t="e">
        <f t="shared" si="131"/>
        <v>#NUM!</v>
      </c>
      <c r="FJ175" s="59">
        <f ca="1">AVERAGE(OFFSET($FI$3,0,0,'Données projet'!$E$16+1,1))-AVERAGE(OFFSET($H$3,0,0,'Données projet'!$E$16+1,1))</f>
        <v>124.15919323713428</v>
      </c>
      <c r="FK175" s="59">
        <f t="shared" si="156"/>
        <v>157.85954678210715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0</v>
      </c>
      <c r="FR175" s="21">
        <f>EXP(-LN(2)/25)*FR174+(1-EXP(-LN(2)/25))/(LN(2)/25)*Calculateur!FM175*Calculateur!FO175*VLOOKUP('Données projet'!$B$16,Paramètres!$A$1:$I$89,3,0)*0.475*44/12</f>
        <v>9.8040504565096387E-2</v>
      </c>
      <c r="FS175" s="21">
        <f>EXP(-LN(2)/2)*FS174+(1-EXP(-LN(2)/2))/(LN(2)/2)*FM175*FP175*VLOOKUP('Données projet'!$B$16,Paramètres!$A$1:$I$89,3,0)*0.475*44/12</f>
        <v>3.1244223733183262E-21</v>
      </c>
      <c r="FT175" s="22">
        <f t="shared" si="184"/>
        <v>9.8040504565096387E-2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-1.1368683772161603E-13</v>
      </c>
      <c r="O176" s="13">
        <f>N176*VLOOKUP('Données projet'!$B$9,Paramètres!$A$1:$I$89,3,0)*VLOOKUP('Données projet'!$B$9,Paramètres!$A$1:$I$89,5,0)</f>
        <v>-1.0286385077051818E-13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237.22177246688199</v>
      </c>
      <c r="T176" s="59">
        <f t="shared" si="142"/>
        <v>149.27472147904302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</v>
      </c>
      <c r="AA176" s="21">
        <f>EXP(-LN(2)/25)*AA175+(1-EXP(-LN(2)/25))/(LN(2)/25)*Calculateur!V176*Calculateur!X176*VLOOKUP('Données projet'!$B$9,Paramètres!$A$1:$I$89,3,0)*0.475*44/12</f>
        <v>5.892522250444622E-2</v>
      </c>
      <c r="AB176" s="21">
        <f>EXP(-LN(2)/2)*AB175+(1-EXP(-LN(2)/2))/(LN(2)/2)*V176*Y176*VLOOKUP('Données projet'!$B$9,Paramètres!$A$1:$I$89,3,0)*0.475*44/12</f>
        <v>1.8535324841325144E-21</v>
      </c>
      <c r="AC176" s="22">
        <f t="shared" si="163"/>
        <v>5.892522250444622E-2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-8.5265128291212022E-14</v>
      </c>
      <c r="AJ176" s="13">
        <f>AI176*VLOOKUP('Données projet'!$B$10,Paramètres!$A$1:$I$89,3,0)*VLOOKUP('Données projet'!$B$10,Paramètres!$A$1:$I$89,5,0)</f>
        <v>-7.4487616075202836E-14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191.94797389630673</v>
      </c>
      <c r="AO176" s="59">
        <f t="shared" si="144"/>
        <v>273.52540822767878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0.15163425683632129</v>
      </c>
      <c r="AV176" s="21">
        <f>EXP(-LN(2)/25)*AV175+(1-EXP(-LN(2)/25))/(LN(2)/25)*Calculateur!AQ176*Calculateur!AS176*VLOOKUP('Données projet'!$B$10,Paramètres!$A$1:$I$89,3,0)*0.475*44/12</f>
        <v>0.2665186427834817</v>
      </c>
      <c r="AW176" s="21">
        <f>EXP(-LN(2)/2)*AW175+(1-EXP(-LN(2)/2))/(LN(2)/2)*AQ176*AT176*VLOOKUP('Données projet'!$B$10,Paramètres!$A$1:$I$89,3,0)*0.475*44/12</f>
        <v>6.9486530510974921E-21</v>
      </c>
      <c r="AX176" s="21">
        <f t="shared" si="166"/>
        <v>0.41815289961980295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72.647148358003676</v>
      </c>
      <c r="BJ176" s="59">
        <f t="shared" si="146"/>
        <v>87.231299224620898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7.4942583484364042E-2</v>
      </c>
      <c r="BQ176" s="21">
        <f>EXP(-LN(2)/25)*BQ175+(1-EXP(-LN(2)/25))/(LN(2)/25)*Calculateur!BL176*Calculateur!BN176*VLOOKUP('Données projet'!$B$11,Paramètres!$A$1:$I$89,3,0)*0.475*44/12</f>
        <v>8.5963630857933238E-2</v>
      </c>
      <c r="BR176" s="21">
        <f>EXP(-LN(2)/2)*BR175+(1-EXP(-LN(2)/2))/(LN(2)/2)*BL176*BO176*VLOOKUP('Données projet'!$B$11,Paramètres!$A$1:$I$89,3,0)*0.475*44/12</f>
        <v>6.8306308578450602E-22</v>
      </c>
      <c r="BS176" s="22">
        <f t="shared" si="169"/>
        <v>0.16090621434229729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5.6843418860808015E-14</v>
      </c>
      <c r="BZ176" s="13">
        <f>BY176*VLOOKUP('Données projet'!$B$12,Paramètres!$A$1:$I$89,3,0)*VLOOKUP('Données projet'!$B$12,Paramètres!$A$1:$I$89,5,0)</f>
        <v>3.3992364478763198E-14</v>
      </c>
      <c r="CA176" s="13">
        <f t="shared" si="170"/>
        <v>5.790027782444094E-13</v>
      </c>
      <c r="CB176" s="20">
        <f t="shared" si="171"/>
        <v>1.0676332069095257E-12</v>
      </c>
      <c r="CC176" s="59">
        <f t="shared" si="119"/>
        <v>293.33333333333439</v>
      </c>
      <c r="CD176" s="59">
        <f ca="1">AVERAGE(OFFSET($CC$3,0,0,'Données projet'!$E$12+1,1))-AVERAGE(OFFSET($H$3,0,0,'Données projet'!$E$12+1,1))</f>
        <v>165.39579887388538</v>
      </c>
      <c r="CE176" s="59">
        <f t="shared" si="148"/>
        <v>155.89639262545802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</v>
      </c>
      <c r="CL176" s="21">
        <f>EXP(-LN(2)/25)*CL175+(1-EXP(-LN(2)/25))/(LN(2)/25)*Calculateur!CG176*Calculateur!CI176*VLOOKUP('Données projet'!$B$12,Paramètres!$A$1:$I$89,3,0)*0.475*44/12</f>
        <v>0.1382900653693647</v>
      </c>
      <c r="CM176" s="21">
        <f>EXP(-LN(2)/2)*CM175+(1-EXP(-LN(2)/2))/(LN(2)/2)*CG176*CJ176*VLOOKUP('Données projet'!$B$12,Paramètres!$A$1:$I$89,3,0)*0.475*44/12</f>
        <v>4.1566733235123935E-21</v>
      </c>
      <c r="CN176" s="22">
        <f t="shared" si="172"/>
        <v>0.1382900653693647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3.4106051316484809E-13</v>
      </c>
      <c r="CU176" s="17">
        <f>CT176*VLOOKUP('Données projet'!$B$13,Paramètres!$A$1:$I$89,3,0)*VLOOKUP('Données projet'!$B$13,Paramètres!$A$1:$I$89,5,0)</f>
        <v>2.6602720026858149E-13</v>
      </c>
      <c r="CV176" s="13">
        <f t="shared" si="173"/>
        <v>3.5662905043956649E-12</v>
      </c>
      <c r="CW176" s="20">
        <f t="shared" si="174"/>
        <v>6.6746200022902298E-12</v>
      </c>
      <c r="CX176" s="59">
        <f t="shared" si="122"/>
        <v>293.33333333333997</v>
      </c>
      <c r="CY176" s="59">
        <f ca="1">AVERAGE(OFFSET($CX$3,0,0,'Données projet'!$E$13+1,1))-AVERAGE(OFFSET($H$3,0,0,'Données projet'!$E$13+1,1))</f>
        <v>190.06335940156185</v>
      </c>
      <c r="CZ176" s="59">
        <f t="shared" si="150"/>
        <v>166.43663896839928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</v>
      </c>
      <c r="DG176" s="21">
        <f>EXP(-LN(2)/25)*DG175+(1-EXP(-LN(2)/25))/(LN(2)/25)*Calculateur!DB176*Calculateur!DD176*VLOOKUP('Données projet'!$B$13,Paramètres!$A$1:$I$89,3,0)*0.475*44/12</f>
        <v>8.4736389361693559E-2</v>
      </c>
      <c r="DH176" s="21">
        <f>EXP(-LN(2)/2)*DH175+(1-EXP(-LN(2)/2))/(LN(2)/2)*DB176*DE176*VLOOKUP('Données projet'!$B$13,Paramètres!$A$1:$I$89,3,0)*0.475*44/12</f>
        <v>1.5951039637318108E-21</v>
      </c>
      <c r="DI176" s="22">
        <f t="shared" si="175"/>
        <v>8.4736389361693559E-2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-1.1368683772161603E-13</v>
      </c>
      <c r="DP176" s="17">
        <f>DO176*VLOOKUP('Données projet'!$B$14,Paramètres!$A$1:$I$89,3,0)*VLOOKUP('Données projet'!$B$14,Paramètres!$A$1:$I$89,5,0)</f>
        <v>-1.0995790944434703E-13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261.22357949323879</v>
      </c>
      <c r="DU176" s="59">
        <f t="shared" si="152"/>
        <v>163.41029152029387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0</v>
      </c>
      <c r="EB176" s="21">
        <f>EXP(-LN(2)/25)*EB175+(1-EXP(-LN(2)/25))/(LN(2)/25)*Calculateur!DW176*Calculateur!DY176*VLOOKUP('Données projet'!$B$14,Paramètres!$A$1:$I$89,3,0)*0.475*44/12</f>
        <v>6.298903095302863E-2</v>
      </c>
      <c r="EC176" s="21">
        <f>EXP(-LN(2)/2)*EC175+(1-EXP(-LN(2)/2))/(LN(2)/2)*DW176*DZ176*VLOOKUP('Données projet'!$B$14,Paramètres!$A$1:$I$89,3,0)*0.475*44/12</f>
        <v>1.9813623106244116E-21</v>
      </c>
      <c r="ED176" s="22">
        <f t="shared" si="178"/>
        <v>6.298903095302863E-2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-1.1368683772161603E-13</v>
      </c>
      <c r="EK176" s="17">
        <f>EJ176*VLOOKUP('Données projet'!$B$15,Paramètres!$A$1:$I$89,3,0)*VLOOKUP('Données projet'!$B$15,Paramètres!$A$1:$I$89,5,0)</f>
        <v>-5.3205440053716299E-14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123.60520571614535</v>
      </c>
      <c r="EP176" s="59">
        <f t="shared" si="154"/>
        <v>119.00926870519527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5.1079667538395365E-2</v>
      </c>
      <c r="EW176" s="21">
        <f>EXP(-LN(2)/25)*EW175+(1-EXP(-LN(2)/25))/(LN(2)/25)*Calculateur!ER176*Calculateur!ET176*VLOOKUP('Données projet'!$B$15,Paramètres!$A$1:$I$89,3,0)*0.475*44/12</f>
        <v>9.0623677724422161E-2</v>
      </c>
      <c r="EX176" s="21">
        <f>EXP(-LN(2)/2)*EX175+(1-EXP(-LN(2)/2))/(LN(2)/2)*ER176*EU176*VLOOKUP('Données projet'!$B$15,Paramètres!$A$1:$I$89,3,0)*0.475*44/12</f>
        <v>1.8308812592744033E-21</v>
      </c>
      <c r="EY176" s="22">
        <f t="shared" si="181"/>
        <v>0.14170334526281753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-8.5265128291212022E-14</v>
      </c>
      <c r="FF176" s="17">
        <f>FE176*VLOOKUP('Données projet'!$B$16,Paramètres!$A$1:$I$89,3,0)*VLOOKUP('Données projet'!$B$16,Paramètres!$A$1:$I$89,5,0)</f>
        <v>-6.2516392063116648E-14</v>
      </c>
      <c r="FG176" s="13" t="e">
        <f t="shared" si="182"/>
        <v>#NUM!</v>
      </c>
      <c r="FH176" s="20" t="e">
        <f t="shared" si="183"/>
        <v>#NUM!</v>
      </c>
      <c r="FI176" s="59" t="e">
        <f t="shared" si="131"/>
        <v>#NUM!</v>
      </c>
      <c r="FJ176" s="59">
        <f ca="1">AVERAGE(OFFSET($FI$3,0,0,'Données projet'!$E$16+1,1))-AVERAGE(OFFSET($H$3,0,0,'Données projet'!$E$16+1,1))</f>
        <v>124.15919323713428</v>
      </c>
      <c r="FK176" s="59">
        <f t="shared" si="156"/>
        <v>157.85954678210715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0</v>
      </c>
      <c r="FR176" s="21">
        <f>EXP(-LN(2)/25)*FR175+(1-EXP(-LN(2)/25))/(LN(2)/25)*Calculateur!FM176*Calculateur!FO176*VLOOKUP('Données projet'!$B$16,Paramètres!$A$1:$I$89,3,0)*0.475*44/12</f>
        <v>9.5359581812037769E-2</v>
      </c>
      <c r="FS176" s="21">
        <f>EXP(-LN(2)/2)*FS175+(1-EXP(-LN(2)/2))/(LN(2)/2)*FM176*FP176*VLOOKUP('Données projet'!$B$16,Paramètres!$A$1:$I$89,3,0)*0.475*44/12</f>
        <v>2.2093002474643552E-21</v>
      </c>
      <c r="FT176" s="22">
        <f t="shared" si="184"/>
        <v>9.5359581812037769E-2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-1.1368683772161603E-13</v>
      </c>
      <c r="O177" s="13">
        <f>N177*VLOOKUP('Données projet'!$B$9,Paramètres!$A$1:$I$89,3,0)*VLOOKUP('Données projet'!$B$9,Paramètres!$A$1:$I$89,5,0)</f>
        <v>-1.0286385077051818E-13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237.22177246688199</v>
      </c>
      <c r="T177" s="59">
        <f t="shared" si="142"/>
        <v>149.27472147904302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</v>
      </c>
      <c r="AA177" s="21">
        <f>EXP(-LN(2)/25)*AA176+(1-EXP(-LN(2)/25))/(LN(2)/25)*Calculateur!V177*Calculateur!X177*VLOOKUP('Données projet'!$B$9,Paramètres!$A$1:$I$89,3,0)*0.475*44/12</f>
        <v>5.731390919631936E-2</v>
      </c>
      <c r="AB177" s="21">
        <f>EXP(-LN(2)/2)*AB176+(1-EXP(-LN(2)/2))/(LN(2)/2)*V177*Y177*VLOOKUP('Données projet'!$B$9,Paramètres!$A$1:$I$89,3,0)*0.475*44/12</f>
        <v>1.3106453886796478E-21</v>
      </c>
      <c r="AC177" s="22">
        <f t="shared" si="163"/>
        <v>5.731390919631936E-2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-8.5265128291212022E-14</v>
      </c>
      <c r="AJ177" s="13">
        <f>AI177*VLOOKUP('Données projet'!$B$10,Paramètres!$A$1:$I$89,3,0)*VLOOKUP('Données projet'!$B$10,Paramètres!$A$1:$I$89,5,0)</f>
        <v>-7.4487616075202836E-14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191.94797389630673</v>
      </c>
      <c r="AO177" s="59">
        <f t="shared" si="144"/>
        <v>273.52540822767878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0.14866080154752528</v>
      </c>
      <c r="AV177" s="21">
        <f>EXP(-LN(2)/25)*AV176+(1-EXP(-LN(2)/25))/(LN(2)/25)*Calculateur!AQ177*Calculateur!AS177*VLOOKUP('Données projet'!$B$10,Paramètres!$A$1:$I$89,3,0)*0.475*44/12</f>
        <v>0.2592306764809611</v>
      </c>
      <c r="AW177" s="21">
        <f>EXP(-LN(2)/2)*AW176+(1-EXP(-LN(2)/2))/(LN(2)/2)*AQ177*AT177*VLOOKUP('Données projet'!$B$10,Paramètres!$A$1:$I$89,3,0)*0.475*44/12</f>
        <v>4.9134396925436303E-21</v>
      </c>
      <c r="AX177" s="21">
        <f t="shared" si="166"/>
        <v>0.40789147802848635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72.647148358003676</v>
      </c>
      <c r="BJ177" s="59">
        <f t="shared" si="146"/>
        <v>87.231299224620898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7.3473005132698055E-2</v>
      </c>
      <c r="BQ177" s="21">
        <f>EXP(-LN(2)/25)*BQ176+(1-EXP(-LN(2)/25))/(LN(2)/25)*Calculateur!BL177*Calculateur!BN177*VLOOKUP('Données projet'!$B$11,Paramètres!$A$1:$I$89,3,0)*0.475*44/12</f>
        <v>8.3612950851492174E-2</v>
      </c>
      <c r="BR177" s="21">
        <f>EXP(-LN(2)/2)*BR176+(1-EXP(-LN(2)/2))/(LN(2)/2)*BL177*BO177*VLOOKUP('Données projet'!$B$11,Paramètres!$A$1:$I$89,3,0)*0.475*44/12</f>
        <v>4.8299853993643264E-22</v>
      </c>
      <c r="BS177" s="22">
        <f t="shared" si="169"/>
        <v>0.15708595598419023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5.6843418860808015E-14</v>
      </c>
      <c r="BZ177" s="13">
        <f>BY177*VLOOKUP('Données projet'!$B$12,Paramètres!$A$1:$I$89,3,0)*VLOOKUP('Données projet'!$B$12,Paramètres!$A$1:$I$89,5,0)</f>
        <v>3.3992364478763198E-14</v>
      </c>
      <c r="CA177" s="13">
        <f t="shared" si="170"/>
        <v>5.790027782444094E-13</v>
      </c>
      <c r="CB177" s="20">
        <f t="shared" si="171"/>
        <v>1.0676332069095257E-12</v>
      </c>
      <c r="CC177" s="59">
        <f t="shared" si="119"/>
        <v>293.33333333333439</v>
      </c>
      <c r="CD177" s="59">
        <f ca="1">AVERAGE(OFFSET($CC$3,0,0,'Données projet'!$E$12+1,1))-AVERAGE(OFFSET($H$3,0,0,'Données projet'!$E$12+1,1))</f>
        <v>165.39579887388538</v>
      </c>
      <c r="CE177" s="59">
        <f t="shared" si="148"/>
        <v>155.89639262545802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</v>
      </c>
      <c r="CL177" s="21">
        <f>EXP(-LN(2)/25)*CL176+(1-EXP(-LN(2)/25))/(LN(2)/25)*Calculateur!CG177*Calculateur!CI177*VLOOKUP('Données projet'!$B$12,Paramètres!$A$1:$I$89,3,0)*0.475*44/12</f>
        <v>0.13450851625948096</v>
      </c>
      <c r="CM177" s="21">
        <f>EXP(-LN(2)/2)*CM176+(1-EXP(-LN(2)/2))/(LN(2)/2)*CG177*CJ177*VLOOKUP('Données projet'!$B$12,Paramètres!$A$1:$I$89,3,0)*0.475*44/12</f>
        <v>2.9392118942328373E-21</v>
      </c>
      <c r="CN177" s="22">
        <f t="shared" si="172"/>
        <v>0.13450851625948096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3.4106051316484809E-13</v>
      </c>
      <c r="CU177" s="17">
        <f>CT177*VLOOKUP('Données projet'!$B$13,Paramètres!$A$1:$I$89,3,0)*VLOOKUP('Données projet'!$B$13,Paramètres!$A$1:$I$89,5,0)</f>
        <v>2.6602720026858149E-13</v>
      </c>
      <c r="CV177" s="13">
        <f t="shared" si="173"/>
        <v>3.5662905043956649E-12</v>
      </c>
      <c r="CW177" s="20">
        <f t="shared" si="174"/>
        <v>6.6746200022902298E-12</v>
      </c>
      <c r="CX177" s="59">
        <f t="shared" si="122"/>
        <v>293.33333333333997</v>
      </c>
      <c r="CY177" s="59">
        <f ca="1">AVERAGE(OFFSET($CX$3,0,0,'Données projet'!$E$13+1,1))-AVERAGE(OFFSET($H$3,0,0,'Données projet'!$E$13+1,1))</f>
        <v>190.06335940156185</v>
      </c>
      <c r="CZ177" s="59">
        <f t="shared" si="150"/>
        <v>166.43663896839928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</v>
      </c>
      <c r="DG177" s="21">
        <f>EXP(-LN(2)/25)*DG176+(1-EXP(-LN(2)/25))/(LN(2)/25)*Calculateur!DB177*Calculateur!DD177*VLOOKUP('Données projet'!$B$13,Paramètres!$A$1:$I$89,3,0)*0.475*44/12</f>
        <v>8.2419268338505006E-2</v>
      </c>
      <c r="DH177" s="21">
        <f>EXP(-LN(2)/2)*DH176+(1-EXP(-LN(2)/2))/(LN(2)/2)*DB177*DE177*VLOOKUP('Données projet'!$B$13,Paramètres!$A$1:$I$89,3,0)*0.475*44/12</f>
        <v>1.1279088294523042E-21</v>
      </c>
      <c r="DI177" s="22">
        <f t="shared" si="175"/>
        <v>8.2419268338505006E-2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-1.1368683772161603E-13</v>
      </c>
      <c r="DP177" s="17">
        <f>DO177*VLOOKUP('Données projet'!$B$14,Paramètres!$A$1:$I$89,3,0)*VLOOKUP('Données projet'!$B$14,Paramètres!$A$1:$I$89,5,0)</f>
        <v>-1.0995790944434703E-13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261.22357949323879</v>
      </c>
      <c r="DU177" s="59">
        <f t="shared" si="152"/>
        <v>163.41029152029387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0</v>
      </c>
      <c r="EB177" s="21">
        <f>EXP(-LN(2)/25)*EB176+(1-EXP(-LN(2)/25))/(LN(2)/25)*Calculateur!DW177*Calculateur!DY177*VLOOKUP('Données projet'!$B$14,Paramètres!$A$1:$I$89,3,0)*0.475*44/12</f>
        <v>6.1266592589168889E-2</v>
      </c>
      <c r="EC177" s="21">
        <f>EXP(-LN(2)/2)*EC176+(1-EXP(-LN(2)/2))/(LN(2)/2)*DW177*DZ177*VLOOKUP('Données projet'!$B$14,Paramètres!$A$1:$I$89,3,0)*0.475*44/12</f>
        <v>1.401034725829968E-21</v>
      </c>
      <c r="ED177" s="22">
        <f t="shared" si="178"/>
        <v>6.1266592589168889E-2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-1.1368683772161603E-13</v>
      </c>
      <c r="EK177" s="17">
        <f>EJ177*VLOOKUP('Données projet'!$B$15,Paramètres!$A$1:$I$89,3,0)*VLOOKUP('Données projet'!$B$15,Paramètres!$A$1:$I$89,5,0)</f>
        <v>-5.3205440053716299E-14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123.60520571614535</v>
      </c>
      <c r="EP177" s="59">
        <f t="shared" si="154"/>
        <v>119.00926870519527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5.0078026413488276E-2</v>
      </c>
      <c r="EW177" s="21">
        <f>EXP(-LN(2)/25)*EW176+(1-EXP(-LN(2)/25))/(LN(2)/25)*Calculateur!ER177*Calculateur!ET177*VLOOKUP('Données projet'!$B$15,Paramètres!$A$1:$I$89,3,0)*0.475*44/12</f>
        <v>8.8145568491355755E-2</v>
      </c>
      <c r="EX177" s="21">
        <f>EXP(-LN(2)/2)*EX176+(1-EXP(-LN(2)/2))/(LN(2)/2)*ER177*EU177*VLOOKUP('Données projet'!$B$15,Paramètres!$A$1:$I$89,3,0)*0.475*44/12</f>
        <v>1.2946285539802961E-21</v>
      </c>
      <c r="EY177" s="22">
        <f t="shared" si="181"/>
        <v>0.13822359490484404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-8.5265128291212022E-14</v>
      </c>
      <c r="FF177" s="17">
        <f>FE177*VLOOKUP('Données projet'!$B$16,Paramètres!$A$1:$I$89,3,0)*VLOOKUP('Données projet'!$B$16,Paramètres!$A$1:$I$89,5,0)</f>
        <v>-6.2516392063116648E-14</v>
      </c>
      <c r="FG177" s="13" t="e">
        <f t="shared" si="182"/>
        <v>#NUM!</v>
      </c>
      <c r="FH177" s="20" t="e">
        <f t="shared" si="183"/>
        <v>#NUM!</v>
      </c>
      <c r="FI177" s="59" t="e">
        <f t="shared" si="131"/>
        <v>#NUM!</v>
      </c>
      <c r="FJ177" s="59">
        <f ca="1">AVERAGE(OFFSET($FI$3,0,0,'Données projet'!$E$16+1,1))-AVERAGE(OFFSET($H$3,0,0,'Données projet'!$E$16+1,1))</f>
        <v>124.15919323713428</v>
      </c>
      <c r="FK177" s="59">
        <f t="shared" si="156"/>
        <v>157.85954678210715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0</v>
      </c>
      <c r="FR177" s="21">
        <f>EXP(-LN(2)/25)*FR176+(1-EXP(-LN(2)/25))/(LN(2)/25)*Calculateur!FM177*Calculateur!FO177*VLOOKUP('Données projet'!$B$16,Paramètres!$A$1:$I$89,3,0)*0.475*44/12</f>
        <v>9.275196903264514E-2</v>
      </c>
      <c r="FS177" s="21">
        <f>EXP(-LN(2)/2)*FS176+(1-EXP(-LN(2)/2))/(LN(2)/2)*FM177*FP177*VLOOKUP('Données projet'!$B$16,Paramètres!$A$1:$I$89,3,0)*0.475*44/12</f>
        <v>1.5622111866591631E-21</v>
      </c>
      <c r="FT177" s="22">
        <f t="shared" si="184"/>
        <v>9.275196903264514E-2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-1.1368683772161603E-13</v>
      </c>
      <c r="O178" s="13">
        <f>N178*VLOOKUP('Données projet'!$B$9,Paramètres!$A$1:$I$89,3,0)*VLOOKUP('Données projet'!$B$9,Paramètres!$A$1:$I$89,5,0)</f>
        <v>-1.0286385077051818E-13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237.22177246688199</v>
      </c>
      <c r="T178" s="59">
        <f t="shared" si="142"/>
        <v>149.27472147904302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</v>
      </c>
      <c r="AA178" s="21">
        <f>EXP(-LN(2)/25)*AA177+(1-EXP(-LN(2)/25))/(LN(2)/25)*Calculateur!V178*Calculateur!X178*VLOOKUP('Données projet'!$B$9,Paramètres!$A$1:$I$89,3,0)*0.475*44/12</f>
        <v>5.5746657335338512E-2</v>
      </c>
      <c r="AB178" s="21">
        <f>EXP(-LN(2)/2)*AB177+(1-EXP(-LN(2)/2))/(LN(2)/2)*V178*Y178*VLOOKUP('Données projet'!$B$9,Paramètres!$A$1:$I$89,3,0)*0.475*44/12</f>
        <v>9.267662420662572E-22</v>
      </c>
      <c r="AC178" s="22">
        <f t="shared" si="163"/>
        <v>5.5746657335338512E-2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-8.5265128291212022E-14</v>
      </c>
      <c r="AJ178" s="13">
        <f>AI178*VLOOKUP('Données projet'!$B$10,Paramètres!$A$1:$I$89,3,0)*VLOOKUP('Données projet'!$B$10,Paramètres!$A$1:$I$89,5,0)</f>
        <v>-7.4487616075202836E-14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191.94797389630673</v>
      </c>
      <c r="AO178" s="59">
        <f t="shared" si="144"/>
        <v>273.52540822767878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0.14574565390331393</v>
      </c>
      <c r="AV178" s="21">
        <f>EXP(-LN(2)/25)*AV177+(1-EXP(-LN(2)/25))/(LN(2)/25)*Calculateur!AQ178*Calculateur!AS178*VLOOKUP('Données projet'!$B$10,Paramètres!$A$1:$I$89,3,0)*0.475*44/12</f>
        <v>0.2521420000002404</v>
      </c>
      <c r="AW178" s="21">
        <f>EXP(-LN(2)/2)*AW177+(1-EXP(-LN(2)/2))/(LN(2)/2)*AQ178*AT178*VLOOKUP('Données projet'!$B$10,Paramètres!$A$1:$I$89,3,0)*0.475*44/12</f>
        <v>3.474326525548746E-21</v>
      </c>
      <c r="AX178" s="21">
        <f t="shared" si="166"/>
        <v>0.39788765390355429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72.647148358003676</v>
      </c>
      <c r="BJ178" s="59">
        <f t="shared" si="146"/>
        <v>87.231299224620898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7.2032244316153946E-2</v>
      </c>
      <c r="BQ178" s="21">
        <f>EXP(-LN(2)/25)*BQ177+(1-EXP(-LN(2)/25))/(LN(2)/25)*Calculateur!BL178*Calculateur!BN178*VLOOKUP('Données projet'!$B$11,Paramètres!$A$1:$I$89,3,0)*0.475*44/12</f>
        <v>8.1326550313444129E-2</v>
      </c>
      <c r="BR178" s="21">
        <f>EXP(-LN(2)/2)*BR177+(1-EXP(-LN(2)/2))/(LN(2)/2)*BL178*BO178*VLOOKUP('Données projet'!$B$11,Paramètres!$A$1:$I$89,3,0)*0.475*44/12</f>
        <v>3.4153154289225301E-22</v>
      </c>
      <c r="BS178" s="22">
        <f t="shared" si="169"/>
        <v>0.15335879462959806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5.6843418860808015E-14</v>
      </c>
      <c r="BZ178" s="13">
        <f>BY178*VLOOKUP('Données projet'!$B$12,Paramètres!$A$1:$I$89,3,0)*VLOOKUP('Données projet'!$B$12,Paramètres!$A$1:$I$89,5,0)</f>
        <v>3.3992364478763198E-14</v>
      </c>
      <c r="CA178" s="13">
        <f t="shared" si="170"/>
        <v>5.790027782444094E-13</v>
      </c>
      <c r="CB178" s="20">
        <f t="shared" si="171"/>
        <v>1.0676332069095257E-12</v>
      </c>
      <c r="CC178" s="59">
        <f t="shared" si="119"/>
        <v>293.33333333333439</v>
      </c>
      <c r="CD178" s="59">
        <f ca="1">AVERAGE(OFFSET($CC$3,0,0,'Données projet'!$E$12+1,1))-AVERAGE(OFFSET($H$3,0,0,'Données projet'!$E$12+1,1))</f>
        <v>165.39579887388538</v>
      </c>
      <c r="CE178" s="59">
        <f t="shared" si="148"/>
        <v>155.89639262545802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</v>
      </c>
      <c r="CL178" s="21">
        <f>EXP(-LN(2)/25)*CL177+(1-EXP(-LN(2)/25))/(LN(2)/25)*Calculateur!CG178*Calculateur!CI178*VLOOKUP('Données projet'!$B$12,Paramètres!$A$1:$I$89,3,0)*0.475*44/12</f>
        <v>0.13083037380887</v>
      </c>
      <c r="CM178" s="21">
        <f>EXP(-LN(2)/2)*CM177+(1-EXP(-LN(2)/2))/(LN(2)/2)*CG178*CJ178*VLOOKUP('Données projet'!$B$12,Paramètres!$A$1:$I$89,3,0)*0.475*44/12</f>
        <v>2.0783366617561967E-21</v>
      </c>
      <c r="CN178" s="22">
        <f t="shared" si="172"/>
        <v>0.13083037380887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3.4106051316484809E-13</v>
      </c>
      <c r="CU178" s="17">
        <f>CT178*VLOOKUP('Données projet'!$B$13,Paramètres!$A$1:$I$89,3,0)*VLOOKUP('Données projet'!$B$13,Paramètres!$A$1:$I$89,5,0)</f>
        <v>2.6602720026858149E-13</v>
      </c>
      <c r="CV178" s="13">
        <f t="shared" si="173"/>
        <v>3.5662905043956649E-12</v>
      </c>
      <c r="CW178" s="20">
        <f t="shared" si="174"/>
        <v>6.6746200022902298E-12</v>
      </c>
      <c r="CX178" s="59">
        <f t="shared" si="122"/>
        <v>293.33333333333997</v>
      </c>
      <c r="CY178" s="59">
        <f ca="1">AVERAGE(OFFSET($CX$3,0,0,'Données projet'!$E$13+1,1))-AVERAGE(OFFSET($H$3,0,0,'Données projet'!$E$13+1,1))</f>
        <v>190.06335940156185</v>
      </c>
      <c r="CZ178" s="59">
        <f t="shared" si="150"/>
        <v>166.43663896839928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</v>
      </c>
      <c r="DG178" s="21">
        <f>EXP(-LN(2)/25)*DG177+(1-EXP(-LN(2)/25))/(LN(2)/25)*Calculateur!DB178*Calculateur!DD178*VLOOKUP('Données projet'!$B$13,Paramètres!$A$1:$I$89,3,0)*0.475*44/12</f>
        <v>8.0165509111547642E-2</v>
      </c>
      <c r="DH178" s="21">
        <f>EXP(-LN(2)/2)*DH177+(1-EXP(-LN(2)/2))/(LN(2)/2)*DB178*DE178*VLOOKUP('Données projet'!$B$13,Paramètres!$A$1:$I$89,3,0)*0.475*44/12</f>
        <v>7.975519818659054E-22</v>
      </c>
      <c r="DI178" s="22">
        <f t="shared" si="175"/>
        <v>8.0165509111547642E-2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-1.1368683772161603E-13</v>
      </c>
      <c r="DP178" s="17">
        <f>DO178*VLOOKUP('Données projet'!$B$14,Paramètres!$A$1:$I$89,3,0)*VLOOKUP('Données projet'!$B$14,Paramètres!$A$1:$I$89,5,0)</f>
        <v>-1.0995790944434703E-13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261.22357949323879</v>
      </c>
      <c r="DU178" s="59">
        <f t="shared" si="152"/>
        <v>163.41029152029387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0</v>
      </c>
      <c r="EB178" s="21">
        <f>EXP(-LN(2)/25)*EB177+(1-EXP(-LN(2)/25))/(LN(2)/25)*Calculateur!DW178*Calculateur!DY178*VLOOKUP('Données projet'!$B$14,Paramètres!$A$1:$I$89,3,0)*0.475*44/12</f>
        <v>5.959125439294799E-2</v>
      </c>
      <c r="EC178" s="21">
        <f>EXP(-LN(2)/2)*EC177+(1-EXP(-LN(2)/2))/(LN(2)/2)*DW178*DZ178*VLOOKUP('Données projet'!$B$14,Paramètres!$A$1:$I$89,3,0)*0.475*44/12</f>
        <v>9.9068115531220578E-22</v>
      </c>
      <c r="ED178" s="22">
        <f t="shared" si="178"/>
        <v>5.959125439294799E-2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-1.1368683772161603E-13</v>
      </c>
      <c r="EK178" s="17">
        <f>EJ178*VLOOKUP('Données projet'!$B$15,Paramètres!$A$1:$I$89,3,0)*VLOOKUP('Données projet'!$B$15,Paramètres!$A$1:$I$89,5,0)</f>
        <v>-5.3205440053716299E-14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123.60520571614535</v>
      </c>
      <c r="EP178" s="59">
        <f t="shared" si="154"/>
        <v>119.00926870519527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4.9096026860099853E-2</v>
      </c>
      <c r="EW178" s="21">
        <f>EXP(-LN(2)/25)*EW177+(1-EXP(-LN(2)/25))/(LN(2)/25)*Calculateur!ER178*Calculateur!ET178*VLOOKUP('Données projet'!$B$15,Paramètres!$A$1:$I$89,3,0)*0.475*44/12</f>
        <v>8.5735223285585638E-2</v>
      </c>
      <c r="EX178" s="21">
        <f>EXP(-LN(2)/2)*EX177+(1-EXP(-LN(2)/2))/(LN(2)/2)*ER178*EU178*VLOOKUP('Données projet'!$B$15,Paramètres!$A$1:$I$89,3,0)*0.475*44/12</f>
        <v>9.1544062963720164E-22</v>
      </c>
      <c r="EY178" s="22">
        <f t="shared" si="181"/>
        <v>0.13483125014568548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-8.5265128291212022E-14</v>
      </c>
      <c r="FF178" s="17">
        <f>FE178*VLOOKUP('Données projet'!$B$16,Paramètres!$A$1:$I$89,3,0)*VLOOKUP('Données projet'!$B$16,Paramètres!$A$1:$I$89,5,0)</f>
        <v>-6.2516392063116648E-14</v>
      </c>
      <c r="FG178" s="13" t="e">
        <f t="shared" si="182"/>
        <v>#NUM!</v>
      </c>
      <c r="FH178" s="20" t="e">
        <f t="shared" si="183"/>
        <v>#NUM!</v>
      </c>
      <c r="FI178" s="59" t="e">
        <f t="shared" si="131"/>
        <v>#NUM!</v>
      </c>
      <c r="FJ178" s="59">
        <f ca="1">AVERAGE(OFFSET($FI$3,0,0,'Données projet'!$E$16+1,1))-AVERAGE(OFFSET($H$3,0,0,'Données projet'!$E$16+1,1))</f>
        <v>124.15919323713428</v>
      </c>
      <c r="FK178" s="59">
        <f t="shared" si="156"/>
        <v>157.85954678210715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0</v>
      </c>
      <c r="FR178" s="21">
        <f>EXP(-LN(2)/25)*FR177+(1-EXP(-LN(2)/25))/(LN(2)/25)*Calculateur!FM178*Calculateur!FO178*VLOOKUP('Données projet'!$B$16,Paramètres!$A$1:$I$89,3,0)*0.475*44/12</f>
        <v>9.0215661561833402E-2</v>
      </c>
      <c r="FS178" s="21">
        <f>EXP(-LN(2)/2)*FS177+(1-EXP(-LN(2)/2))/(LN(2)/2)*FM178*FP178*VLOOKUP('Données projet'!$B$16,Paramètres!$A$1:$I$89,3,0)*0.475*44/12</f>
        <v>1.1046501237321776E-21</v>
      </c>
      <c r="FT178" s="22">
        <f t="shared" si="184"/>
        <v>9.0215661561833402E-2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-1.1368683772161603E-13</v>
      </c>
      <c r="O179" s="13">
        <f>N179*VLOOKUP('Données projet'!$B$9,Paramètres!$A$1:$I$89,3,0)*VLOOKUP('Données projet'!$B$9,Paramètres!$A$1:$I$89,5,0)</f>
        <v>-1.0286385077051818E-13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237.22177246688199</v>
      </c>
      <c r="T179" s="59">
        <f t="shared" si="142"/>
        <v>149.27472147904302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</v>
      </c>
      <c r="AA179" s="21">
        <f>EXP(-LN(2)/25)*AA178+(1-EXP(-LN(2)/25))/(LN(2)/25)*Calculateur!V179*Calculateur!X179*VLOOKUP('Données projet'!$B$9,Paramètres!$A$1:$I$89,3,0)*0.475*44/12</f>
        <v>5.4222262058914381E-2</v>
      </c>
      <c r="AB179" s="21">
        <f>EXP(-LN(2)/2)*AB178+(1-EXP(-LN(2)/2))/(LN(2)/2)*V179*Y179*VLOOKUP('Données projet'!$B$9,Paramètres!$A$1:$I$89,3,0)*0.475*44/12</f>
        <v>6.5532269433982388E-22</v>
      </c>
      <c r="AC179" s="22">
        <f t="shared" si="163"/>
        <v>5.4222262058914381E-2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-8.5265128291212022E-14</v>
      </c>
      <c r="AJ179" s="13">
        <f>AI179*VLOOKUP('Données projet'!$B$10,Paramètres!$A$1:$I$89,3,0)*VLOOKUP('Données projet'!$B$10,Paramètres!$A$1:$I$89,5,0)</f>
        <v>-7.4487616075202836E-14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191.94797389630673</v>
      </c>
      <c r="AO179" s="59">
        <f t="shared" si="144"/>
        <v>273.52540822767878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0.14288767052634108</v>
      </c>
      <c r="AV179" s="21">
        <f>EXP(-LN(2)/25)*AV178+(1-EXP(-LN(2)/25))/(LN(2)/25)*Calculateur!AQ179*Calculateur!AS179*VLOOKUP('Données projet'!$B$10,Paramètres!$A$1:$I$89,3,0)*0.475*44/12</f>
        <v>0.24524716375066233</v>
      </c>
      <c r="AW179" s="21">
        <f>EXP(-LN(2)/2)*AW178+(1-EXP(-LN(2)/2))/(LN(2)/2)*AQ179*AT179*VLOOKUP('Données projet'!$B$10,Paramètres!$A$1:$I$89,3,0)*0.475*44/12</f>
        <v>2.4567198462718152E-21</v>
      </c>
      <c r="AX179" s="21">
        <f t="shared" si="166"/>
        <v>0.3881348342770034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72.647148358003676</v>
      </c>
      <c r="BJ179" s="59">
        <f t="shared" si="146"/>
        <v>87.231299224620898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7.0619735940444947E-2</v>
      </c>
      <c r="BQ179" s="21">
        <f>EXP(-LN(2)/25)*BQ178+(1-EXP(-LN(2)/25))/(LN(2)/25)*Calculateur!BL179*Calculateur!BN179*VLOOKUP('Données projet'!$B$11,Paramètres!$A$1:$I$89,3,0)*0.475*44/12</f>
        <v>7.9102671518345588E-2</v>
      </c>
      <c r="BR179" s="21">
        <f>EXP(-LN(2)/2)*BR178+(1-EXP(-LN(2)/2))/(LN(2)/2)*BL179*BO179*VLOOKUP('Données projet'!$B$11,Paramètres!$A$1:$I$89,3,0)*0.475*44/12</f>
        <v>2.4149926996821632E-22</v>
      </c>
      <c r="BS179" s="22">
        <f t="shared" si="169"/>
        <v>0.14972240745879054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5.6843418860808015E-14</v>
      </c>
      <c r="BZ179" s="13">
        <f>BY179*VLOOKUP('Données projet'!$B$12,Paramètres!$A$1:$I$89,3,0)*VLOOKUP('Données projet'!$B$12,Paramètres!$A$1:$I$89,5,0)</f>
        <v>3.3992364478763198E-14</v>
      </c>
      <c r="CA179" s="13">
        <f t="shared" si="170"/>
        <v>5.790027782444094E-13</v>
      </c>
      <c r="CB179" s="20">
        <f t="shared" si="171"/>
        <v>1.0676332069095257E-12</v>
      </c>
      <c r="CC179" s="59">
        <f t="shared" si="119"/>
        <v>293.33333333333439</v>
      </c>
      <c r="CD179" s="59">
        <f ca="1">AVERAGE(OFFSET($CC$3,0,0,'Données projet'!$E$12+1,1))-AVERAGE(OFFSET($H$3,0,0,'Données projet'!$E$12+1,1))</f>
        <v>165.39579887388538</v>
      </c>
      <c r="CE179" s="59">
        <f t="shared" si="148"/>
        <v>155.89639262545802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</v>
      </c>
      <c r="CL179" s="21">
        <f>EXP(-LN(2)/25)*CL178+(1-EXP(-LN(2)/25))/(LN(2)/25)*Calculateur!CG179*Calculateur!CI179*VLOOKUP('Données projet'!$B$12,Paramètres!$A$1:$I$89,3,0)*0.475*44/12</f>
        <v>0.12725281035699609</v>
      </c>
      <c r="CM179" s="21">
        <f>EXP(-LN(2)/2)*CM178+(1-EXP(-LN(2)/2))/(LN(2)/2)*CG179*CJ179*VLOOKUP('Données projet'!$B$12,Paramètres!$A$1:$I$89,3,0)*0.475*44/12</f>
        <v>1.4696059471164187E-21</v>
      </c>
      <c r="CN179" s="22">
        <f t="shared" si="172"/>
        <v>0.12725281035699609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3.4106051316484809E-13</v>
      </c>
      <c r="CU179" s="17">
        <f>CT179*VLOOKUP('Données projet'!$B$13,Paramètres!$A$1:$I$89,3,0)*VLOOKUP('Données projet'!$B$13,Paramètres!$A$1:$I$89,5,0)</f>
        <v>2.6602720026858149E-13</v>
      </c>
      <c r="CV179" s="13">
        <f t="shared" si="173"/>
        <v>3.5662905043956649E-12</v>
      </c>
      <c r="CW179" s="20">
        <f t="shared" si="174"/>
        <v>6.6746200022902298E-12</v>
      </c>
      <c r="CX179" s="59">
        <f t="shared" si="122"/>
        <v>293.33333333333997</v>
      </c>
      <c r="CY179" s="59">
        <f ca="1">AVERAGE(OFFSET($CX$3,0,0,'Données projet'!$E$13+1,1))-AVERAGE(OFFSET($H$3,0,0,'Données projet'!$E$13+1,1))</f>
        <v>190.06335940156185</v>
      </c>
      <c r="CZ179" s="59">
        <f t="shared" si="150"/>
        <v>166.43663896839928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</v>
      </c>
      <c r="DG179" s="21">
        <f>EXP(-LN(2)/25)*DG178+(1-EXP(-LN(2)/25))/(LN(2)/25)*Calculateur!DB179*Calculateur!DD179*VLOOKUP('Données projet'!$B$13,Paramètres!$A$1:$I$89,3,0)*0.475*44/12</f>
        <v>7.7973379049171468E-2</v>
      </c>
      <c r="DH179" s="21">
        <f>EXP(-LN(2)/2)*DH178+(1-EXP(-LN(2)/2))/(LN(2)/2)*DB179*DE179*VLOOKUP('Données projet'!$B$13,Paramètres!$A$1:$I$89,3,0)*0.475*44/12</f>
        <v>5.6395441472615208E-22</v>
      </c>
      <c r="DI179" s="22">
        <f t="shared" si="175"/>
        <v>7.7973379049171468E-2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-1.1368683772161603E-13</v>
      </c>
      <c r="DP179" s="17">
        <f>DO179*VLOOKUP('Données projet'!$B$14,Paramètres!$A$1:$I$89,3,0)*VLOOKUP('Données projet'!$B$14,Paramètres!$A$1:$I$89,5,0)</f>
        <v>-1.0995790944434703E-13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261.22357949323879</v>
      </c>
      <c r="DU179" s="59">
        <f t="shared" si="152"/>
        <v>163.41029152029387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0</v>
      </c>
      <c r="EB179" s="21">
        <f>EXP(-LN(2)/25)*EB178+(1-EXP(-LN(2)/25))/(LN(2)/25)*Calculateur!DW179*Calculateur!DY179*VLOOKUP('Données projet'!$B$14,Paramètres!$A$1:$I$89,3,0)*0.475*44/12</f>
        <v>5.7961728407804954E-2</v>
      </c>
      <c r="EC179" s="21">
        <f>EXP(-LN(2)/2)*EC178+(1-EXP(-LN(2)/2))/(LN(2)/2)*DW179*DZ179*VLOOKUP('Données projet'!$B$14,Paramètres!$A$1:$I$89,3,0)*0.475*44/12</f>
        <v>7.0051736291498401E-22</v>
      </c>
      <c r="ED179" s="22">
        <f t="shared" si="178"/>
        <v>5.7961728407804954E-2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-1.1368683772161603E-13</v>
      </c>
      <c r="EK179" s="17">
        <f>EJ179*VLOOKUP('Données projet'!$B$15,Paramètres!$A$1:$I$89,3,0)*VLOOKUP('Données projet'!$B$15,Paramètres!$A$1:$I$89,5,0)</f>
        <v>-5.3205440053716299E-14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123.60520571614535</v>
      </c>
      <c r="EP179" s="59">
        <f t="shared" si="154"/>
        <v>119.00926870519527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4.8133283718992795E-2</v>
      </c>
      <c r="EW179" s="21">
        <f>EXP(-LN(2)/25)*EW178+(1-EXP(-LN(2)/25))/(LN(2)/25)*Calculateur!ER179*Calculateur!ET179*VLOOKUP('Données projet'!$B$15,Paramètres!$A$1:$I$89,3,0)*0.475*44/12</f>
        <v>8.3390789096221857E-2</v>
      </c>
      <c r="EX179" s="21">
        <f>EXP(-LN(2)/2)*EX178+(1-EXP(-LN(2)/2))/(LN(2)/2)*ER179*EU179*VLOOKUP('Données projet'!$B$15,Paramètres!$A$1:$I$89,3,0)*0.475*44/12</f>
        <v>6.4731427699014805E-22</v>
      </c>
      <c r="EY179" s="22">
        <f t="shared" si="181"/>
        <v>0.13152407281521467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-8.5265128291212022E-14</v>
      </c>
      <c r="FF179" s="17">
        <f>FE179*VLOOKUP('Données projet'!$B$16,Paramètres!$A$1:$I$89,3,0)*VLOOKUP('Données projet'!$B$16,Paramètres!$A$1:$I$89,5,0)</f>
        <v>-6.2516392063116648E-14</v>
      </c>
      <c r="FG179" s="13" t="e">
        <f t="shared" si="182"/>
        <v>#NUM!</v>
      </c>
      <c r="FH179" s="20" t="e">
        <f t="shared" si="183"/>
        <v>#NUM!</v>
      </c>
      <c r="FI179" s="59" t="e">
        <f t="shared" si="131"/>
        <v>#NUM!</v>
      </c>
      <c r="FJ179" s="59">
        <f ca="1">AVERAGE(OFFSET($FI$3,0,0,'Données projet'!$E$16+1,1))-AVERAGE(OFFSET($H$3,0,0,'Données projet'!$E$16+1,1))</f>
        <v>124.15919323713428</v>
      </c>
      <c r="FK179" s="59">
        <f t="shared" si="156"/>
        <v>157.85954678210715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0</v>
      </c>
      <c r="FR179" s="21">
        <f>EXP(-LN(2)/25)*FR178+(1-EXP(-LN(2)/25))/(LN(2)/25)*Calculateur!FM179*Calculateur!FO179*VLOOKUP('Données projet'!$B$16,Paramètres!$A$1:$I$89,3,0)*0.475*44/12</f>
        <v>8.7748709552189622E-2</v>
      </c>
      <c r="FS179" s="21">
        <f>EXP(-LN(2)/2)*FS178+(1-EXP(-LN(2)/2))/(LN(2)/2)*FM179*FP179*VLOOKUP('Données projet'!$B$16,Paramètres!$A$1:$I$89,3,0)*0.475*44/12</f>
        <v>7.8110559332958156E-22</v>
      </c>
      <c r="FT179" s="22">
        <f t="shared" si="184"/>
        <v>8.7748709552189622E-2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-1.1368683772161603E-13</v>
      </c>
      <c r="O180" s="13">
        <f>N180*VLOOKUP('Données projet'!$B$9,Paramètres!$A$1:$I$89,3,0)*VLOOKUP('Données projet'!$B$9,Paramètres!$A$1:$I$89,5,0)</f>
        <v>-1.0286385077051818E-13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237.22177246688199</v>
      </c>
      <c r="T180" s="59">
        <f t="shared" si="142"/>
        <v>149.27472147904302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</v>
      </c>
      <c r="AA180" s="21">
        <f>EXP(-LN(2)/25)*AA179+(1-EXP(-LN(2)/25))/(LN(2)/25)*Calculateur!V180*Calculateur!X180*VLOOKUP('Données projet'!$B$9,Paramètres!$A$1:$I$89,3,0)*0.475*44/12</f>
        <v>5.273955145148853E-2</v>
      </c>
      <c r="AB180" s="21">
        <f>EXP(-LN(2)/2)*AB179+(1-EXP(-LN(2)/2))/(LN(2)/2)*V180*Y180*VLOOKUP('Données projet'!$B$9,Paramètres!$A$1:$I$89,3,0)*0.475*44/12</f>
        <v>4.633831210331286E-22</v>
      </c>
      <c r="AC180" s="22">
        <f t="shared" si="163"/>
        <v>5.273955145148853E-2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-8.5265128291212022E-14</v>
      </c>
      <c r="AJ180" s="13">
        <f>AI180*VLOOKUP('Données projet'!$B$10,Paramètres!$A$1:$I$89,3,0)*VLOOKUP('Données projet'!$B$10,Paramètres!$A$1:$I$89,5,0)</f>
        <v>-7.4487616075202836E-14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191.94797389630673</v>
      </c>
      <c r="AO180" s="59">
        <f t="shared" si="144"/>
        <v>273.52540822767878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0.14008573046019293</v>
      </c>
      <c r="AV180" s="21">
        <f>EXP(-LN(2)/25)*AV179+(1-EXP(-LN(2)/25))/(LN(2)/25)*Calculateur!AQ180*Calculateur!AS180*VLOOKUP('Données projet'!$B$10,Paramètres!$A$1:$I$89,3,0)*0.475*44/12</f>
        <v>0.23854086716091263</v>
      </c>
      <c r="AW180" s="21">
        <f>EXP(-LN(2)/2)*AW179+(1-EXP(-LN(2)/2))/(LN(2)/2)*AQ180*AT180*VLOOKUP('Données projet'!$B$10,Paramètres!$A$1:$I$89,3,0)*0.475*44/12</f>
        <v>1.737163262774373E-21</v>
      </c>
      <c r="AX180" s="21">
        <f t="shared" si="166"/>
        <v>0.37862659762110557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72.647148358003676</v>
      </c>
      <c r="BJ180" s="59">
        <f t="shared" si="146"/>
        <v>87.231299224620898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6.9234925992438565E-2</v>
      </c>
      <c r="BQ180" s="21">
        <f>EXP(-LN(2)/25)*BQ179+(1-EXP(-LN(2)/25))/(LN(2)/25)*Calculateur!BL180*Calculateur!BN180*VLOOKUP('Données projet'!$B$11,Paramètres!$A$1:$I$89,3,0)*0.475*44/12</f>
        <v>7.6939604805847731E-2</v>
      </c>
      <c r="BR180" s="21">
        <f>EXP(-LN(2)/2)*BR179+(1-EXP(-LN(2)/2))/(LN(2)/2)*BL180*BO180*VLOOKUP('Données projet'!$B$11,Paramètres!$A$1:$I$89,3,0)*0.475*44/12</f>
        <v>1.7076577144612651E-22</v>
      </c>
      <c r="BS180" s="22">
        <f t="shared" si="169"/>
        <v>0.1461745307982863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5.6843418860808015E-14</v>
      </c>
      <c r="BZ180" s="13">
        <f>BY180*VLOOKUP('Données projet'!$B$12,Paramètres!$A$1:$I$89,3,0)*VLOOKUP('Données projet'!$B$12,Paramètres!$A$1:$I$89,5,0)</f>
        <v>3.3992364478763198E-14</v>
      </c>
      <c r="CA180" s="13">
        <f t="shared" si="170"/>
        <v>5.790027782444094E-13</v>
      </c>
      <c r="CB180" s="20">
        <f t="shared" si="171"/>
        <v>1.0676332069095257E-12</v>
      </c>
      <c r="CC180" s="59">
        <f t="shared" si="119"/>
        <v>293.33333333333439</v>
      </c>
      <c r="CD180" s="59">
        <f ca="1">AVERAGE(OFFSET($CC$3,0,0,'Données projet'!$E$12+1,1))-AVERAGE(OFFSET($H$3,0,0,'Données projet'!$E$12+1,1))</f>
        <v>165.39579887388538</v>
      </c>
      <c r="CE180" s="59">
        <f t="shared" si="148"/>
        <v>155.89639262545802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</v>
      </c>
      <c r="CL180" s="21">
        <f>EXP(-LN(2)/25)*CL179+(1-EXP(-LN(2)/25))/(LN(2)/25)*Calculateur!CG180*Calculateur!CI180*VLOOKUP('Données projet'!$B$12,Paramètres!$A$1:$I$89,3,0)*0.475*44/12</f>
        <v>0.12377307556584957</v>
      </c>
      <c r="CM180" s="21">
        <f>EXP(-LN(2)/2)*CM179+(1-EXP(-LN(2)/2))/(LN(2)/2)*CG180*CJ180*VLOOKUP('Données projet'!$B$12,Paramètres!$A$1:$I$89,3,0)*0.475*44/12</f>
        <v>1.0391683308780984E-21</v>
      </c>
      <c r="CN180" s="22">
        <f t="shared" si="172"/>
        <v>0.12377307556584957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3.4106051316484809E-13</v>
      </c>
      <c r="CU180" s="17">
        <f>CT180*VLOOKUP('Données projet'!$B$13,Paramètres!$A$1:$I$89,3,0)*VLOOKUP('Données projet'!$B$13,Paramètres!$A$1:$I$89,5,0)</f>
        <v>2.6602720026858149E-13</v>
      </c>
      <c r="CV180" s="13">
        <f t="shared" si="173"/>
        <v>3.5662905043956649E-12</v>
      </c>
      <c r="CW180" s="20">
        <f t="shared" si="174"/>
        <v>6.6746200022902298E-12</v>
      </c>
      <c r="CX180" s="59">
        <f t="shared" si="122"/>
        <v>293.33333333333997</v>
      </c>
      <c r="CY180" s="59">
        <f ca="1">AVERAGE(OFFSET($CX$3,0,0,'Données projet'!$E$13+1,1))-AVERAGE(OFFSET($H$3,0,0,'Données projet'!$E$13+1,1))</f>
        <v>190.06335940156185</v>
      </c>
      <c r="CZ180" s="59">
        <f t="shared" si="150"/>
        <v>166.43663896839928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</v>
      </c>
      <c r="DG180" s="21">
        <f>EXP(-LN(2)/25)*DG179+(1-EXP(-LN(2)/25))/(LN(2)/25)*Calculateur!DB180*Calculateur!DD180*VLOOKUP('Données projet'!$B$13,Paramètres!$A$1:$I$89,3,0)*0.475*44/12</f>
        <v>7.5841192898630075E-2</v>
      </c>
      <c r="DH180" s="21">
        <f>EXP(-LN(2)/2)*DH179+(1-EXP(-LN(2)/2))/(LN(2)/2)*DB180*DE180*VLOOKUP('Données projet'!$B$13,Paramètres!$A$1:$I$89,3,0)*0.475*44/12</f>
        <v>3.987759909329527E-22</v>
      </c>
      <c r="DI180" s="22">
        <f t="shared" si="175"/>
        <v>7.5841192898630075E-2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-1.1368683772161603E-13</v>
      </c>
      <c r="DP180" s="17">
        <f>DO180*VLOOKUP('Données projet'!$B$14,Paramètres!$A$1:$I$89,3,0)*VLOOKUP('Données projet'!$B$14,Paramètres!$A$1:$I$89,5,0)</f>
        <v>-1.0995790944434703E-13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261.22357949323879</v>
      </c>
      <c r="DU180" s="59">
        <f t="shared" si="152"/>
        <v>163.41029152029387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0</v>
      </c>
      <c r="EB180" s="21">
        <f>EXP(-LN(2)/25)*EB179+(1-EXP(-LN(2)/25))/(LN(2)/25)*Calculateur!DW180*Calculateur!DY180*VLOOKUP('Données projet'!$B$14,Paramètres!$A$1:$I$89,3,0)*0.475*44/12</f>
        <v>5.6376761896418701E-2</v>
      </c>
      <c r="EC180" s="21">
        <f>EXP(-LN(2)/2)*EC179+(1-EXP(-LN(2)/2))/(LN(2)/2)*DW180*DZ180*VLOOKUP('Données projet'!$B$14,Paramètres!$A$1:$I$89,3,0)*0.475*44/12</f>
        <v>4.9534057765610289E-22</v>
      </c>
      <c r="ED180" s="22">
        <f t="shared" si="178"/>
        <v>5.6376761896418701E-2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-1.1368683772161603E-13</v>
      </c>
      <c r="EK180" s="17">
        <f>EJ180*VLOOKUP('Données projet'!$B$15,Paramètres!$A$1:$I$89,3,0)*VLOOKUP('Données projet'!$B$15,Paramètres!$A$1:$I$89,5,0)</f>
        <v>-5.3205440053716299E-14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123.60520571614535</v>
      </c>
      <c r="EP180" s="59">
        <f t="shared" si="154"/>
        <v>119.00926870519527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4.7189419383667511E-2</v>
      </c>
      <c r="EW180" s="21">
        <f>EXP(-LN(2)/25)*EW179+(1-EXP(-LN(2)/25))/(LN(2)/25)*Calculateur!ER180*Calculateur!ET180*VLOOKUP('Données projet'!$B$15,Paramètres!$A$1:$I$89,3,0)*0.475*44/12</f>
        <v>8.1110463583054668E-2</v>
      </c>
      <c r="EX180" s="21">
        <f>EXP(-LN(2)/2)*EX179+(1-EXP(-LN(2)/2))/(LN(2)/2)*ER180*EU180*VLOOKUP('Données projet'!$B$15,Paramètres!$A$1:$I$89,3,0)*0.475*44/12</f>
        <v>4.5772031481860082E-22</v>
      </c>
      <c r="EY180" s="22">
        <f t="shared" si="181"/>
        <v>0.12829988296672218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-8.5265128291212022E-14</v>
      </c>
      <c r="FF180" s="17">
        <f>FE180*VLOOKUP('Données projet'!$B$16,Paramètres!$A$1:$I$89,3,0)*VLOOKUP('Données projet'!$B$16,Paramètres!$A$1:$I$89,5,0)</f>
        <v>-6.2516392063116648E-14</v>
      </c>
      <c r="FG180" s="13" t="e">
        <f t="shared" si="182"/>
        <v>#NUM!</v>
      </c>
      <c r="FH180" s="20" t="e">
        <f t="shared" si="183"/>
        <v>#NUM!</v>
      </c>
      <c r="FI180" s="59" t="e">
        <f t="shared" si="131"/>
        <v>#NUM!</v>
      </c>
      <c r="FJ180" s="59">
        <f ca="1">AVERAGE(OFFSET($FI$3,0,0,'Données projet'!$E$16+1,1))-AVERAGE(OFFSET($H$3,0,0,'Données projet'!$E$16+1,1))</f>
        <v>124.15919323713428</v>
      </c>
      <c r="FK180" s="59">
        <f t="shared" si="156"/>
        <v>157.85954678210715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0</v>
      </c>
      <c r="FR180" s="21">
        <f>EXP(-LN(2)/25)*FR179+(1-EXP(-LN(2)/25))/(LN(2)/25)*Calculateur!FM180*Calculateur!FO180*VLOOKUP('Données projet'!$B$16,Paramètres!$A$1:$I$89,3,0)*0.475*44/12</f>
        <v>8.5349216474980907E-2</v>
      </c>
      <c r="FS180" s="21">
        <f>EXP(-LN(2)/2)*FS179+(1-EXP(-LN(2)/2))/(LN(2)/2)*FM180*FP180*VLOOKUP('Données projet'!$B$16,Paramètres!$A$1:$I$89,3,0)*0.475*44/12</f>
        <v>5.5232506186608879E-22</v>
      </c>
      <c r="FT180" s="22">
        <f t="shared" si="184"/>
        <v>8.5349216474980907E-2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-1.1368683772161603E-13</v>
      </c>
      <c r="O181" s="13">
        <f>N181*VLOOKUP('Données projet'!$B$9,Paramètres!$A$1:$I$89,3,0)*VLOOKUP('Données projet'!$B$9,Paramètres!$A$1:$I$89,5,0)</f>
        <v>-1.0286385077051818E-13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237.22177246688199</v>
      </c>
      <c r="T181" s="59">
        <f t="shared" si="142"/>
        <v>149.27472147904302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</v>
      </c>
      <c r="AA181" s="21">
        <f>EXP(-LN(2)/25)*AA180+(1-EXP(-LN(2)/25))/(LN(2)/25)*Calculateur!V181*Calculateur!X181*VLOOKUP('Données projet'!$B$9,Paramètres!$A$1:$I$89,3,0)*0.475*44/12</f>
        <v>5.1297385643595102E-2</v>
      </c>
      <c r="AB181" s="21">
        <f>EXP(-LN(2)/2)*AB180+(1-EXP(-LN(2)/2))/(LN(2)/2)*V181*Y181*VLOOKUP('Données projet'!$B$9,Paramètres!$A$1:$I$89,3,0)*0.475*44/12</f>
        <v>3.2766134716991194E-22</v>
      </c>
      <c r="AC181" s="22">
        <f t="shared" si="163"/>
        <v>5.1297385643595102E-2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-8.5265128291212022E-14</v>
      </c>
      <c r="AJ181" s="13">
        <f>AI181*VLOOKUP('Données projet'!$B$10,Paramètres!$A$1:$I$89,3,0)*VLOOKUP('Données projet'!$B$10,Paramètres!$A$1:$I$89,5,0)</f>
        <v>-7.4487616075202836E-14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191.94797389630673</v>
      </c>
      <c r="AO181" s="59">
        <f t="shared" si="144"/>
        <v>273.52540822767878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0.13733873472972724</v>
      </c>
      <c r="AV181" s="21">
        <f>EXP(-LN(2)/25)*AV180+(1-EXP(-LN(2)/25))/(LN(2)/25)*Calculateur!AQ181*Calculateur!AS181*VLOOKUP('Données projet'!$B$10,Paramètres!$A$1:$I$89,3,0)*0.475*44/12</f>
        <v>0.23201795460407848</v>
      </c>
      <c r="AW181" s="21">
        <f>EXP(-LN(2)/2)*AW180+(1-EXP(-LN(2)/2))/(LN(2)/2)*AQ181*AT181*VLOOKUP('Données projet'!$B$10,Paramètres!$A$1:$I$89,3,0)*0.475*44/12</f>
        <v>1.2283599231359076E-21</v>
      </c>
      <c r="AX181" s="21">
        <f t="shared" si="166"/>
        <v>0.36935668933380572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72.647148358003676</v>
      </c>
      <c r="BJ181" s="59">
        <f t="shared" si="146"/>
        <v>87.231299224620898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6.7877271322861921E-2</v>
      </c>
      <c r="BQ181" s="21">
        <f>EXP(-LN(2)/25)*BQ180+(1-EXP(-LN(2)/25))/(LN(2)/25)*Calculateur!BL181*Calculateur!BN181*VLOOKUP('Données projet'!$B$11,Paramètres!$A$1:$I$89,3,0)*0.475*44/12</f>
        <v>7.4835687266353854E-2</v>
      </c>
      <c r="BR181" s="21">
        <f>EXP(-LN(2)/2)*BR180+(1-EXP(-LN(2)/2))/(LN(2)/2)*BL181*BO181*VLOOKUP('Données projet'!$B$11,Paramètres!$A$1:$I$89,3,0)*0.475*44/12</f>
        <v>1.2074963498410816E-22</v>
      </c>
      <c r="BS181" s="22">
        <f t="shared" si="169"/>
        <v>0.14271295858921579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5.6843418860808015E-14</v>
      </c>
      <c r="BZ181" s="13">
        <f>BY181*VLOOKUP('Données projet'!$B$12,Paramètres!$A$1:$I$89,3,0)*VLOOKUP('Données projet'!$B$12,Paramètres!$A$1:$I$89,5,0)</f>
        <v>3.3992364478763198E-14</v>
      </c>
      <c r="CA181" s="13">
        <f t="shared" si="170"/>
        <v>5.790027782444094E-13</v>
      </c>
      <c r="CB181" s="20">
        <f t="shared" si="171"/>
        <v>1.0676332069095257E-12</v>
      </c>
      <c r="CC181" s="59">
        <f t="shared" si="119"/>
        <v>293.33333333333439</v>
      </c>
      <c r="CD181" s="59">
        <f ca="1">AVERAGE(OFFSET($CC$3,0,0,'Données projet'!$E$12+1,1))-AVERAGE(OFFSET($H$3,0,0,'Données projet'!$E$12+1,1))</f>
        <v>165.39579887388538</v>
      </c>
      <c r="CE181" s="59">
        <f t="shared" si="148"/>
        <v>155.89639262545802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</v>
      </c>
      <c r="CL181" s="21">
        <f>EXP(-LN(2)/25)*CL180+(1-EXP(-LN(2)/25))/(LN(2)/25)*Calculateur!CG181*Calculateur!CI181*VLOOKUP('Données projet'!$B$12,Paramètres!$A$1:$I$89,3,0)*0.475*44/12</f>
        <v>0.12038849430555826</v>
      </c>
      <c r="CM181" s="21">
        <f>EXP(-LN(2)/2)*CM180+(1-EXP(-LN(2)/2))/(LN(2)/2)*CG181*CJ181*VLOOKUP('Données projet'!$B$12,Paramètres!$A$1:$I$89,3,0)*0.475*44/12</f>
        <v>7.3480297355820933E-22</v>
      </c>
      <c r="CN181" s="22">
        <f t="shared" si="172"/>
        <v>0.12038849430555826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3.4106051316484809E-13</v>
      </c>
      <c r="CU181" s="17">
        <f>CT181*VLOOKUP('Données projet'!$B$13,Paramètres!$A$1:$I$89,3,0)*VLOOKUP('Données projet'!$B$13,Paramètres!$A$1:$I$89,5,0)</f>
        <v>2.6602720026858149E-13</v>
      </c>
      <c r="CV181" s="13">
        <f t="shared" si="173"/>
        <v>3.5662905043956649E-12</v>
      </c>
      <c r="CW181" s="20">
        <f t="shared" si="174"/>
        <v>6.6746200022902298E-12</v>
      </c>
      <c r="CX181" s="59">
        <f t="shared" si="122"/>
        <v>293.33333333333997</v>
      </c>
      <c r="CY181" s="59">
        <f ca="1">AVERAGE(OFFSET($CX$3,0,0,'Données projet'!$E$13+1,1))-AVERAGE(OFFSET($H$3,0,0,'Données projet'!$E$13+1,1))</f>
        <v>190.06335940156185</v>
      </c>
      <c r="CZ181" s="59">
        <f t="shared" si="150"/>
        <v>166.43663896839928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</v>
      </c>
      <c r="DG181" s="21">
        <f>EXP(-LN(2)/25)*DG180+(1-EXP(-LN(2)/25))/(LN(2)/25)*Calculateur!DB181*Calculateur!DD181*VLOOKUP('Données projet'!$B$13,Paramètres!$A$1:$I$89,3,0)*0.475*44/12</f>
        <v>7.3767311490502044E-2</v>
      </c>
      <c r="DH181" s="21">
        <f>EXP(-LN(2)/2)*DH180+(1-EXP(-LN(2)/2))/(LN(2)/2)*DB181*DE181*VLOOKUP('Données projet'!$B$13,Paramètres!$A$1:$I$89,3,0)*0.475*44/12</f>
        <v>2.8197720736307604E-22</v>
      </c>
      <c r="DI181" s="22">
        <f t="shared" si="175"/>
        <v>7.3767311490502044E-2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-1.1368683772161603E-13</v>
      </c>
      <c r="DP181" s="17">
        <f>DO181*VLOOKUP('Données projet'!$B$14,Paramètres!$A$1:$I$89,3,0)*VLOOKUP('Données projet'!$B$14,Paramètres!$A$1:$I$89,5,0)</f>
        <v>-1.0995790944434703E-13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261.22357949323879</v>
      </c>
      <c r="DU181" s="59">
        <f t="shared" si="152"/>
        <v>163.41029152029387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0</v>
      </c>
      <c r="EB181" s="21">
        <f>EXP(-LN(2)/25)*EB180+(1-EXP(-LN(2)/25))/(LN(2)/25)*Calculateur!DW181*Calculateur!DY181*VLOOKUP('Données projet'!$B$14,Paramètres!$A$1:$I$89,3,0)*0.475*44/12</f>
        <v>5.4835136377636075E-2</v>
      </c>
      <c r="EC181" s="21">
        <f>EXP(-LN(2)/2)*EC180+(1-EXP(-LN(2)/2))/(LN(2)/2)*DW181*DZ181*VLOOKUP('Données projet'!$B$14,Paramètres!$A$1:$I$89,3,0)*0.475*44/12</f>
        <v>3.5025868145749201E-22</v>
      </c>
      <c r="ED181" s="22">
        <f t="shared" si="178"/>
        <v>5.4835136377636075E-2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-1.1368683772161603E-13</v>
      </c>
      <c r="EK181" s="17">
        <f>EJ181*VLOOKUP('Données projet'!$B$15,Paramètres!$A$1:$I$89,3,0)*VLOOKUP('Données projet'!$B$15,Paramètres!$A$1:$I$89,5,0)</f>
        <v>-5.3205440053716299E-14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123.60520571614535</v>
      </c>
      <c r="EP181" s="59">
        <f t="shared" si="154"/>
        <v>119.00926870519527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4.6264063652257562E-2</v>
      </c>
      <c r="EW181" s="21">
        <f>EXP(-LN(2)/25)*EW180+(1-EXP(-LN(2)/25))/(LN(2)/25)*Calculateur!ER181*Calculateur!ET181*VLOOKUP('Données projet'!$B$15,Paramètres!$A$1:$I$89,3,0)*0.475*44/12</f>
        <v>7.8892493690962143E-2</v>
      </c>
      <c r="EX181" s="21">
        <f>EXP(-LN(2)/2)*EX180+(1-EXP(-LN(2)/2))/(LN(2)/2)*ER181*EU181*VLOOKUP('Données projet'!$B$15,Paramètres!$A$1:$I$89,3,0)*0.475*44/12</f>
        <v>3.2365713849507402E-22</v>
      </c>
      <c r="EY181" s="22">
        <f t="shared" si="181"/>
        <v>0.1251565573432197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-8.5265128291212022E-14</v>
      </c>
      <c r="FF181" s="17">
        <f>FE181*VLOOKUP('Données projet'!$B$16,Paramètres!$A$1:$I$89,3,0)*VLOOKUP('Données projet'!$B$16,Paramètres!$A$1:$I$89,5,0)</f>
        <v>-6.2516392063116648E-14</v>
      </c>
      <c r="FG181" s="13" t="e">
        <f t="shared" si="182"/>
        <v>#NUM!</v>
      </c>
      <c r="FH181" s="20" t="e">
        <f t="shared" si="183"/>
        <v>#NUM!</v>
      </c>
      <c r="FI181" s="59" t="e">
        <f t="shared" si="131"/>
        <v>#NUM!</v>
      </c>
      <c r="FJ181" s="59">
        <f ca="1">AVERAGE(OFFSET($FI$3,0,0,'Données projet'!$E$16+1,1))-AVERAGE(OFFSET($H$3,0,0,'Données projet'!$E$16+1,1))</f>
        <v>124.15919323713428</v>
      </c>
      <c r="FK181" s="59">
        <f t="shared" si="156"/>
        <v>157.85954678210715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0</v>
      </c>
      <c r="FR181" s="21">
        <f>EXP(-LN(2)/25)*FR180+(1-EXP(-LN(2)/25))/(LN(2)/25)*Calculateur!FM181*Calculateur!FO181*VLOOKUP('Données projet'!$B$16,Paramètres!$A$1:$I$89,3,0)*0.475*44/12</f>
        <v>8.3015337662152328E-2</v>
      </c>
      <c r="FS181" s="21">
        <f>EXP(-LN(2)/2)*FS180+(1-EXP(-LN(2)/2))/(LN(2)/2)*FM181*FP181*VLOOKUP('Données projet'!$B$16,Paramètres!$A$1:$I$89,3,0)*0.475*44/12</f>
        <v>3.9055279666479078E-22</v>
      </c>
      <c r="FT181" s="22">
        <f t="shared" si="184"/>
        <v>8.3015337662152328E-2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-1.1368683772161603E-13</v>
      </c>
      <c r="O182" s="13">
        <f>N182*VLOOKUP('Données projet'!$B$9,Paramètres!$A$1:$I$89,3,0)*VLOOKUP('Données projet'!$B$9,Paramètres!$A$1:$I$89,5,0)</f>
        <v>-1.0286385077051818E-13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237.22177246688199</v>
      </c>
      <c r="T182" s="59">
        <f t="shared" si="142"/>
        <v>149.27472147904302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</v>
      </c>
      <c r="AA182" s="21">
        <f>EXP(-LN(2)/25)*AA181+(1-EXP(-LN(2)/25))/(LN(2)/25)*Calculateur!V182*Calculateur!X182*VLOOKUP('Données projet'!$B$9,Paramètres!$A$1:$I$89,3,0)*0.475*44/12</f>
        <v>4.9894655935558724E-2</v>
      </c>
      <c r="AB182" s="21">
        <f>EXP(-LN(2)/2)*AB181+(1-EXP(-LN(2)/2))/(LN(2)/2)*V182*Y182*VLOOKUP('Données projet'!$B$9,Paramètres!$A$1:$I$89,3,0)*0.475*44/12</f>
        <v>2.316915605165643E-22</v>
      </c>
      <c r="AC182" s="22">
        <f t="shared" si="163"/>
        <v>4.9894655935558724E-2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-8.5265128291212022E-14</v>
      </c>
      <c r="AJ182" s="13">
        <f>AI182*VLOOKUP('Données projet'!$B$10,Paramètres!$A$1:$I$89,3,0)*VLOOKUP('Données projet'!$B$10,Paramètres!$A$1:$I$89,5,0)</f>
        <v>-7.4487616075202836E-14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191.94797389630673</v>
      </c>
      <c r="AO182" s="59">
        <f t="shared" si="144"/>
        <v>273.52540822767878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0.13464560591003405</v>
      </c>
      <c r="AV182" s="21">
        <f>EXP(-LN(2)/25)*AV181+(1-EXP(-LN(2)/25))/(LN(2)/25)*Calculateur!AQ182*Calculateur!AS182*VLOOKUP('Données projet'!$B$10,Paramètres!$A$1:$I$89,3,0)*0.475*44/12</f>
        <v>0.225673411434136</v>
      </c>
      <c r="AW182" s="21">
        <f>EXP(-LN(2)/2)*AW181+(1-EXP(-LN(2)/2))/(LN(2)/2)*AQ182*AT182*VLOOKUP('Données projet'!$B$10,Paramètres!$A$1:$I$89,3,0)*0.475*44/12</f>
        <v>8.6858163138718651E-22</v>
      </c>
      <c r="AX182" s="21">
        <f t="shared" si="166"/>
        <v>0.36031901734417005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72.647148358003676</v>
      </c>
      <c r="BJ182" s="59">
        <f t="shared" si="146"/>
        <v>87.231299224620898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6.6546239433268095E-2</v>
      </c>
      <c r="BQ182" s="21">
        <f>EXP(-LN(2)/25)*BQ181+(1-EXP(-LN(2)/25))/(LN(2)/25)*Calculateur!BL182*Calculateur!BN182*VLOOKUP('Données projet'!$B$11,Paramètres!$A$1:$I$89,3,0)*0.475*44/12</f>
        <v>7.2789301462617653E-2</v>
      </c>
      <c r="BR182" s="21">
        <f>EXP(-LN(2)/2)*BR181+(1-EXP(-LN(2)/2))/(LN(2)/2)*BL182*BO182*VLOOKUP('Données projet'!$B$11,Paramètres!$A$1:$I$89,3,0)*0.475*44/12</f>
        <v>8.5382885723063253E-23</v>
      </c>
      <c r="BS182" s="22">
        <f t="shared" si="169"/>
        <v>0.13933554089588573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5.6843418860808015E-14</v>
      </c>
      <c r="BZ182" s="13">
        <f>BY182*VLOOKUP('Données projet'!$B$12,Paramètres!$A$1:$I$89,3,0)*VLOOKUP('Données projet'!$B$12,Paramètres!$A$1:$I$89,5,0)</f>
        <v>3.3992364478763198E-14</v>
      </c>
      <c r="CA182" s="13">
        <f t="shared" si="170"/>
        <v>5.790027782444094E-13</v>
      </c>
      <c r="CB182" s="20">
        <f t="shared" si="171"/>
        <v>1.0676332069095257E-12</v>
      </c>
      <c r="CC182" s="59">
        <f t="shared" si="119"/>
        <v>293.33333333333439</v>
      </c>
      <c r="CD182" s="59">
        <f ca="1">AVERAGE(OFFSET($CC$3,0,0,'Données projet'!$E$12+1,1))-AVERAGE(OFFSET($H$3,0,0,'Données projet'!$E$12+1,1))</f>
        <v>165.39579887388538</v>
      </c>
      <c r="CE182" s="59">
        <f t="shared" si="148"/>
        <v>155.89639262545802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</v>
      </c>
      <c r="CL182" s="21">
        <f>EXP(-LN(2)/25)*CL181+(1-EXP(-LN(2)/25))/(LN(2)/25)*Calculateur!CG182*Calculateur!CI182*VLOOKUP('Données projet'!$B$12,Paramètres!$A$1:$I$89,3,0)*0.475*44/12</f>
        <v>0.117096464597817</v>
      </c>
      <c r="CM182" s="21">
        <f>EXP(-LN(2)/2)*CM181+(1-EXP(-LN(2)/2))/(LN(2)/2)*CG182*CJ182*VLOOKUP('Données projet'!$B$12,Paramètres!$A$1:$I$89,3,0)*0.475*44/12</f>
        <v>5.1958416543904918E-22</v>
      </c>
      <c r="CN182" s="22">
        <f t="shared" si="172"/>
        <v>0.117096464597817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3.4106051316484809E-13</v>
      </c>
      <c r="CU182" s="17">
        <f>CT182*VLOOKUP('Données projet'!$B$13,Paramètres!$A$1:$I$89,3,0)*VLOOKUP('Données projet'!$B$13,Paramètres!$A$1:$I$89,5,0)</f>
        <v>2.6602720026858149E-13</v>
      </c>
      <c r="CV182" s="13">
        <f t="shared" si="173"/>
        <v>3.5662905043956649E-12</v>
      </c>
      <c r="CW182" s="20">
        <f t="shared" si="174"/>
        <v>6.6746200022902298E-12</v>
      </c>
      <c r="CX182" s="59">
        <f t="shared" si="122"/>
        <v>293.33333333333997</v>
      </c>
      <c r="CY182" s="59">
        <f ca="1">AVERAGE(OFFSET($CX$3,0,0,'Données projet'!$E$13+1,1))-AVERAGE(OFFSET($H$3,0,0,'Données projet'!$E$13+1,1))</f>
        <v>190.06335940156185</v>
      </c>
      <c r="CZ182" s="59">
        <f t="shared" si="150"/>
        <v>166.43663896839928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</v>
      </c>
      <c r="DG182" s="21">
        <f>EXP(-LN(2)/25)*DG181+(1-EXP(-LN(2)/25))/(LN(2)/25)*Calculateur!DB182*Calculateur!DD182*VLOOKUP('Données projet'!$B$13,Paramètres!$A$1:$I$89,3,0)*0.475*44/12</f>
        <v>7.1750140478539948E-2</v>
      </c>
      <c r="DH182" s="21">
        <f>EXP(-LN(2)/2)*DH181+(1-EXP(-LN(2)/2))/(LN(2)/2)*DB182*DE182*VLOOKUP('Données projet'!$B$13,Paramètres!$A$1:$I$89,3,0)*0.475*44/12</f>
        <v>1.9938799546647635E-22</v>
      </c>
      <c r="DI182" s="22">
        <f t="shared" si="175"/>
        <v>7.1750140478539948E-2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-1.1368683772161603E-13</v>
      </c>
      <c r="DP182" s="17">
        <f>DO182*VLOOKUP('Données projet'!$B$14,Paramètres!$A$1:$I$89,3,0)*VLOOKUP('Données projet'!$B$14,Paramètres!$A$1:$I$89,5,0)</f>
        <v>-1.0995790944434703E-13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261.22357949323879</v>
      </c>
      <c r="DU182" s="59">
        <f t="shared" si="152"/>
        <v>163.41029152029387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0</v>
      </c>
      <c r="EB182" s="21">
        <f>EXP(-LN(2)/25)*EB181+(1-EXP(-LN(2)/25))/(LN(2)/25)*Calculateur!DW182*Calculateur!DY182*VLOOKUP('Données projet'!$B$14,Paramètres!$A$1:$I$89,3,0)*0.475*44/12</f>
        <v>5.333566668973512E-2</v>
      </c>
      <c r="EC182" s="21">
        <f>EXP(-LN(2)/2)*EC181+(1-EXP(-LN(2)/2))/(LN(2)/2)*DW182*DZ182*VLOOKUP('Données projet'!$B$14,Paramètres!$A$1:$I$89,3,0)*0.475*44/12</f>
        <v>2.4767028882805144E-22</v>
      </c>
      <c r="ED182" s="22">
        <f t="shared" si="178"/>
        <v>5.333566668973512E-2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-1.1368683772161603E-13</v>
      </c>
      <c r="EK182" s="17">
        <f>EJ182*VLOOKUP('Données projet'!$B$15,Paramètres!$A$1:$I$89,3,0)*VLOOKUP('Données projet'!$B$15,Paramètres!$A$1:$I$89,5,0)</f>
        <v>-5.3205440053716299E-14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123.60520571614535</v>
      </c>
      <c r="EP182" s="59">
        <f t="shared" si="154"/>
        <v>119.00926870519527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4.5356853582329291E-2</v>
      </c>
      <c r="EW182" s="21">
        <f>EXP(-LN(2)/25)*EW181+(1-EXP(-LN(2)/25))/(LN(2)/25)*Calculateur!ER182*Calculateur!ET182*VLOOKUP('Données projet'!$B$15,Paramètres!$A$1:$I$89,3,0)*0.475*44/12</f>
        <v>7.6735174302206846E-2</v>
      </c>
      <c r="EX182" s="21">
        <f>EXP(-LN(2)/2)*EX181+(1-EXP(-LN(2)/2))/(LN(2)/2)*ER182*EU182*VLOOKUP('Données projet'!$B$15,Paramètres!$A$1:$I$89,3,0)*0.475*44/12</f>
        <v>2.2886015740930041E-22</v>
      </c>
      <c r="EY182" s="22">
        <f t="shared" si="181"/>
        <v>0.12209202788453613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-8.5265128291212022E-14</v>
      </c>
      <c r="FF182" s="17">
        <f>FE182*VLOOKUP('Données projet'!$B$16,Paramètres!$A$1:$I$89,3,0)*VLOOKUP('Données projet'!$B$16,Paramètres!$A$1:$I$89,5,0)</f>
        <v>-6.2516392063116648E-14</v>
      </c>
      <c r="FG182" s="13" t="e">
        <f t="shared" si="182"/>
        <v>#NUM!</v>
      </c>
      <c r="FH182" s="20" t="e">
        <f t="shared" si="183"/>
        <v>#NUM!</v>
      </c>
      <c r="FI182" s="59" t="e">
        <f t="shared" si="131"/>
        <v>#NUM!</v>
      </c>
      <c r="FJ182" s="59">
        <f ca="1">AVERAGE(OFFSET($FI$3,0,0,'Données projet'!$E$16+1,1))-AVERAGE(OFFSET($H$3,0,0,'Données projet'!$E$16+1,1))</f>
        <v>124.15919323713428</v>
      </c>
      <c r="FK182" s="59">
        <f t="shared" si="156"/>
        <v>157.85954678210715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0</v>
      </c>
      <c r="FR182" s="21">
        <f>EXP(-LN(2)/25)*FR181+(1-EXP(-LN(2)/25))/(LN(2)/25)*Calculateur!FM182*Calculateur!FO182*VLOOKUP('Données projet'!$B$16,Paramètres!$A$1:$I$89,3,0)*0.475*44/12</f>
        <v>8.0745278888193897E-2</v>
      </c>
      <c r="FS182" s="21">
        <f>EXP(-LN(2)/2)*FS181+(1-EXP(-LN(2)/2))/(LN(2)/2)*FM182*FP182*VLOOKUP('Données projet'!$B$16,Paramètres!$A$1:$I$89,3,0)*0.475*44/12</f>
        <v>2.761625309330444E-22</v>
      </c>
      <c r="FT182" s="22">
        <f t="shared" si="184"/>
        <v>8.0745278888193897E-2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-1.1368683772161603E-13</v>
      </c>
      <c r="O183" s="13">
        <f>N183*VLOOKUP('Données projet'!$B$9,Paramètres!$A$1:$I$89,3,0)*VLOOKUP('Données projet'!$B$9,Paramètres!$A$1:$I$89,5,0)</f>
        <v>-1.0286385077051818E-13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237.22177246688199</v>
      </c>
      <c r="T183" s="59">
        <f t="shared" si="142"/>
        <v>149.27472147904302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</v>
      </c>
      <c r="AA183" s="21">
        <f>EXP(-LN(2)/25)*AA182+(1-EXP(-LN(2)/25))/(LN(2)/25)*Calculateur!V183*Calculateur!X183*VLOOKUP('Données projet'!$B$9,Paramètres!$A$1:$I$89,3,0)*0.475*44/12</f>
        <v>4.8530283945154948E-2</v>
      </c>
      <c r="AB183" s="21">
        <f>EXP(-LN(2)/2)*AB182+(1-EXP(-LN(2)/2))/(LN(2)/2)*V183*Y183*VLOOKUP('Données projet'!$B$9,Paramètres!$A$1:$I$89,3,0)*0.475*44/12</f>
        <v>1.6383067358495597E-22</v>
      </c>
      <c r="AC183" s="22">
        <f t="shared" si="163"/>
        <v>4.8530283945154948E-2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-8.5265128291212022E-14</v>
      </c>
      <c r="AJ183" s="13">
        <f>AI183*VLOOKUP('Données projet'!$B$10,Paramètres!$A$1:$I$89,3,0)*VLOOKUP('Données projet'!$B$10,Paramètres!$A$1:$I$89,5,0)</f>
        <v>-7.4487616075202836E-14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191.94797389630673</v>
      </c>
      <c r="AO183" s="59">
        <f t="shared" si="144"/>
        <v>273.52540822767878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0.13200528770384864</v>
      </c>
      <c r="AV183" s="21">
        <f>EXP(-LN(2)/25)*AV182+(1-EXP(-LN(2)/25))/(LN(2)/25)*Calculateur!AQ183*Calculateur!AS183*VLOOKUP('Données projet'!$B$10,Paramètres!$A$1:$I$89,3,0)*0.475*44/12</f>
        <v>0.21950236013082061</v>
      </c>
      <c r="AW183" s="21">
        <f>EXP(-LN(2)/2)*AW182+(1-EXP(-LN(2)/2))/(LN(2)/2)*AQ183*AT183*VLOOKUP('Données projet'!$B$10,Paramètres!$A$1:$I$89,3,0)*0.475*44/12</f>
        <v>6.1417996156795379E-22</v>
      </c>
      <c r="AX183" s="21">
        <f t="shared" si="166"/>
        <v>0.35150764783466926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72.647148358003676</v>
      </c>
      <c r="BJ183" s="59">
        <f t="shared" si="146"/>
        <v>87.231299224620898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6.5241308267179915E-2</v>
      </c>
      <c r="BQ183" s="21">
        <f>EXP(-LN(2)/25)*BQ182+(1-EXP(-LN(2)/25))/(LN(2)/25)*Calculateur!BL183*Calculateur!BN183*VLOOKUP('Données projet'!$B$11,Paramètres!$A$1:$I$89,3,0)*0.475*44/12</f>
        <v>7.0798874186299376E-2</v>
      </c>
      <c r="BR183" s="21">
        <f>EXP(-LN(2)/2)*BR182+(1-EXP(-LN(2)/2))/(LN(2)/2)*BL183*BO183*VLOOKUP('Données projet'!$B$11,Paramètres!$A$1:$I$89,3,0)*0.475*44/12</f>
        <v>6.0374817492054079E-23</v>
      </c>
      <c r="BS183" s="22">
        <f t="shared" si="169"/>
        <v>0.13604018245347929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5.6843418860808015E-14</v>
      </c>
      <c r="BZ183" s="13">
        <f>BY183*VLOOKUP('Données projet'!$B$12,Paramètres!$A$1:$I$89,3,0)*VLOOKUP('Données projet'!$B$12,Paramètres!$A$1:$I$89,5,0)</f>
        <v>3.3992364478763198E-14</v>
      </c>
      <c r="CA183" s="13">
        <f t="shared" si="170"/>
        <v>5.790027782444094E-13</v>
      </c>
      <c r="CB183" s="20">
        <f t="shared" si="171"/>
        <v>1.0676332069095257E-12</v>
      </c>
      <c r="CC183" s="59">
        <f t="shared" si="119"/>
        <v>293.33333333333439</v>
      </c>
      <c r="CD183" s="59">
        <f ca="1">AVERAGE(OFFSET($CC$3,0,0,'Données projet'!$E$12+1,1))-AVERAGE(OFFSET($H$3,0,0,'Données projet'!$E$12+1,1))</f>
        <v>165.39579887388538</v>
      </c>
      <c r="CE183" s="59">
        <f t="shared" si="148"/>
        <v>155.89639262545802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</v>
      </c>
      <c r="CL183" s="21">
        <f>EXP(-LN(2)/25)*CL182+(1-EXP(-LN(2)/25))/(LN(2)/25)*Calculateur!CG183*Calculateur!CI183*VLOOKUP('Données projet'!$B$12,Paramètres!$A$1:$I$89,3,0)*0.475*44/12</f>
        <v>0.11389445561555425</v>
      </c>
      <c r="CM183" s="21">
        <f>EXP(-LN(2)/2)*CM182+(1-EXP(-LN(2)/2))/(LN(2)/2)*CG183*CJ183*VLOOKUP('Données projet'!$B$12,Paramètres!$A$1:$I$89,3,0)*0.475*44/12</f>
        <v>3.6740148677910467E-22</v>
      </c>
      <c r="CN183" s="22">
        <f t="shared" si="172"/>
        <v>0.11389445561555425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3.4106051316484809E-13</v>
      </c>
      <c r="CU183" s="17">
        <f>CT183*VLOOKUP('Données projet'!$B$13,Paramètres!$A$1:$I$89,3,0)*VLOOKUP('Données projet'!$B$13,Paramètres!$A$1:$I$89,5,0)</f>
        <v>2.6602720026858149E-13</v>
      </c>
      <c r="CV183" s="13">
        <f t="shared" si="173"/>
        <v>3.5662905043956649E-12</v>
      </c>
      <c r="CW183" s="20">
        <f t="shared" si="174"/>
        <v>6.6746200022902298E-12</v>
      </c>
      <c r="CX183" s="59">
        <f t="shared" si="122"/>
        <v>293.33333333333997</v>
      </c>
      <c r="CY183" s="59">
        <f ca="1">AVERAGE(OFFSET($CX$3,0,0,'Données projet'!$E$13+1,1))-AVERAGE(OFFSET($H$3,0,0,'Données projet'!$E$13+1,1))</f>
        <v>190.06335940156185</v>
      </c>
      <c r="CZ183" s="59">
        <f t="shared" si="150"/>
        <v>166.43663896839928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</v>
      </c>
      <c r="DG183" s="21">
        <f>EXP(-LN(2)/25)*DG182+(1-EXP(-LN(2)/25))/(LN(2)/25)*Calculateur!DB183*Calculateur!DD183*VLOOKUP('Données projet'!$B$13,Paramètres!$A$1:$I$89,3,0)*0.475*44/12</f>
        <v>6.9788129113978373E-2</v>
      </c>
      <c r="DH183" s="21">
        <f>EXP(-LN(2)/2)*DH182+(1-EXP(-LN(2)/2))/(LN(2)/2)*DB183*DE183*VLOOKUP('Données projet'!$B$13,Paramètres!$A$1:$I$89,3,0)*0.475*44/12</f>
        <v>1.4098860368153802E-22</v>
      </c>
      <c r="DI183" s="22">
        <f t="shared" si="175"/>
        <v>6.9788129113978373E-2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-1.1368683772161603E-13</v>
      </c>
      <c r="DP183" s="17">
        <f>DO183*VLOOKUP('Données projet'!$B$14,Paramètres!$A$1:$I$89,3,0)*VLOOKUP('Données projet'!$B$14,Paramètres!$A$1:$I$89,5,0)</f>
        <v>-1.0995790944434703E-13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261.22357949323879</v>
      </c>
      <c r="DU183" s="59">
        <f t="shared" si="152"/>
        <v>163.41029152029387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0</v>
      </c>
      <c r="EB183" s="21">
        <f>EXP(-LN(2)/25)*EB182+(1-EXP(-LN(2)/25))/(LN(2)/25)*Calculateur!DW183*Calculateur!DY183*VLOOKUP('Données projet'!$B$14,Paramètres!$A$1:$I$89,3,0)*0.475*44/12</f>
        <v>5.18772000793035E-2</v>
      </c>
      <c r="EC183" s="21">
        <f>EXP(-LN(2)/2)*EC182+(1-EXP(-LN(2)/2))/(LN(2)/2)*DW183*DZ183*VLOOKUP('Données projet'!$B$14,Paramètres!$A$1:$I$89,3,0)*0.475*44/12</f>
        <v>1.75129340728746E-22</v>
      </c>
      <c r="ED183" s="22">
        <f t="shared" si="178"/>
        <v>5.18772000793035E-2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-1.1368683772161603E-13</v>
      </c>
      <c r="EK183" s="17">
        <f>EJ183*VLOOKUP('Données projet'!$B$15,Paramètres!$A$1:$I$89,3,0)*VLOOKUP('Données projet'!$B$15,Paramètres!$A$1:$I$89,5,0)</f>
        <v>-5.3205440053716299E-14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123.60520571614535</v>
      </c>
      <c r="EP183" s="59">
        <f t="shared" si="154"/>
        <v>119.00926870519527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4.4467433348528811E-2</v>
      </c>
      <c r="EW183" s="21">
        <f>EXP(-LN(2)/25)*EW182+(1-EXP(-LN(2)/25))/(LN(2)/25)*Calculateur!ER183*Calculateur!ET183*VLOOKUP('Données projet'!$B$15,Paramètres!$A$1:$I$89,3,0)*0.475*44/12</f>
        <v>7.4636846925585559E-2</v>
      </c>
      <c r="EX183" s="21">
        <f>EXP(-LN(2)/2)*EX182+(1-EXP(-LN(2)/2))/(LN(2)/2)*ER183*EU183*VLOOKUP('Données projet'!$B$15,Paramètres!$A$1:$I$89,3,0)*0.475*44/12</f>
        <v>1.6182856924753701E-22</v>
      </c>
      <c r="EY183" s="22">
        <f t="shared" si="181"/>
        <v>0.11910428027411438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-8.5265128291212022E-14</v>
      </c>
      <c r="FF183" s="17">
        <f>FE183*VLOOKUP('Données projet'!$B$16,Paramètres!$A$1:$I$89,3,0)*VLOOKUP('Données projet'!$B$16,Paramètres!$A$1:$I$89,5,0)</f>
        <v>-6.2516392063116648E-14</v>
      </c>
      <c r="FG183" s="13" t="e">
        <f t="shared" si="182"/>
        <v>#NUM!</v>
      </c>
      <c r="FH183" s="20" t="e">
        <f t="shared" si="183"/>
        <v>#NUM!</v>
      </c>
      <c r="FI183" s="59" t="e">
        <f t="shared" si="131"/>
        <v>#NUM!</v>
      </c>
      <c r="FJ183" s="59">
        <f ca="1">AVERAGE(OFFSET($FI$3,0,0,'Données projet'!$E$16+1,1))-AVERAGE(OFFSET($H$3,0,0,'Données projet'!$E$16+1,1))</f>
        <v>124.15919323713428</v>
      </c>
      <c r="FK183" s="59">
        <f t="shared" si="156"/>
        <v>157.85954678210715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0</v>
      </c>
      <c r="FR183" s="21">
        <f>EXP(-LN(2)/25)*FR182+(1-EXP(-LN(2)/25))/(LN(2)/25)*Calculateur!FM183*Calculateur!FO183*VLOOKUP('Données projet'!$B$16,Paramètres!$A$1:$I$89,3,0)*0.475*44/12</f>
        <v>7.8537294990786558E-2</v>
      </c>
      <c r="FS183" s="21">
        <f>EXP(-LN(2)/2)*FS182+(1-EXP(-LN(2)/2))/(LN(2)/2)*FM183*FP183*VLOOKUP('Données projet'!$B$16,Paramètres!$A$1:$I$89,3,0)*0.475*44/12</f>
        <v>1.9527639833239539E-22</v>
      </c>
      <c r="FT183" s="22">
        <f t="shared" si="184"/>
        <v>7.8537294990786558E-2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-1.1368683772161603E-13</v>
      </c>
      <c r="O184" s="13">
        <f>N184*VLOOKUP('Données projet'!$B$9,Paramètres!$A$1:$I$89,3,0)*VLOOKUP('Données projet'!$B$9,Paramètres!$A$1:$I$89,5,0)</f>
        <v>-1.0286385077051818E-13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237.22177246688199</v>
      </c>
      <c r="T184" s="59">
        <f t="shared" si="142"/>
        <v>149.27472147904302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</v>
      </c>
      <c r="AA184" s="21">
        <f>EXP(-LN(2)/25)*AA183+(1-EXP(-LN(2)/25))/(LN(2)/25)*Calculateur!V184*Calculateur!X184*VLOOKUP('Données projet'!$B$9,Paramètres!$A$1:$I$89,3,0)*0.475*44/12</f>
        <v>4.720322077857797E-2</v>
      </c>
      <c r="AB184" s="21">
        <f>EXP(-LN(2)/2)*AB183+(1-EXP(-LN(2)/2))/(LN(2)/2)*V184*Y184*VLOOKUP('Données projet'!$B$9,Paramètres!$A$1:$I$89,3,0)*0.475*44/12</f>
        <v>1.1584578025828215E-22</v>
      </c>
      <c r="AC184" s="22">
        <f t="shared" si="163"/>
        <v>4.720322077857797E-2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-8.5265128291212022E-14</v>
      </c>
      <c r="AJ184" s="13">
        <f>AI184*VLOOKUP('Données projet'!$B$10,Paramètres!$A$1:$I$89,3,0)*VLOOKUP('Données projet'!$B$10,Paramètres!$A$1:$I$89,5,0)</f>
        <v>-7.4487616075202836E-14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191.94797389630673</v>
      </c>
      <c r="AO184" s="59">
        <f t="shared" si="144"/>
        <v>273.52540822767878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0.12941674452725144</v>
      </c>
      <c r="AV184" s="21">
        <f>EXP(-LN(2)/25)*AV183+(1-EXP(-LN(2)/25))/(LN(2)/25)*Calculateur!AQ184*Calculateur!AS184*VLOOKUP('Données projet'!$B$10,Paramètres!$A$1:$I$89,3,0)*0.475*44/12</f>
        <v>0.21350005654991588</v>
      </c>
      <c r="AW184" s="21">
        <f>EXP(-LN(2)/2)*AW183+(1-EXP(-LN(2)/2))/(LN(2)/2)*AQ184*AT184*VLOOKUP('Données projet'!$B$10,Paramètres!$A$1:$I$89,3,0)*0.475*44/12</f>
        <v>4.3429081569359325E-22</v>
      </c>
      <c r="AX184" s="21">
        <f t="shared" si="166"/>
        <v>0.34291680107716732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72.647148358003676</v>
      </c>
      <c r="BJ184" s="59">
        <f t="shared" si="146"/>
        <v>87.231299224620898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6.3961966005329302E-2</v>
      </c>
      <c r="BQ184" s="21">
        <f>EXP(-LN(2)/25)*BQ183+(1-EXP(-LN(2)/25))/(LN(2)/25)*Calculateur!BL184*Calculateur!BN184*VLOOKUP('Données projet'!$B$11,Paramètres!$A$1:$I$89,3,0)*0.475*44/12</f>
        <v>6.8862875248524039E-2</v>
      </c>
      <c r="BR184" s="21">
        <f>EXP(-LN(2)/2)*BR183+(1-EXP(-LN(2)/2))/(LN(2)/2)*BL184*BO184*VLOOKUP('Données projet'!$B$11,Paramètres!$A$1:$I$89,3,0)*0.475*44/12</f>
        <v>4.2691442861531626E-23</v>
      </c>
      <c r="BS184" s="22">
        <f t="shared" si="169"/>
        <v>0.13282484125385335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5.6843418860808015E-14</v>
      </c>
      <c r="BZ184" s="13">
        <f>BY184*VLOOKUP('Données projet'!$B$12,Paramètres!$A$1:$I$89,3,0)*VLOOKUP('Données projet'!$B$12,Paramètres!$A$1:$I$89,5,0)</f>
        <v>3.3992364478763198E-14</v>
      </c>
      <c r="CA184" s="13">
        <f t="shared" si="170"/>
        <v>5.790027782444094E-13</v>
      </c>
      <c r="CB184" s="20">
        <f t="shared" si="171"/>
        <v>1.0676332069095257E-12</v>
      </c>
      <c r="CC184" s="59">
        <f t="shared" si="119"/>
        <v>293.33333333333439</v>
      </c>
      <c r="CD184" s="59">
        <f ca="1">AVERAGE(OFFSET($CC$3,0,0,'Données projet'!$E$12+1,1))-AVERAGE(OFFSET($H$3,0,0,'Données projet'!$E$12+1,1))</f>
        <v>165.39579887388538</v>
      </c>
      <c r="CE184" s="59">
        <f t="shared" si="148"/>
        <v>155.89639262545802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</v>
      </c>
      <c r="CL184" s="21">
        <f>EXP(-LN(2)/25)*CL183+(1-EXP(-LN(2)/25))/(LN(2)/25)*Calculateur!CG184*Calculateur!CI184*VLOOKUP('Données projet'!$B$12,Paramètres!$A$1:$I$89,3,0)*0.475*44/12</f>
        <v>0.11078000573729781</v>
      </c>
      <c r="CM184" s="21">
        <f>EXP(-LN(2)/2)*CM183+(1-EXP(-LN(2)/2))/(LN(2)/2)*CG184*CJ184*VLOOKUP('Données projet'!$B$12,Paramètres!$A$1:$I$89,3,0)*0.475*44/12</f>
        <v>2.5979208271952459E-22</v>
      </c>
      <c r="CN184" s="22">
        <f t="shared" si="172"/>
        <v>0.11078000573729781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3.4106051316484809E-13</v>
      </c>
      <c r="CU184" s="17">
        <f>CT184*VLOOKUP('Données projet'!$B$13,Paramètres!$A$1:$I$89,3,0)*VLOOKUP('Données projet'!$B$13,Paramètres!$A$1:$I$89,5,0)</f>
        <v>2.6602720026858149E-13</v>
      </c>
      <c r="CV184" s="13">
        <f t="shared" si="173"/>
        <v>3.5662905043956649E-12</v>
      </c>
      <c r="CW184" s="20">
        <f t="shared" si="174"/>
        <v>6.6746200022902298E-12</v>
      </c>
      <c r="CX184" s="59">
        <f t="shared" si="122"/>
        <v>293.33333333333997</v>
      </c>
      <c r="CY184" s="59">
        <f ca="1">AVERAGE(OFFSET($CX$3,0,0,'Données projet'!$E$13+1,1))-AVERAGE(OFFSET($H$3,0,0,'Données projet'!$E$13+1,1))</f>
        <v>190.06335940156185</v>
      </c>
      <c r="CZ184" s="59">
        <f t="shared" si="150"/>
        <v>166.43663896839928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</v>
      </c>
      <c r="DG184" s="21">
        <f>EXP(-LN(2)/25)*DG183+(1-EXP(-LN(2)/25))/(LN(2)/25)*Calculateur!DB184*Calculateur!DD184*VLOOKUP('Données projet'!$B$13,Paramètres!$A$1:$I$89,3,0)*0.475*44/12</f>
        <v>6.7879769053358421E-2</v>
      </c>
      <c r="DH184" s="21">
        <f>EXP(-LN(2)/2)*DH183+(1-EXP(-LN(2)/2))/(LN(2)/2)*DB184*DE184*VLOOKUP('Données projet'!$B$13,Paramètres!$A$1:$I$89,3,0)*0.475*44/12</f>
        <v>9.9693997733238175E-23</v>
      </c>
      <c r="DI184" s="22">
        <f t="shared" si="175"/>
        <v>6.7879769053358421E-2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-1.1368683772161603E-13</v>
      </c>
      <c r="DP184" s="17">
        <f>DO184*VLOOKUP('Données projet'!$B$14,Paramètres!$A$1:$I$89,3,0)*VLOOKUP('Données projet'!$B$14,Paramètres!$A$1:$I$89,5,0)</f>
        <v>-1.0995790944434703E-13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261.22357949323879</v>
      </c>
      <c r="DU184" s="59">
        <f t="shared" si="152"/>
        <v>163.41029152029387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0</v>
      </c>
      <c r="EB184" s="21">
        <f>EXP(-LN(2)/25)*EB183+(1-EXP(-LN(2)/25))/(LN(2)/25)*Calculateur!DW184*Calculateur!DY184*VLOOKUP('Données projet'!$B$14,Paramètres!$A$1:$I$89,3,0)*0.475*44/12</f>
        <v>5.0458615315031562E-2</v>
      </c>
      <c r="EC184" s="21">
        <f>EXP(-LN(2)/2)*EC183+(1-EXP(-LN(2)/2))/(LN(2)/2)*DW184*DZ184*VLOOKUP('Données projet'!$B$14,Paramètres!$A$1:$I$89,3,0)*0.475*44/12</f>
        <v>1.2383514441402572E-22</v>
      </c>
      <c r="ED184" s="22">
        <f t="shared" si="178"/>
        <v>5.0458615315031562E-2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-1.1368683772161603E-13</v>
      </c>
      <c r="EK184" s="17">
        <f>EJ184*VLOOKUP('Données projet'!$B$15,Paramètres!$A$1:$I$89,3,0)*VLOOKUP('Données projet'!$B$15,Paramètres!$A$1:$I$89,5,0)</f>
        <v>-5.3205440053716299E-14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123.60520571614535</v>
      </c>
      <c r="EP184" s="59">
        <f t="shared" si="154"/>
        <v>119.00926870519527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4.3595454103020383E-2</v>
      </c>
      <c r="EW184" s="21">
        <f>EXP(-LN(2)/25)*EW183+(1-EXP(-LN(2)/25))/(LN(2)/25)*Calculateur!ER184*Calculateur!ET184*VLOOKUP('Données projet'!$B$15,Paramètres!$A$1:$I$89,3,0)*0.475*44/12</f>
        <v>7.2595898421424221E-2</v>
      </c>
      <c r="EX184" s="21">
        <f>EXP(-LN(2)/2)*EX183+(1-EXP(-LN(2)/2))/(LN(2)/2)*ER184*EU184*VLOOKUP('Données projet'!$B$15,Paramètres!$A$1:$I$89,3,0)*0.475*44/12</f>
        <v>1.1443007870465021E-22</v>
      </c>
      <c r="EY184" s="22">
        <f t="shared" si="181"/>
        <v>0.1161913525244446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-8.5265128291212022E-14</v>
      </c>
      <c r="FF184" s="17">
        <f>FE184*VLOOKUP('Données projet'!$B$16,Paramètres!$A$1:$I$89,3,0)*VLOOKUP('Données projet'!$B$16,Paramètres!$A$1:$I$89,5,0)</f>
        <v>-6.2516392063116648E-14</v>
      </c>
      <c r="FG184" s="13" t="e">
        <f t="shared" si="182"/>
        <v>#NUM!</v>
      </c>
      <c r="FH184" s="20" t="e">
        <f t="shared" si="183"/>
        <v>#NUM!</v>
      </c>
      <c r="FI184" s="59" t="e">
        <f t="shared" si="131"/>
        <v>#NUM!</v>
      </c>
      <c r="FJ184" s="59">
        <f ca="1">AVERAGE(OFFSET($FI$3,0,0,'Données projet'!$E$16+1,1))-AVERAGE(OFFSET($H$3,0,0,'Données projet'!$E$16+1,1))</f>
        <v>124.15919323713428</v>
      </c>
      <c r="FK184" s="59">
        <f t="shared" si="156"/>
        <v>157.85954678210715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0</v>
      </c>
      <c r="FR184" s="21">
        <f>EXP(-LN(2)/25)*FR183+(1-EXP(-LN(2)/25))/(LN(2)/25)*Calculateur!FM184*Calculateur!FO184*VLOOKUP('Données projet'!$B$16,Paramètres!$A$1:$I$89,3,0)*0.475*44/12</f>
        <v>7.6389688529166652E-2</v>
      </c>
      <c r="FS184" s="21">
        <f>EXP(-LN(2)/2)*FS183+(1-EXP(-LN(2)/2))/(LN(2)/2)*FM184*FP184*VLOOKUP('Données projet'!$B$16,Paramètres!$A$1:$I$89,3,0)*0.475*44/12</f>
        <v>1.380812654665222E-22</v>
      </c>
      <c r="FT184" s="22">
        <f t="shared" si="184"/>
        <v>7.6389688529166652E-2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-1.1368683772161603E-13</v>
      </c>
      <c r="O185" s="13">
        <f>N185*VLOOKUP('Données projet'!$B$9,Paramètres!$A$1:$I$89,3,0)*VLOOKUP('Données projet'!$B$9,Paramètres!$A$1:$I$89,5,0)</f>
        <v>-1.0286385077051818E-13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237.22177246688199</v>
      </c>
      <c r="T185" s="59">
        <f t="shared" si="142"/>
        <v>149.27472147904302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</v>
      </c>
      <c r="AA185" s="21">
        <f>EXP(-LN(2)/25)*AA184+(1-EXP(-LN(2)/25))/(LN(2)/25)*Calculateur!V185*Calculateur!X185*VLOOKUP('Données projet'!$B$9,Paramètres!$A$1:$I$89,3,0)*0.475*44/12</f>
        <v>4.5912446224078259E-2</v>
      </c>
      <c r="AB185" s="21">
        <f>EXP(-LN(2)/2)*AB184+(1-EXP(-LN(2)/2))/(LN(2)/2)*V185*Y185*VLOOKUP('Données projet'!$B$9,Paramètres!$A$1:$I$89,3,0)*0.475*44/12</f>
        <v>8.1915336792477985E-23</v>
      </c>
      <c r="AC185" s="22">
        <f t="shared" si="163"/>
        <v>4.5912446224078259E-2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-8.5265128291212022E-14</v>
      </c>
      <c r="AJ185" s="13">
        <f>AI185*VLOOKUP('Données projet'!$B$10,Paramètres!$A$1:$I$89,3,0)*VLOOKUP('Données projet'!$B$10,Paramètres!$A$1:$I$89,5,0)</f>
        <v>-7.4487616075202836E-14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191.94797389630673</v>
      </c>
      <c r="AO185" s="59">
        <f t="shared" si="144"/>
        <v>273.52540822767878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0.12687896110349187</v>
      </c>
      <c r="AV185" s="21">
        <f>EXP(-LN(2)/25)*AV184+(1-EXP(-LN(2)/25))/(LN(2)/25)*Calculateur!AQ185*Calculateur!AS185*VLOOKUP('Données projet'!$B$10,Paramètres!$A$1:$I$89,3,0)*0.475*44/12</f>
        <v>0.20766188627607843</v>
      </c>
      <c r="AW185" s="21">
        <f>EXP(-LN(2)/2)*AW184+(1-EXP(-LN(2)/2))/(LN(2)/2)*AQ185*AT185*VLOOKUP('Données projet'!$B$10,Paramètres!$A$1:$I$89,3,0)*0.475*44/12</f>
        <v>3.070899807839769E-22</v>
      </c>
      <c r="AX185" s="21">
        <f t="shared" si="166"/>
        <v>0.33454084737957029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72.647148358003676</v>
      </c>
      <c r="BJ185" s="59">
        <f t="shared" si="146"/>
        <v>87.231299224620898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6.270771086491185E-2</v>
      </c>
      <c r="BQ185" s="21">
        <f>EXP(-LN(2)/25)*BQ184+(1-EXP(-LN(2)/25))/(LN(2)/25)*Calculateur!BL185*Calculateur!BN185*VLOOKUP('Données projet'!$B$11,Paramètres!$A$1:$I$89,3,0)*0.475*44/12</f>
        <v>6.6979816303511922E-2</v>
      </c>
      <c r="BR185" s="21">
        <f>EXP(-LN(2)/2)*BR184+(1-EXP(-LN(2)/2))/(LN(2)/2)*BL185*BO185*VLOOKUP('Données projet'!$B$11,Paramètres!$A$1:$I$89,3,0)*0.475*44/12</f>
        <v>3.018740874602704E-23</v>
      </c>
      <c r="BS185" s="22">
        <f t="shared" si="169"/>
        <v>0.12968752716842377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5.6843418860808015E-14</v>
      </c>
      <c r="BZ185" s="13">
        <f>BY185*VLOOKUP('Données projet'!$B$12,Paramètres!$A$1:$I$89,3,0)*VLOOKUP('Données projet'!$B$12,Paramètres!$A$1:$I$89,5,0)</f>
        <v>3.3992364478763198E-14</v>
      </c>
      <c r="CA185" s="13">
        <f t="shared" si="170"/>
        <v>5.790027782444094E-13</v>
      </c>
      <c r="CB185" s="20">
        <f t="shared" si="171"/>
        <v>1.0676332069095257E-12</v>
      </c>
      <c r="CC185" s="59">
        <f t="shared" si="119"/>
        <v>293.33333333333439</v>
      </c>
      <c r="CD185" s="59">
        <f ca="1">AVERAGE(OFFSET($CC$3,0,0,'Données projet'!$E$12+1,1))-AVERAGE(OFFSET($H$3,0,0,'Données projet'!$E$12+1,1))</f>
        <v>165.39579887388538</v>
      </c>
      <c r="CE185" s="59">
        <f t="shared" si="148"/>
        <v>155.89639262545802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</v>
      </c>
      <c r="CL185" s="21">
        <f>EXP(-LN(2)/25)*CL184+(1-EXP(-LN(2)/25))/(LN(2)/25)*Calculateur!CG185*Calculateur!CI185*VLOOKUP('Données projet'!$B$12,Paramètres!$A$1:$I$89,3,0)*0.475*44/12</f>
        <v>0.10775072065474409</v>
      </c>
      <c r="CM185" s="21">
        <f>EXP(-LN(2)/2)*CM184+(1-EXP(-LN(2)/2))/(LN(2)/2)*CG185*CJ185*VLOOKUP('Données projet'!$B$12,Paramètres!$A$1:$I$89,3,0)*0.475*44/12</f>
        <v>1.8370074338955233E-22</v>
      </c>
      <c r="CN185" s="22">
        <f t="shared" si="172"/>
        <v>0.10775072065474409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3.4106051316484809E-13</v>
      </c>
      <c r="CU185" s="17">
        <f>CT185*VLOOKUP('Données projet'!$B$13,Paramètres!$A$1:$I$89,3,0)*VLOOKUP('Données projet'!$B$13,Paramètres!$A$1:$I$89,5,0)</f>
        <v>2.6602720026858149E-13</v>
      </c>
      <c r="CV185" s="13">
        <f t="shared" si="173"/>
        <v>3.5662905043956649E-12</v>
      </c>
      <c r="CW185" s="20">
        <f t="shared" si="174"/>
        <v>6.6746200022902298E-12</v>
      </c>
      <c r="CX185" s="59">
        <f t="shared" si="122"/>
        <v>293.33333333333997</v>
      </c>
      <c r="CY185" s="59">
        <f ca="1">AVERAGE(OFFSET($CX$3,0,0,'Données projet'!$E$13+1,1))-AVERAGE(OFFSET($H$3,0,0,'Données projet'!$E$13+1,1))</f>
        <v>190.06335940156185</v>
      </c>
      <c r="CZ185" s="59">
        <f t="shared" si="150"/>
        <v>166.43663896839928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</v>
      </c>
      <c r="DG185" s="21">
        <f>EXP(-LN(2)/25)*DG184+(1-EXP(-LN(2)/25))/(LN(2)/25)*Calculateur!DB185*Calculateur!DD185*VLOOKUP('Données projet'!$B$13,Paramètres!$A$1:$I$89,3,0)*0.475*44/12</f>
        <v>6.6023593198952416E-2</v>
      </c>
      <c r="DH185" s="21">
        <f>EXP(-LN(2)/2)*DH184+(1-EXP(-LN(2)/2))/(LN(2)/2)*DB185*DE185*VLOOKUP('Données projet'!$B$13,Paramètres!$A$1:$I$89,3,0)*0.475*44/12</f>
        <v>7.049430184076901E-23</v>
      </c>
      <c r="DI185" s="22">
        <f t="shared" si="175"/>
        <v>6.6023593198952416E-2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-1.1368683772161603E-13</v>
      </c>
      <c r="DP185" s="17">
        <f>DO185*VLOOKUP('Données projet'!$B$14,Paramètres!$A$1:$I$89,3,0)*VLOOKUP('Données projet'!$B$14,Paramètres!$A$1:$I$89,5,0)</f>
        <v>-1.0995790944434703E-13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261.22357949323879</v>
      </c>
      <c r="DU185" s="59">
        <f t="shared" si="152"/>
        <v>163.41029152029387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0</v>
      </c>
      <c r="EB185" s="21">
        <f>EXP(-LN(2)/25)*EB184+(1-EXP(-LN(2)/25))/(LN(2)/25)*Calculateur!DW185*Calculateur!DY185*VLOOKUP('Données projet'!$B$14,Paramètres!$A$1:$I$89,3,0)*0.475*44/12</f>
        <v>4.9078821825738771E-2</v>
      </c>
      <c r="EC185" s="21">
        <f>EXP(-LN(2)/2)*EC184+(1-EXP(-LN(2)/2))/(LN(2)/2)*DW185*DZ185*VLOOKUP('Données projet'!$B$14,Paramètres!$A$1:$I$89,3,0)*0.475*44/12</f>
        <v>8.7564670364373001E-23</v>
      </c>
      <c r="ED185" s="22">
        <f t="shared" si="178"/>
        <v>4.9078821825738771E-2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-1.1368683772161603E-13</v>
      </c>
      <c r="EK185" s="17">
        <f>EJ185*VLOOKUP('Données projet'!$B$15,Paramètres!$A$1:$I$89,3,0)*VLOOKUP('Données projet'!$B$15,Paramètres!$A$1:$I$89,5,0)</f>
        <v>-5.3205440053716299E-14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123.60520571614535</v>
      </c>
      <c r="EP185" s="59">
        <f t="shared" si="154"/>
        <v>119.00926870519527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4.2740573838661554E-2</v>
      </c>
      <c r="EW185" s="21">
        <f>EXP(-LN(2)/25)*EW184+(1-EXP(-LN(2)/25))/(LN(2)/25)*Calculateur!ER185*Calculateur!ET185*VLOOKUP('Données projet'!$B$15,Paramètres!$A$1:$I$89,3,0)*0.475*44/12</f>
        <v>7.0610759761437991E-2</v>
      </c>
      <c r="EX185" s="21">
        <f>EXP(-LN(2)/2)*EX184+(1-EXP(-LN(2)/2))/(LN(2)/2)*ER185*EU185*VLOOKUP('Données projet'!$B$15,Paramètres!$A$1:$I$89,3,0)*0.475*44/12</f>
        <v>8.0914284623768506E-23</v>
      </c>
      <c r="EY185" s="22">
        <f t="shared" si="181"/>
        <v>0.11335133360009955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-8.5265128291212022E-14</v>
      </c>
      <c r="FF185" s="17">
        <f>FE185*VLOOKUP('Données projet'!$B$16,Paramètres!$A$1:$I$89,3,0)*VLOOKUP('Données projet'!$B$16,Paramètres!$A$1:$I$89,5,0)</f>
        <v>-6.2516392063116648E-14</v>
      </c>
      <c r="FG185" s="13" t="e">
        <f t="shared" si="182"/>
        <v>#NUM!</v>
      </c>
      <c r="FH185" s="20" t="e">
        <f t="shared" si="183"/>
        <v>#NUM!</v>
      </c>
      <c r="FI185" s="59" t="e">
        <f t="shared" si="131"/>
        <v>#NUM!</v>
      </c>
      <c r="FJ185" s="59">
        <f ca="1">AVERAGE(OFFSET($FI$3,0,0,'Données projet'!$E$16+1,1))-AVERAGE(OFFSET($H$3,0,0,'Données projet'!$E$16+1,1))</f>
        <v>124.15919323713428</v>
      </c>
      <c r="FK185" s="59">
        <f t="shared" si="156"/>
        <v>157.85954678210715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0</v>
      </c>
      <c r="FR185" s="21">
        <f>EXP(-LN(2)/25)*FR184+(1-EXP(-LN(2)/25))/(LN(2)/25)*Calculateur!FM185*Calculateur!FO185*VLOOKUP('Données projet'!$B$16,Paramètres!$A$1:$I$89,3,0)*0.475*44/12</f>
        <v>7.4300808479177458E-2</v>
      </c>
      <c r="FS185" s="21">
        <f>EXP(-LN(2)/2)*FS184+(1-EXP(-LN(2)/2))/(LN(2)/2)*FM185*FP185*VLOOKUP('Données projet'!$B$16,Paramètres!$A$1:$I$89,3,0)*0.475*44/12</f>
        <v>9.7638199166197695E-23</v>
      </c>
      <c r="FT185" s="22">
        <f t="shared" si="184"/>
        <v>7.4300808479177458E-2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-1.1368683772161603E-13</v>
      </c>
      <c r="O186" s="13">
        <f>N186*VLOOKUP('Données projet'!$B$9,Paramètres!$A$1:$I$89,3,0)*VLOOKUP('Données projet'!$B$9,Paramètres!$A$1:$I$89,5,0)</f>
        <v>-1.0286385077051818E-13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237.22177246688199</v>
      </c>
      <c r="T186" s="59">
        <f t="shared" si="142"/>
        <v>149.27472147904302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</v>
      </c>
      <c r="AA186" s="21">
        <f>EXP(-LN(2)/25)*AA185+(1-EXP(-LN(2)/25))/(LN(2)/25)*Calculateur!V186*Calculateur!X186*VLOOKUP('Données projet'!$B$9,Paramètres!$A$1:$I$89,3,0)*0.475*44/12</f>
        <v>4.4656967967650223E-2</v>
      </c>
      <c r="AB186" s="21">
        <f>EXP(-LN(2)/2)*AB185+(1-EXP(-LN(2)/2))/(LN(2)/2)*V186*Y186*VLOOKUP('Données projet'!$B$9,Paramètres!$A$1:$I$89,3,0)*0.475*44/12</f>
        <v>5.7922890129141075E-23</v>
      </c>
      <c r="AC186" s="22">
        <f t="shared" si="163"/>
        <v>4.4656967967650223E-2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-8.5265128291212022E-14</v>
      </c>
      <c r="AJ186" s="13">
        <f>AI186*VLOOKUP('Données projet'!$B$10,Paramètres!$A$1:$I$89,3,0)*VLOOKUP('Données projet'!$B$10,Paramètres!$A$1:$I$89,5,0)</f>
        <v>-7.4487616075202836E-14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191.94797389630673</v>
      </c>
      <c r="AO186" s="59">
        <f t="shared" si="144"/>
        <v>273.52540822767878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0.12439094206477719</v>
      </c>
      <c r="AV186" s="21">
        <f>EXP(-LN(2)/25)*AV185+(1-EXP(-LN(2)/25))/(LN(2)/25)*Calculateur!AQ186*Calculateur!AS186*VLOOKUP('Données projet'!$B$10,Paramètres!$A$1:$I$89,3,0)*0.475*44/12</f>
        <v>0.20198336107539508</v>
      </c>
      <c r="AW186" s="21">
        <f>EXP(-LN(2)/2)*AW185+(1-EXP(-LN(2)/2))/(LN(2)/2)*AQ186*AT186*VLOOKUP('Données projet'!$B$10,Paramètres!$A$1:$I$89,3,0)*0.475*44/12</f>
        <v>2.1714540784679663E-22</v>
      </c>
      <c r="AX186" s="21">
        <f t="shared" si="166"/>
        <v>0.32637430314017224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72.647148358003676</v>
      </c>
      <c r="BJ186" s="59">
        <f t="shared" si="146"/>
        <v>87.231299224620898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6.1478050902777887E-2</v>
      </c>
      <c r="BQ186" s="21">
        <f>EXP(-LN(2)/25)*BQ185+(1-EXP(-LN(2)/25))/(LN(2)/25)*Calculateur!BL186*Calculateur!BN186*VLOOKUP('Données projet'!$B$11,Paramètres!$A$1:$I$89,3,0)*0.475*44/12</f>
        <v>6.5148249704376937E-2</v>
      </c>
      <c r="BR186" s="21">
        <f>EXP(-LN(2)/2)*BR185+(1-EXP(-LN(2)/2))/(LN(2)/2)*BL186*BO186*VLOOKUP('Données projet'!$B$11,Paramètres!$A$1:$I$89,3,0)*0.475*44/12</f>
        <v>2.1345721430765813E-23</v>
      </c>
      <c r="BS186" s="22">
        <f t="shared" si="169"/>
        <v>0.12662630060715482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5.6843418860808015E-14</v>
      </c>
      <c r="BZ186" s="13">
        <f>BY186*VLOOKUP('Données projet'!$B$12,Paramètres!$A$1:$I$89,3,0)*VLOOKUP('Données projet'!$B$12,Paramètres!$A$1:$I$89,5,0)</f>
        <v>3.3992364478763198E-14</v>
      </c>
      <c r="CA186" s="13">
        <f t="shared" si="170"/>
        <v>5.790027782444094E-13</v>
      </c>
      <c r="CB186" s="20">
        <f t="shared" si="171"/>
        <v>1.0676332069095257E-12</v>
      </c>
      <c r="CC186" s="59">
        <f t="shared" si="119"/>
        <v>293.33333333333439</v>
      </c>
      <c r="CD186" s="59">
        <f ca="1">AVERAGE(OFFSET($CC$3,0,0,'Données projet'!$E$12+1,1))-AVERAGE(OFFSET($H$3,0,0,'Données projet'!$E$12+1,1))</f>
        <v>165.39579887388538</v>
      </c>
      <c r="CE186" s="59">
        <f t="shared" si="148"/>
        <v>155.89639262545802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</v>
      </c>
      <c r="CL186" s="21">
        <f>EXP(-LN(2)/25)*CL185+(1-EXP(-LN(2)/25))/(LN(2)/25)*Calculateur!CG186*Calculateur!CI186*VLOOKUP('Données projet'!$B$12,Paramètres!$A$1:$I$89,3,0)*0.475*44/12</f>
        <v>0.10480427153207597</v>
      </c>
      <c r="CM186" s="21">
        <f>EXP(-LN(2)/2)*CM185+(1-EXP(-LN(2)/2))/(LN(2)/2)*CG186*CJ186*VLOOKUP('Données projet'!$B$12,Paramètres!$A$1:$I$89,3,0)*0.475*44/12</f>
        <v>1.298960413597623E-22</v>
      </c>
      <c r="CN186" s="22">
        <f t="shared" si="172"/>
        <v>0.10480427153207597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3.4106051316484809E-13</v>
      </c>
      <c r="CU186" s="17">
        <f>CT186*VLOOKUP('Données projet'!$B$13,Paramètres!$A$1:$I$89,3,0)*VLOOKUP('Données projet'!$B$13,Paramètres!$A$1:$I$89,5,0)</f>
        <v>2.6602720026858149E-13</v>
      </c>
      <c r="CV186" s="13">
        <f t="shared" si="173"/>
        <v>3.5662905043956649E-12</v>
      </c>
      <c r="CW186" s="20">
        <f t="shared" si="174"/>
        <v>6.6746200022902298E-12</v>
      </c>
      <c r="CX186" s="59">
        <f t="shared" si="122"/>
        <v>293.33333333333997</v>
      </c>
      <c r="CY186" s="59">
        <f ca="1">AVERAGE(OFFSET($CX$3,0,0,'Données projet'!$E$13+1,1))-AVERAGE(OFFSET($H$3,0,0,'Données projet'!$E$13+1,1))</f>
        <v>190.06335940156185</v>
      </c>
      <c r="CZ186" s="59">
        <f t="shared" si="150"/>
        <v>166.43663896839928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</v>
      </c>
      <c r="DG186" s="21">
        <f>EXP(-LN(2)/25)*DG185+(1-EXP(-LN(2)/25))/(LN(2)/25)*Calculateur!DB186*Calculateur!DD186*VLOOKUP('Données projet'!$B$13,Paramètres!$A$1:$I$89,3,0)*0.475*44/12</f>
        <v>6.4218174570897193E-2</v>
      </c>
      <c r="DH186" s="21">
        <f>EXP(-LN(2)/2)*DH185+(1-EXP(-LN(2)/2))/(LN(2)/2)*DB186*DE186*VLOOKUP('Données projet'!$B$13,Paramètres!$A$1:$I$89,3,0)*0.475*44/12</f>
        <v>4.9846998866619087E-23</v>
      </c>
      <c r="DI186" s="22">
        <f t="shared" si="175"/>
        <v>6.4218174570897193E-2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-1.1368683772161603E-13</v>
      </c>
      <c r="DP186" s="17">
        <f>DO186*VLOOKUP('Données projet'!$B$14,Paramètres!$A$1:$I$89,3,0)*VLOOKUP('Données projet'!$B$14,Paramètres!$A$1:$I$89,5,0)</f>
        <v>-1.0995790944434703E-13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261.22357949323879</v>
      </c>
      <c r="DU186" s="59">
        <f t="shared" si="152"/>
        <v>163.41029152029387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0</v>
      </c>
      <c r="EB186" s="21">
        <f>EXP(-LN(2)/25)*EB185+(1-EXP(-LN(2)/25))/(LN(2)/25)*Calculateur!DW186*Calculateur!DY186*VLOOKUP('Données projet'!$B$14,Paramètres!$A$1:$I$89,3,0)*0.475*44/12</f>
        <v>4.7736758861970874E-2</v>
      </c>
      <c r="EC186" s="21">
        <f>EXP(-LN(2)/2)*EC185+(1-EXP(-LN(2)/2))/(LN(2)/2)*DW186*DZ186*VLOOKUP('Données projet'!$B$14,Paramètres!$A$1:$I$89,3,0)*0.475*44/12</f>
        <v>6.1917572207012861E-23</v>
      </c>
      <c r="ED186" s="22">
        <f t="shared" si="178"/>
        <v>4.7736758861970874E-2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-1.1368683772161603E-13</v>
      </c>
      <c r="EK186" s="17">
        <f>EJ186*VLOOKUP('Données projet'!$B$15,Paramètres!$A$1:$I$89,3,0)*VLOOKUP('Données projet'!$B$15,Paramètres!$A$1:$I$89,5,0)</f>
        <v>-5.3205440053716299E-14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123.60520571614535</v>
      </c>
      <c r="EP186" s="59">
        <f t="shared" si="154"/>
        <v>119.00926870519527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4.1902457254861324E-2</v>
      </c>
      <c r="EW186" s="21">
        <f>EXP(-LN(2)/25)*EW185+(1-EXP(-LN(2)/25))/(LN(2)/25)*Calculateur!ER186*Calculateur!ET186*VLOOKUP('Données projet'!$B$15,Paramètres!$A$1:$I$89,3,0)*0.475*44/12</f>
        <v>6.8679904822502996E-2</v>
      </c>
      <c r="EX186" s="21">
        <f>EXP(-LN(2)/2)*EX185+(1-EXP(-LN(2)/2))/(LN(2)/2)*ER186*EU186*VLOOKUP('Données projet'!$B$15,Paramètres!$A$1:$I$89,3,0)*0.475*44/12</f>
        <v>5.7215039352325103E-23</v>
      </c>
      <c r="EY186" s="22">
        <f t="shared" si="181"/>
        <v>0.11058236207736433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-8.5265128291212022E-14</v>
      </c>
      <c r="FF186" s="17">
        <f>FE186*VLOOKUP('Données projet'!$B$16,Paramètres!$A$1:$I$89,3,0)*VLOOKUP('Données projet'!$B$16,Paramètres!$A$1:$I$89,5,0)</f>
        <v>-6.2516392063116648E-14</v>
      </c>
      <c r="FG186" s="13" t="e">
        <f t="shared" si="182"/>
        <v>#NUM!</v>
      </c>
      <c r="FH186" s="20" t="e">
        <f t="shared" si="183"/>
        <v>#NUM!</v>
      </c>
      <c r="FI186" s="59" t="e">
        <f t="shared" si="131"/>
        <v>#NUM!</v>
      </c>
      <c r="FJ186" s="59">
        <f ca="1">AVERAGE(OFFSET($FI$3,0,0,'Données projet'!$E$16+1,1))-AVERAGE(OFFSET($H$3,0,0,'Données projet'!$E$16+1,1))</f>
        <v>124.15919323713428</v>
      </c>
      <c r="FK186" s="59">
        <f t="shared" si="156"/>
        <v>157.85954678210715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0</v>
      </c>
      <c r="FR186" s="21">
        <f>EXP(-LN(2)/25)*FR185+(1-EXP(-LN(2)/25))/(LN(2)/25)*Calculateur!FM186*Calculateur!FO186*VLOOKUP('Données projet'!$B$16,Paramètres!$A$1:$I$89,3,0)*0.475*44/12</f>
        <v>7.2269048964004642E-2</v>
      </c>
      <c r="FS186" s="21">
        <f>EXP(-LN(2)/2)*FS185+(1-EXP(-LN(2)/2))/(LN(2)/2)*FM186*FP186*VLOOKUP('Données projet'!$B$16,Paramètres!$A$1:$I$89,3,0)*0.475*44/12</f>
        <v>6.9040632733261099E-23</v>
      </c>
      <c r="FT186" s="22">
        <f t="shared" si="184"/>
        <v>7.2269048964004642E-2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-1.1368683772161603E-13</v>
      </c>
      <c r="O187" s="13">
        <f>N187*VLOOKUP('Données projet'!$B$9,Paramètres!$A$1:$I$89,3,0)*VLOOKUP('Données projet'!$B$9,Paramètres!$A$1:$I$89,5,0)</f>
        <v>-1.0286385077051818E-13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237.22177246688199</v>
      </c>
      <c r="T187" s="59">
        <f t="shared" si="142"/>
        <v>149.27472147904302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</v>
      </c>
      <c r="AA187" s="21">
        <f>EXP(-LN(2)/25)*AA186+(1-EXP(-LN(2)/25))/(LN(2)/25)*Calculateur!V187*Calculateur!X187*VLOOKUP('Données projet'!$B$9,Paramètres!$A$1:$I$89,3,0)*0.475*44/12</f>
        <v>4.3435820830166949E-2</v>
      </c>
      <c r="AB187" s="21">
        <f>EXP(-LN(2)/2)*AB186+(1-EXP(-LN(2)/2))/(LN(2)/2)*V187*Y187*VLOOKUP('Données projet'!$B$9,Paramètres!$A$1:$I$89,3,0)*0.475*44/12</f>
        <v>4.0957668396238992E-23</v>
      </c>
      <c r="AC187" s="22">
        <f t="shared" si="163"/>
        <v>4.3435820830166949E-2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-8.5265128291212022E-14</v>
      </c>
      <c r="AJ187" s="13">
        <f>AI187*VLOOKUP('Données projet'!$B$10,Paramètres!$A$1:$I$89,3,0)*VLOOKUP('Données projet'!$B$10,Paramètres!$A$1:$I$89,5,0)</f>
        <v>-7.4487616075202836E-14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191.94797389630673</v>
      </c>
      <c r="AO187" s="59">
        <f t="shared" si="144"/>
        <v>273.52540822767878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0.12195171156186993</v>
      </c>
      <c r="AV187" s="21">
        <f>EXP(-LN(2)/25)*AV186+(1-EXP(-LN(2)/25))/(LN(2)/25)*Calculateur!AQ187*Calculateur!AS187*VLOOKUP('Données projet'!$B$10,Paramètres!$A$1:$I$89,3,0)*0.475*44/12</f>
        <v>0.19646011544494507</v>
      </c>
      <c r="AW187" s="21">
        <f>EXP(-LN(2)/2)*AW186+(1-EXP(-LN(2)/2))/(LN(2)/2)*AQ187*AT187*VLOOKUP('Données projet'!$B$10,Paramètres!$A$1:$I$89,3,0)*0.475*44/12</f>
        <v>1.5354499039198845E-22</v>
      </c>
      <c r="AX187" s="21">
        <f t="shared" si="166"/>
        <v>0.31841182700681503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72.647148358003676</v>
      </c>
      <c r="BJ187" s="59">
        <f t="shared" si="146"/>
        <v>87.231299224620898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6.0272503822482851E-2</v>
      </c>
      <c r="BQ187" s="21">
        <f>EXP(-LN(2)/25)*BQ186+(1-EXP(-LN(2)/25))/(LN(2)/25)*Calculateur!BL187*Calculateur!BN187*VLOOKUP('Données projet'!$B$11,Paramètres!$A$1:$I$89,3,0)*0.475*44/12</f>
        <v>6.3366767390213199E-2</v>
      </c>
      <c r="BR187" s="21">
        <f>EXP(-LN(2)/2)*BR186+(1-EXP(-LN(2)/2))/(LN(2)/2)*BL187*BO187*VLOOKUP('Données projet'!$B$11,Paramètres!$A$1:$I$89,3,0)*0.475*44/12</f>
        <v>1.509370437301352E-23</v>
      </c>
      <c r="BS187" s="22">
        <f t="shared" si="169"/>
        <v>0.12363927121269605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5.6843418860808015E-14</v>
      </c>
      <c r="BZ187" s="13">
        <f>BY187*VLOOKUP('Données projet'!$B$12,Paramètres!$A$1:$I$89,3,0)*VLOOKUP('Données projet'!$B$12,Paramètres!$A$1:$I$89,5,0)</f>
        <v>3.3992364478763198E-14</v>
      </c>
      <c r="CA187" s="13">
        <f t="shared" si="170"/>
        <v>5.790027782444094E-13</v>
      </c>
      <c r="CB187" s="20">
        <f t="shared" si="171"/>
        <v>1.0676332069095257E-12</v>
      </c>
      <c r="CC187" s="59">
        <f t="shared" si="119"/>
        <v>293.33333333333439</v>
      </c>
      <c r="CD187" s="59">
        <f ca="1">AVERAGE(OFFSET($CC$3,0,0,'Données projet'!$E$12+1,1))-AVERAGE(OFFSET($H$3,0,0,'Données projet'!$E$12+1,1))</f>
        <v>165.39579887388538</v>
      </c>
      <c r="CE187" s="59">
        <f t="shared" si="148"/>
        <v>155.89639262545802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</v>
      </c>
      <c r="CL187" s="21">
        <f>EXP(-LN(2)/25)*CL186+(1-EXP(-LN(2)/25))/(LN(2)/25)*Calculateur!CG187*Calculateur!CI187*VLOOKUP('Données projet'!$B$12,Paramètres!$A$1:$I$89,3,0)*0.475*44/12</f>
        <v>0.10193839321561425</v>
      </c>
      <c r="CM187" s="21">
        <f>EXP(-LN(2)/2)*CM186+(1-EXP(-LN(2)/2))/(LN(2)/2)*CG187*CJ187*VLOOKUP('Données projet'!$B$12,Paramètres!$A$1:$I$89,3,0)*0.475*44/12</f>
        <v>9.1850371694776167E-23</v>
      </c>
      <c r="CN187" s="22">
        <f t="shared" si="172"/>
        <v>0.10193839321561425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3.4106051316484809E-13</v>
      </c>
      <c r="CU187" s="17">
        <f>CT187*VLOOKUP('Données projet'!$B$13,Paramètres!$A$1:$I$89,3,0)*VLOOKUP('Données projet'!$B$13,Paramètres!$A$1:$I$89,5,0)</f>
        <v>2.6602720026858149E-13</v>
      </c>
      <c r="CV187" s="13">
        <f t="shared" si="173"/>
        <v>3.5662905043956649E-12</v>
      </c>
      <c r="CW187" s="20">
        <f t="shared" si="174"/>
        <v>6.6746200022902298E-12</v>
      </c>
      <c r="CX187" s="59">
        <f t="shared" si="122"/>
        <v>293.33333333333997</v>
      </c>
      <c r="CY187" s="59">
        <f ca="1">AVERAGE(OFFSET($CX$3,0,0,'Données projet'!$E$13+1,1))-AVERAGE(OFFSET($H$3,0,0,'Données projet'!$E$13+1,1))</f>
        <v>190.06335940156185</v>
      </c>
      <c r="CZ187" s="59">
        <f t="shared" si="150"/>
        <v>166.43663896839928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</v>
      </c>
      <c r="DG187" s="21">
        <f>EXP(-LN(2)/25)*DG186+(1-EXP(-LN(2)/25))/(LN(2)/25)*Calculateur!DB187*Calculateur!DD187*VLOOKUP('Données projet'!$B$13,Paramètres!$A$1:$I$89,3,0)*0.475*44/12</f>
        <v>6.246212521016898E-2</v>
      </c>
      <c r="DH187" s="21">
        <f>EXP(-LN(2)/2)*DH186+(1-EXP(-LN(2)/2))/(LN(2)/2)*DB187*DE187*VLOOKUP('Données projet'!$B$13,Paramètres!$A$1:$I$89,3,0)*0.475*44/12</f>
        <v>3.5247150920384505E-23</v>
      </c>
      <c r="DI187" s="22">
        <f t="shared" si="175"/>
        <v>6.246212521016898E-2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-1.1368683772161603E-13</v>
      </c>
      <c r="DP187" s="17">
        <f>DO187*VLOOKUP('Données projet'!$B$14,Paramètres!$A$1:$I$89,3,0)*VLOOKUP('Données projet'!$B$14,Paramètres!$A$1:$I$89,5,0)</f>
        <v>-1.0995790944434703E-13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261.22357949323879</v>
      </c>
      <c r="DU187" s="59">
        <f t="shared" si="152"/>
        <v>163.41029152029387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0</v>
      </c>
      <c r="EB187" s="21">
        <f>EXP(-LN(2)/25)*EB186+(1-EXP(-LN(2)/25))/(LN(2)/25)*Calculateur!DW187*Calculateur!DY187*VLOOKUP('Données projet'!$B$14,Paramètres!$A$1:$I$89,3,0)*0.475*44/12</f>
        <v>4.6431394680523236E-2</v>
      </c>
      <c r="EC187" s="21">
        <f>EXP(-LN(2)/2)*EC186+(1-EXP(-LN(2)/2))/(LN(2)/2)*DW187*DZ187*VLOOKUP('Données projet'!$B$14,Paramètres!$A$1:$I$89,3,0)*0.475*44/12</f>
        <v>4.3782335182186501E-23</v>
      </c>
      <c r="ED187" s="22">
        <f t="shared" si="178"/>
        <v>4.6431394680523236E-2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-1.1368683772161603E-13</v>
      </c>
      <c r="EK187" s="17">
        <f>EJ187*VLOOKUP('Données projet'!$B$15,Paramètres!$A$1:$I$89,3,0)*VLOOKUP('Données projet'!$B$15,Paramètres!$A$1:$I$89,5,0)</f>
        <v>-5.3205440053716299E-14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123.60520571614535</v>
      </c>
      <c r="EP187" s="59">
        <f t="shared" si="154"/>
        <v>119.00926870519527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4.108077562606878E-2</v>
      </c>
      <c r="EW187" s="21">
        <f>EXP(-LN(2)/25)*EW186+(1-EXP(-LN(2)/25))/(LN(2)/25)*Calculateur!ER187*Calculateur!ET187*VLOOKUP('Données projet'!$B$15,Paramètres!$A$1:$I$89,3,0)*0.475*44/12</f>
        <v>6.6801849213412423E-2</v>
      </c>
      <c r="EX187" s="21">
        <f>EXP(-LN(2)/2)*EX186+(1-EXP(-LN(2)/2))/(LN(2)/2)*ER187*EU187*VLOOKUP('Données projet'!$B$15,Paramètres!$A$1:$I$89,3,0)*0.475*44/12</f>
        <v>4.0457142311884253E-23</v>
      </c>
      <c r="EY187" s="22">
        <f t="shared" si="181"/>
        <v>0.1078826248394812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-8.5265128291212022E-14</v>
      </c>
      <c r="FF187" s="17">
        <f>FE187*VLOOKUP('Données projet'!$B$16,Paramètres!$A$1:$I$89,3,0)*VLOOKUP('Données projet'!$B$16,Paramètres!$A$1:$I$89,5,0)</f>
        <v>-6.2516392063116648E-14</v>
      </c>
      <c r="FG187" s="13" t="e">
        <f t="shared" si="182"/>
        <v>#NUM!</v>
      </c>
      <c r="FH187" s="20" t="e">
        <f t="shared" si="183"/>
        <v>#NUM!</v>
      </c>
      <c r="FI187" s="59" t="e">
        <f t="shared" si="131"/>
        <v>#NUM!</v>
      </c>
      <c r="FJ187" s="59">
        <f ca="1">AVERAGE(OFFSET($FI$3,0,0,'Données projet'!$E$16+1,1))-AVERAGE(OFFSET($H$3,0,0,'Données projet'!$E$16+1,1))</f>
        <v>124.15919323713428</v>
      </c>
      <c r="FK187" s="59">
        <f t="shared" si="156"/>
        <v>157.85954678210715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0</v>
      </c>
      <c r="FR187" s="21">
        <f>EXP(-LN(2)/25)*FR186+(1-EXP(-LN(2)/25))/(LN(2)/25)*Calculateur!FM187*Calculateur!FO187*VLOOKUP('Données projet'!$B$16,Paramètres!$A$1:$I$89,3,0)*0.475*44/12</f>
        <v>7.0292848019619825E-2</v>
      </c>
      <c r="FS187" s="21">
        <f>EXP(-LN(2)/2)*FS186+(1-EXP(-LN(2)/2))/(LN(2)/2)*FM187*FP187*VLOOKUP('Données projet'!$B$16,Paramètres!$A$1:$I$89,3,0)*0.475*44/12</f>
        <v>4.8819099583098848E-23</v>
      </c>
      <c r="FT187" s="22">
        <f t="shared" si="184"/>
        <v>7.0292848019619825E-2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-1.1368683772161603E-13</v>
      </c>
      <c r="O188" s="13">
        <f>N188*VLOOKUP('Données projet'!$B$9,Paramètres!$A$1:$I$89,3,0)*VLOOKUP('Données projet'!$B$9,Paramètres!$A$1:$I$89,5,0)</f>
        <v>-1.0286385077051818E-13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237.22177246688199</v>
      </c>
      <c r="T188" s="59">
        <f t="shared" si="142"/>
        <v>149.27472147904302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</v>
      </c>
      <c r="AA188" s="21">
        <f>EXP(-LN(2)/25)*AA187+(1-EXP(-LN(2)/25))/(LN(2)/25)*Calculateur!V188*Calculateur!X188*VLOOKUP('Données projet'!$B$9,Paramètres!$A$1:$I$89,3,0)*0.475*44/12</f>
        <v>4.2248066025375487E-2</v>
      </c>
      <c r="AB188" s="21">
        <f>EXP(-LN(2)/2)*AB187+(1-EXP(-LN(2)/2))/(LN(2)/2)*V188*Y188*VLOOKUP('Données projet'!$B$9,Paramètres!$A$1:$I$89,3,0)*0.475*44/12</f>
        <v>2.8961445064570538E-23</v>
      </c>
      <c r="AC188" s="22">
        <f t="shared" si="163"/>
        <v>4.2248066025375487E-2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-8.5265128291212022E-14</v>
      </c>
      <c r="AJ188" s="13">
        <f>AI188*VLOOKUP('Données projet'!$B$10,Paramètres!$A$1:$I$89,3,0)*VLOOKUP('Données projet'!$B$10,Paramètres!$A$1:$I$89,5,0)</f>
        <v>-7.4487616075202836E-14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191.94797389630673</v>
      </c>
      <c r="AO188" s="59">
        <f t="shared" si="144"/>
        <v>273.52540822767878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0.11956031288134099</v>
      </c>
      <c r="AV188" s="21">
        <f>EXP(-LN(2)/25)*AV187+(1-EXP(-LN(2)/25))/(LN(2)/25)*Calculateur!AQ188*Calculateur!AS188*VLOOKUP('Données projet'!$B$10,Paramètres!$A$1:$I$89,3,0)*0.475*44/12</f>
        <v>0.1910879032567146</v>
      </c>
      <c r="AW188" s="21">
        <f>EXP(-LN(2)/2)*AW187+(1-EXP(-LN(2)/2))/(LN(2)/2)*AQ188*AT188*VLOOKUP('Données projet'!$B$10,Paramètres!$A$1:$I$89,3,0)*0.475*44/12</f>
        <v>1.0857270392339831E-22</v>
      </c>
      <c r="AX188" s="21">
        <f t="shared" si="166"/>
        <v>0.3106482161380556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72.647148358003676</v>
      </c>
      <c r="BJ188" s="59">
        <f t="shared" si="146"/>
        <v>87.231299224620898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5.909059678512129E-2</v>
      </c>
      <c r="BQ188" s="21">
        <f>EXP(-LN(2)/25)*BQ187+(1-EXP(-LN(2)/25))/(LN(2)/25)*Calculateur!BL188*Calculateur!BN188*VLOOKUP('Données projet'!$B$11,Paramètres!$A$1:$I$89,3,0)*0.475*44/12</f>
        <v>6.163399980361435E-2</v>
      </c>
      <c r="BR188" s="21">
        <f>EXP(-LN(2)/2)*BR187+(1-EXP(-LN(2)/2))/(LN(2)/2)*BL188*BO188*VLOOKUP('Données projet'!$B$11,Paramètres!$A$1:$I$89,3,0)*0.475*44/12</f>
        <v>1.0672860715382907E-23</v>
      </c>
      <c r="BS188" s="22">
        <f t="shared" si="169"/>
        <v>0.12072459658873563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5.6843418860808015E-14</v>
      </c>
      <c r="BZ188" s="13">
        <f>BY188*VLOOKUP('Données projet'!$B$12,Paramètres!$A$1:$I$89,3,0)*VLOOKUP('Données projet'!$B$12,Paramètres!$A$1:$I$89,5,0)</f>
        <v>3.3992364478763198E-14</v>
      </c>
      <c r="CA188" s="13">
        <f t="shared" si="170"/>
        <v>5.790027782444094E-13</v>
      </c>
      <c r="CB188" s="20">
        <f t="shared" si="171"/>
        <v>1.0676332069095257E-12</v>
      </c>
      <c r="CC188" s="59">
        <f t="shared" si="119"/>
        <v>293.33333333333439</v>
      </c>
      <c r="CD188" s="59">
        <f ca="1">AVERAGE(OFFSET($CC$3,0,0,'Données projet'!$E$12+1,1))-AVERAGE(OFFSET($H$3,0,0,'Données projet'!$E$12+1,1))</f>
        <v>165.39579887388538</v>
      </c>
      <c r="CE188" s="59">
        <f t="shared" si="148"/>
        <v>155.89639262545802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</v>
      </c>
      <c r="CL188" s="21">
        <f>EXP(-LN(2)/25)*CL187+(1-EXP(-LN(2)/25))/(LN(2)/25)*Calculateur!CG188*Calculateur!CI188*VLOOKUP('Données projet'!$B$12,Paramètres!$A$1:$I$89,3,0)*0.475*44/12</f>
        <v>9.9150882492426165E-2</v>
      </c>
      <c r="CM188" s="21">
        <f>EXP(-LN(2)/2)*CM187+(1-EXP(-LN(2)/2))/(LN(2)/2)*CG188*CJ188*VLOOKUP('Données projet'!$B$12,Paramètres!$A$1:$I$89,3,0)*0.475*44/12</f>
        <v>6.4948020679881148E-23</v>
      </c>
      <c r="CN188" s="22">
        <f t="shared" si="172"/>
        <v>9.9150882492426165E-2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3.4106051316484809E-13</v>
      </c>
      <c r="CU188" s="17">
        <f>CT188*VLOOKUP('Données projet'!$B$13,Paramètres!$A$1:$I$89,3,0)*VLOOKUP('Données projet'!$B$13,Paramètres!$A$1:$I$89,5,0)</f>
        <v>2.6602720026858149E-13</v>
      </c>
      <c r="CV188" s="13">
        <f t="shared" si="173"/>
        <v>3.5662905043956649E-12</v>
      </c>
      <c r="CW188" s="20">
        <f t="shared" si="174"/>
        <v>6.6746200022902298E-12</v>
      </c>
      <c r="CX188" s="59">
        <f t="shared" si="122"/>
        <v>293.33333333333997</v>
      </c>
      <c r="CY188" s="59">
        <f ca="1">AVERAGE(OFFSET($CX$3,0,0,'Données projet'!$E$13+1,1))-AVERAGE(OFFSET($H$3,0,0,'Données projet'!$E$13+1,1))</f>
        <v>190.06335940156185</v>
      </c>
      <c r="CZ188" s="59">
        <f t="shared" si="150"/>
        <v>166.43663896839928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</v>
      </c>
      <c r="DG188" s="21">
        <f>EXP(-LN(2)/25)*DG187+(1-EXP(-LN(2)/25))/(LN(2)/25)*Calculateur!DB188*Calculateur!DD188*VLOOKUP('Données projet'!$B$13,Paramètres!$A$1:$I$89,3,0)*0.475*44/12</f>
        <v>6.0754095111556501E-2</v>
      </c>
      <c r="DH188" s="21">
        <f>EXP(-LN(2)/2)*DH187+(1-EXP(-LN(2)/2))/(LN(2)/2)*DB188*DE188*VLOOKUP('Données projet'!$B$13,Paramètres!$A$1:$I$89,3,0)*0.475*44/12</f>
        <v>2.4923499433309544E-23</v>
      </c>
      <c r="DI188" s="22">
        <f t="shared" si="175"/>
        <v>6.0754095111556501E-2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-1.1368683772161603E-13</v>
      </c>
      <c r="DP188" s="17">
        <f>DO188*VLOOKUP('Données projet'!$B$14,Paramètres!$A$1:$I$89,3,0)*VLOOKUP('Données projet'!$B$14,Paramètres!$A$1:$I$89,5,0)</f>
        <v>-1.0995790944434703E-13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261.22357949323879</v>
      </c>
      <c r="DU188" s="59">
        <f t="shared" si="152"/>
        <v>163.41029152029387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0</v>
      </c>
      <c r="EB188" s="21">
        <f>EXP(-LN(2)/25)*EB187+(1-EXP(-LN(2)/25))/(LN(2)/25)*Calculateur!DW188*Calculateur!DY188*VLOOKUP('Données projet'!$B$14,Paramètres!$A$1:$I$89,3,0)*0.475*44/12</f>
        <v>4.5161725751263405E-2</v>
      </c>
      <c r="EC188" s="21">
        <f>EXP(-LN(2)/2)*EC187+(1-EXP(-LN(2)/2))/(LN(2)/2)*DW188*DZ188*VLOOKUP('Données projet'!$B$14,Paramètres!$A$1:$I$89,3,0)*0.475*44/12</f>
        <v>3.0958786103506431E-23</v>
      </c>
      <c r="ED188" s="22">
        <f t="shared" si="178"/>
        <v>4.5161725751263405E-2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-1.1368683772161603E-13</v>
      </c>
      <c r="EK188" s="17">
        <f>EJ188*VLOOKUP('Données projet'!$B$15,Paramètres!$A$1:$I$89,3,0)*VLOOKUP('Données projet'!$B$15,Paramètres!$A$1:$I$89,5,0)</f>
        <v>-5.3205440053716299E-14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123.60520571614535</v>
      </c>
      <c r="EP188" s="59">
        <f t="shared" si="154"/>
        <v>119.00926870519527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4.0275206672840548E-2</v>
      </c>
      <c r="EW188" s="21">
        <f>EXP(-LN(2)/25)*EW187+(1-EXP(-LN(2)/25))/(LN(2)/25)*Calculateur!ER188*Calculateur!ET188*VLOOKUP('Données projet'!$B$15,Paramètres!$A$1:$I$89,3,0)*0.475*44/12</f>
        <v>6.497514913371509E-2</v>
      </c>
      <c r="EX188" s="21">
        <f>EXP(-LN(2)/2)*EX187+(1-EXP(-LN(2)/2))/(LN(2)/2)*ER188*EU188*VLOOKUP('Données projet'!$B$15,Paramètres!$A$1:$I$89,3,0)*0.475*44/12</f>
        <v>2.8607519676162551E-23</v>
      </c>
      <c r="EY188" s="22">
        <f t="shared" si="181"/>
        <v>0.10525035580655565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-8.5265128291212022E-14</v>
      </c>
      <c r="FF188" s="17">
        <f>FE188*VLOOKUP('Données projet'!$B$16,Paramètres!$A$1:$I$89,3,0)*VLOOKUP('Données projet'!$B$16,Paramètres!$A$1:$I$89,5,0)</f>
        <v>-6.2516392063116648E-14</v>
      </c>
      <c r="FG188" s="13" t="e">
        <f t="shared" si="182"/>
        <v>#NUM!</v>
      </c>
      <c r="FH188" s="20" t="e">
        <f t="shared" si="183"/>
        <v>#NUM!</v>
      </c>
      <c r="FI188" s="59" t="e">
        <f t="shared" si="131"/>
        <v>#NUM!</v>
      </c>
      <c r="FJ188" s="59">
        <f ca="1">AVERAGE(OFFSET($FI$3,0,0,'Données projet'!$E$16+1,1))-AVERAGE(OFFSET($H$3,0,0,'Données projet'!$E$16+1,1))</f>
        <v>124.15919323713428</v>
      </c>
      <c r="FK188" s="59">
        <f t="shared" si="156"/>
        <v>157.85954678210715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0</v>
      </c>
      <c r="FR188" s="21">
        <f>EXP(-LN(2)/25)*FR187+(1-EXP(-LN(2)/25))/(LN(2)/25)*Calculateur!FM188*Calculateur!FO188*VLOOKUP('Données projet'!$B$16,Paramètres!$A$1:$I$89,3,0)*0.475*44/12</f>
        <v>6.8370686393983096E-2</v>
      </c>
      <c r="FS188" s="21">
        <f>EXP(-LN(2)/2)*FS187+(1-EXP(-LN(2)/2))/(LN(2)/2)*FM188*FP188*VLOOKUP('Données projet'!$B$16,Paramètres!$A$1:$I$89,3,0)*0.475*44/12</f>
        <v>3.452031636663055E-23</v>
      </c>
      <c r="FT188" s="22">
        <f t="shared" si="184"/>
        <v>6.8370686393983096E-2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-1.1368683772161603E-13</v>
      </c>
      <c r="O189" s="13">
        <f>N189*VLOOKUP('Données projet'!$B$9,Paramètres!$A$1:$I$89,3,0)*VLOOKUP('Données projet'!$B$9,Paramètres!$A$1:$I$89,5,0)</f>
        <v>-1.0286385077051818E-13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237.22177246688199</v>
      </c>
      <c r="T189" s="59">
        <f t="shared" si="142"/>
        <v>149.27472147904302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</v>
      </c>
      <c r="AA189" s="21">
        <f>EXP(-LN(2)/25)*AA188+(1-EXP(-LN(2)/25))/(LN(2)/25)*Calculateur!V189*Calculateur!X189*VLOOKUP('Données projet'!$B$9,Paramètres!$A$1:$I$89,3,0)*0.475*44/12</f>
        <v>4.1092790438182362E-2</v>
      </c>
      <c r="AB189" s="21">
        <f>EXP(-LN(2)/2)*AB188+(1-EXP(-LN(2)/2))/(LN(2)/2)*V189*Y189*VLOOKUP('Données projet'!$B$9,Paramètres!$A$1:$I$89,3,0)*0.475*44/12</f>
        <v>2.0478834198119496E-23</v>
      </c>
      <c r="AC189" s="22">
        <f t="shared" si="163"/>
        <v>4.1092790438182362E-2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-8.5265128291212022E-14</v>
      </c>
      <c r="AJ189" s="13">
        <f>AI189*VLOOKUP('Données projet'!$B$10,Paramètres!$A$1:$I$89,3,0)*VLOOKUP('Données projet'!$B$10,Paramètres!$A$1:$I$89,5,0)</f>
        <v>-7.4487616075202836E-14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191.94797389630673</v>
      </c>
      <c r="AO189" s="59">
        <f t="shared" si="144"/>
        <v>273.52540822767878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0.11721580807032804</v>
      </c>
      <c r="AV189" s="21">
        <f>EXP(-LN(2)/25)*AV188+(1-EXP(-LN(2)/25))/(LN(2)/25)*Calculateur!AQ189*Calculateur!AS189*VLOOKUP('Données projet'!$B$10,Paramètres!$A$1:$I$89,3,0)*0.475*44/12</f>
        <v>0.18586259449328363</v>
      </c>
      <c r="AW189" s="21">
        <f>EXP(-LN(2)/2)*AW188+(1-EXP(-LN(2)/2))/(LN(2)/2)*AQ189*AT189*VLOOKUP('Données projet'!$B$10,Paramètres!$A$1:$I$89,3,0)*0.475*44/12</f>
        <v>7.6772495195994224E-23</v>
      </c>
      <c r="AX189" s="21">
        <f t="shared" si="166"/>
        <v>0.30307840256361168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72.647148358003676</v>
      </c>
      <c r="BJ189" s="59">
        <f t="shared" si="146"/>
        <v>87.231299224620898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5.7931866223870275E-2</v>
      </c>
      <c r="BQ189" s="21">
        <f>EXP(-LN(2)/25)*BQ188+(1-EXP(-LN(2)/25))/(LN(2)/25)*Calculateur!BL189*Calculateur!BN189*VLOOKUP('Données projet'!$B$11,Paramètres!$A$1:$I$89,3,0)*0.475*44/12</f>
        <v>5.9948614837793332E-2</v>
      </c>
      <c r="BR189" s="21">
        <f>EXP(-LN(2)/2)*BR188+(1-EXP(-LN(2)/2))/(LN(2)/2)*BL189*BO189*VLOOKUP('Données projet'!$B$11,Paramètres!$A$1:$I$89,3,0)*0.475*44/12</f>
        <v>7.5468521865067599E-24</v>
      </c>
      <c r="BS189" s="22">
        <f t="shared" si="169"/>
        <v>0.1178804810616636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5.6843418860808015E-14</v>
      </c>
      <c r="BZ189" s="13">
        <f>BY189*VLOOKUP('Données projet'!$B$12,Paramètres!$A$1:$I$89,3,0)*VLOOKUP('Données projet'!$B$12,Paramètres!$A$1:$I$89,5,0)</f>
        <v>3.3992364478763198E-14</v>
      </c>
      <c r="CA189" s="13">
        <f t="shared" si="170"/>
        <v>5.790027782444094E-13</v>
      </c>
      <c r="CB189" s="20">
        <f t="shared" si="171"/>
        <v>1.0676332069095257E-12</v>
      </c>
      <c r="CC189" s="59">
        <f t="shared" si="119"/>
        <v>293.33333333333439</v>
      </c>
      <c r="CD189" s="59">
        <f ca="1">AVERAGE(OFFSET($CC$3,0,0,'Données projet'!$E$12+1,1))-AVERAGE(OFFSET($H$3,0,0,'Données projet'!$E$12+1,1))</f>
        <v>165.39579887388538</v>
      </c>
      <c r="CE189" s="59">
        <f t="shared" si="148"/>
        <v>155.89639262545802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</v>
      </c>
      <c r="CL189" s="21">
        <f>EXP(-LN(2)/25)*CL188+(1-EXP(-LN(2)/25))/(LN(2)/25)*Calculateur!CG189*Calculateur!CI189*VLOOKUP('Données projet'!$B$12,Paramètres!$A$1:$I$89,3,0)*0.475*44/12</f>
        <v>9.6439596396552474E-2</v>
      </c>
      <c r="CM189" s="21">
        <f>EXP(-LN(2)/2)*CM188+(1-EXP(-LN(2)/2))/(LN(2)/2)*CG189*CJ189*VLOOKUP('Données projet'!$B$12,Paramètres!$A$1:$I$89,3,0)*0.475*44/12</f>
        <v>4.5925185847388083E-23</v>
      </c>
      <c r="CN189" s="22">
        <f t="shared" si="172"/>
        <v>9.6439596396552474E-2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3.4106051316484809E-13</v>
      </c>
      <c r="CU189" s="17">
        <f>CT189*VLOOKUP('Données projet'!$B$13,Paramètres!$A$1:$I$89,3,0)*VLOOKUP('Données projet'!$B$13,Paramètres!$A$1:$I$89,5,0)</f>
        <v>2.6602720026858149E-13</v>
      </c>
      <c r="CV189" s="13">
        <f t="shared" si="173"/>
        <v>3.5662905043956649E-12</v>
      </c>
      <c r="CW189" s="20">
        <f t="shared" si="174"/>
        <v>6.6746200022902298E-12</v>
      </c>
      <c r="CX189" s="59">
        <f t="shared" si="122"/>
        <v>293.33333333333997</v>
      </c>
      <c r="CY189" s="59">
        <f ca="1">AVERAGE(OFFSET($CX$3,0,0,'Données projet'!$E$13+1,1))-AVERAGE(OFFSET($H$3,0,0,'Données projet'!$E$13+1,1))</f>
        <v>190.06335940156185</v>
      </c>
      <c r="CZ189" s="59">
        <f t="shared" si="150"/>
        <v>166.43663896839928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</v>
      </c>
      <c r="DG189" s="21">
        <f>EXP(-LN(2)/25)*DG188+(1-EXP(-LN(2)/25))/(LN(2)/25)*Calculateur!DB189*Calculateur!DD189*VLOOKUP('Données projet'!$B$13,Paramètres!$A$1:$I$89,3,0)*0.475*44/12</f>
        <v>5.9092771185811979E-2</v>
      </c>
      <c r="DH189" s="21">
        <f>EXP(-LN(2)/2)*DH188+(1-EXP(-LN(2)/2))/(LN(2)/2)*DB189*DE189*VLOOKUP('Données projet'!$B$13,Paramètres!$A$1:$I$89,3,0)*0.475*44/12</f>
        <v>1.7623575460192252E-23</v>
      </c>
      <c r="DI189" s="22">
        <f t="shared" si="175"/>
        <v>5.9092771185811979E-2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-1.1368683772161603E-13</v>
      </c>
      <c r="DP189" s="17">
        <f>DO189*VLOOKUP('Données projet'!$B$14,Paramètres!$A$1:$I$89,3,0)*VLOOKUP('Données projet'!$B$14,Paramètres!$A$1:$I$89,5,0)</f>
        <v>-1.0995790944434703E-13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261.22357949323879</v>
      </c>
      <c r="DU189" s="59">
        <f t="shared" si="152"/>
        <v>163.41029152029387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0</v>
      </c>
      <c r="EB189" s="21">
        <f>EXP(-LN(2)/25)*EB188+(1-EXP(-LN(2)/25))/(LN(2)/25)*Calculateur!DW189*Calculateur!DY189*VLOOKUP('Données projet'!$B$14,Paramètres!$A$1:$I$89,3,0)*0.475*44/12</f>
        <v>4.3926775985643166E-2</v>
      </c>
      <c r="EC189" s="21">
        <f>EXP(-LN(2)/2)*EC188+(1-EXP(-LN(2)/2))/(LN(2)/2)*DW189*DZ189*VLOOKUP('Données projet'!$B$14,Paramètres!$A$1:$I$89,3,0)*0.475*44/12</f>
        <v>2.189116759109325E-23</v>
      </c>
      <c r="ED189" s="22">
        <f t="shared" si="178"/>
        <v>4.3926775985643166E-2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-1.1368683772161603E-13</v>
      </c>
      <c r="EK189" s="17">
        <f>EJ189*VLOOKUP('Données projet'!$B$15,Paramètres!$A$1:$I$89,3,0)*VLOOKUP('Données projet'!$B$15,Paramètres!$A$1:$I$89,5,0)</f>
        <v>-5.3205440053716299E-14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123.60520571614535</v>
      </c>
      <c r="EP189" s="59">
        <f t="shared" si="154"/>
        <v>119.00926870519527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3.9485434435436575E-2</v>
      </c>
      <c r="EW189" s="21">
        <f>EXP(-LN(2)/25)*EW188+(1-EXP(-LN(2)/25))/(LN(2)/25)*Calculateur!ER189*Calculateur!ET189*VLOOKUP('Données projet'!$B$15,Paramètres!$A$1:$I$89,3,0)*0.475*44/12</f>
        <v>6.3198400263759058E-2</v>
      </c>
      <c r="EX189" s="21">
        <f>EXP(-LN(2)/2)*EX188+(1-EXP(-LN(2)/2))/(LN(2)/2)*ER189*EU189*VLOOKUP('Données projet'!$B$15,Paramètres!$A$1:$I$89,3,0)*0.475*44/12</f>
        <v>2.0228571155942126E-23</v>
      </c>
      <c r="EY189" s="22">
        <f t="shared" si="181"/>
        <v>0.10268383469919563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-8.5265128291212022E-14</v>
      </c>
      <c r="FF189" s="17">
        <f>FE189*VLOOKUP('Données projet'!$B$16,Paramètres!$A$1:$I$89,3,0)*VLOOKUP('Données projet'!$B$16,Paramètres!$A$1:$I$89,5,0)</f>
        <v>-6.2516392063116648E-14</v>
      </c>
      <c r="FG189" s="13" t="e">
        <f t="shared" si="182"/>
        <v>#NUM!</v>
      </c>
      <c r="FH189" s="20" t="e">
        <f t="shared" si="183"/>
        <v>#NUM!</v>
      </c>
      <c r="FI189" s="59" t="e">
        <f t="shared" si="131"/>
        <v>#NUM!</v>
      </c>
      <c r="FJ189" s="59">
        <f ca="1">AVERAGE(OFFSET($FI$3,0,0,'Données projet'!$E$16+1,1))-AVERAGE(OFFSET($H$3,0,0,'Données projet'!$E$16+1,1))</f>
        <v>124.15919323713428</v>
      </c>
      <c r="FK189" s="59">
        <f t="shared" si="156"/>
        <v>157.85954678210715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0</v>
      </c>
      <c r="FR189" s="21">
        <f>EXP(-LN(2)/25)*FR188+(1-EXP(-LN(2)/25))/(LN(2)/25)*Calculateur!FM189*Calculateur!FO189*VLOOKUP('Données projet'!$B$16,Paramètres!$A$1:$I$89,3,0)*0.475*44/12</f>
        <v>6.6501086379081489E-2</v>
      </c>
      <c r="FS189" s="21">
        <f>EXP(-LN(2)/2)*FS188+(1-EXP(-LN(2)/2))/(LN(2)/2)*FM189*FP189*VLOOKUP('Données projet'!$B$16,Paramètres!$A$1:$I$89,3,0)*0.475*44/12</f>
        <v>2.4409549791549424E-23</v>
      </c>
      <c r="FT189" s="22">
        <f t="shared" si="184"/>
        <v>6.6501086379081489E-2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-1.1368683772161603E-13</v>
      </c>
      <c r="O190" s="13">
        <f>N190*VLOOKUP('Données projet'!$B$9,Paramètres!$A$1:$I$89,3,0)*VLOOKUP('Données projet'!$B$9,Paramètres!$A$1:$I$89,5,0)</f>
        <v>-1.0286385077051818E-13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237.22177246688199</v>
      </c>
      <c r="T190" s="59">
        <f t="shared" si="142"/>
        <v>149.27472147904302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</v>
      </c>
      <c r="AA190" s="21">
        <f>EXP(-LN(2)/25)*AA189+(1-EXP(-LN(2)/25))/(LN(2)/25)*Calculateur!V190*Calculateur!X190*VLOOKUP('Données projet'!$B$9,Paramètres!$A$1:$I$89,3,0)*0.475*44/12</f>
        <v>3.9969105922674338E-2</v>
      </c>
      <c r="AB190" s="21">
        <f>EXP(-LN(2)/2)*AB189+(1-EXP(-LN(2)/2))/(LN(2)/2)*V190*Y190*VLOOKUP('Données projet'!$B$9,Paramètres!$A$1:$I$89,3,0)*0.475*44/12</f>
        <v>1.4480722532285269E-23</v>
      </c>
      <c r="AC190" s="22">
        <f t="shared" si="163"/>
        <v>3.9969105922674338E-2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-8.5265128291212022E-14</v>
      </c>
      <c r="AJ190" s="13">
        <f>AI190*VLOOKUP('Données projet'!$B$10,Paramètres!$A$1:$I$89,3,0)*VLOOKUP('Données projet'!$B$10,Paramètres!$A$1:$I$89,5,0)</f>
        <v>-7.4487616075202836E-14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191.94797389630673</v>
      </c>
      <c r="AO190" s="59">
        <f t="shared" si="144"/>
        <v>273.52540822767878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0.11491727756865233</v>
      </c>
      <c r="AV190" s="21">
        <f>EXP(-LN(2)/25)*AV189+(1-EXP(-LN(2)/25))/(LN(2)/25)*Calculateur!AQ190*Calculateur!AS190*VLOOKUP('Données projet'!$B$10,Paramètres!$A$1:$I$89,3,0)*0.475*44/12</f>
        <v>0.18078017207277575</v>
      </c>
      <c r="AW190" s="21">
        <f>EXP(-LN(2)/2)*AW189+(1-EXP(-LN(2)/2))/(LN(2)/2)*AQ190*AT190*VLOOKUP('Données projet'!$B$10,Paramètres!$A$1:$I$89,3,0)*0.475*44/12</f>
        <v>5.4286351961699157E-23</v>
      </c>
      <c r="AX190" s="21">
        <f t="shared" si="166"/>
        <v>0.29569744964142808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72.647148358003676</v>
      </c>
      <c r="BJ190" s="59">
        <f t="shared" si="146"/>
        <v>87.231299224620898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5.679585766216954E-2</v>
      </c>
      <c r="BQ190" s="21">
        <f>EXP(-LN(2)/25)*BQ189+(1-EXP(-LN(2)/25))/(LN(2)/25)*Calculateur!BL190*Calculateur!BN190*VLOOKUP('Données projet'!$B$11,Paramètres!$A$1:$I$89,3,0)*0.475*44/12</f>
        <v>5.8309316812493232E-2</v>
      </c>
      <c r="BR190" s="21">
        <f>EXP(-LN(2)/2)*BR189+(1-EXP(-LN(2)/2))/(LN(2)/2)*BL190*BO190*VLOOKUP('Données projet'!$B$11,Paramètres!$A$1:$I$89,3,0)*0.475*44/12</f>
        <v>5.3364303576914533E-24</v>
      </c>
      <c r="BS190" s="22">
        <f t="shared" si="169"/>
        <v>0.11510517447466277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5.6843418860808015E-14</v>
      </c>
      <c r="BZ190" s="13">
        <f>BY190*VLOOKUP('Données projet'!$B$12,Paramètres!$A$1:$I$89,3,0)*VLOOKUP('Données projet'!$B$12,Paramètres!$A$1:$I$89,5,0)</f>
        <v>3.3992364478763198E-14</v>
      </c>
      <c r="CA190" s="13">
        <f t="shared" si="170"/>
        <v>5.790027782444094E-13</v>
      </c>
      <c r="CB190" s="20">
        <f t="shared" si="171"/>
        <v>1.0676332069095257E-12</v>
      </c>
      <c r="CC190" s="59">
        <f t="shared" si="119"/>
        <v>293.33333333333439</v>
      </c>
      <c r="CD190" s="59">
        <f ca="1">AVERAGE(OFFSET($CC$3,0,0,'Données projet'!$E$12+1,1))-AVERAGE(OFFSET($H$3,0,0,'Données projet'!$E$12+1,1))</f>
        <v>165.39579887388538</v>
      </c>
      <c r="CE190" s="59">
        <f t="shared" si="148"/>
        <v>155.89639262545802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</v>
      </c>
      <c r="CL190" s="21">
        <f>EXP(-LN(2)/25)*CL189+(1-EXP(-LN(2)/25))/(LN(2)/25)*Calculateur!CG190*Calculateur!CI190*VLOOKUP('Données projet'!$B$12,Paramètres!$A$1:$I$89,3,0)*0.475*44/12</f>
        <v>9.3802450561550788E-2</v>
      </c>
      <c r="CM190" s="21">
        <f>EXP(-LN(2)/2)*CM189+(1-EXP(-LN(2)/2))/(LN(2)/2)*CG190*CJ190*VLOOKUP('Données projet'!$B$12,Paramètres!$A$1:$I$89,3,0)*0.475*44/12</f>
        <v>3.2474010339940574E-23</v>
      </c>
      <c r="CN190" s="22">
        <f t="shared" si="172"/>
        <v>9.3802450561550788E-2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3.4106051316484809E-13</v>
      </c>
      <c r="CU190" s="17">
        <f>CT190*VLOOKUP('Données projet'!$B$13,Paramètres!$A$1:$I$89,3,0)*VLOOKUP('Données projet'!$B$13,Paramètres!$A$1:$I$89,5,0)</f>
        <v>2.6602720026858149E-13</v>
      </c>
      <c r="CV190" s="13">
        <f t="shared" si="173"/>
        <v>3.5662905043956649E-12</v>
      </c>
      <c r="CW190" s="20">
        <f t="shared" si="174"/>
        <v>6.6746200022902298E-12</v>
      </c>
      <c r="CX190" s="59">
        <f t="shared" si="122"/>
        <v>293.33333333333997</v>
      </c>
      <c r="CY190" s="59">
        <f ca="1">AVERAGE(OFFSET($CX$3,0,0,'Données projet'!$E$13+1,1))-AVERAGE(OFFSET($H$3,0,0,'Données projet'!$E$13+1,1))</f>
        <v>190.06335940156185</v>
      </c>
      <c r="CZ190" s="59">
        <f t="shared" si="150"/>
        <v>166.43663896839928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</v>
      </c>
      <c r="DG190" s="21">
        <f>EXP(-LN(2)/25)*DG189+(1-EXP(-LN(2)/25))/(LN(2)/25)*Calculateur!DB190*Calculateur!DD190*VLOOKUP('Données projet'!$B$13,Paramètres!$A$1:$I$89,3,0)*0.475*44/12</f>
        <v>5.747687625018217E-2</v>
      </c>
      <c r="DH190" s="21">
        <f>EXP(-LN(2)/2)*DH189+(1-EXP(-LN(2)/2))/(LN(2)/2)*DB190*DE190*VLOOKUP('Données projet'!$B$13,Paramètres!$A$1:$I$89,3,0)*0.475*44/12</f>
        <v>1.2461749716654772E-23</v>
      </c>
      <c r="DI190" s="22">
        <f t="shared" si="175"/>
        <v>5.747687625018217E-2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-1.1368683772161603E-13</v>
      </c>
      <c r="DP190" s="17">
        <f>DO190*VLOOKUP('Données projet'!$B$14,Paramètres!$A$1:$I$89,3,0)*VLOOKUP('Données projet'!$B$14,Paramètres!$A$1:$I$89,5,0)</f>
        <v>-1.0995790944434703E-13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261.22357949323879</v>
      </c>
      <c r="DU190" s="59">
        <f t="shared" si="152"/>
        <v>163.41029152029387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0</v>
      </c>
      <c r="EB190" s="21">
        <f>EXP(-LN(2)/25)*EB189+(1-EXP(-LN(2)/25))/(LN(2)/25)*Calculateur!DW190*Calculateur!DY190*VLOOKUP('Données projet'!$B$14,Paramètres!$A$1:$I$89,3,0)*0.475*44/12</f>
        <v>4.2725595986307E-2</v>
      </c>
      <c r="EC190" s="21">
        <f>EXP(-LN(2)/2)*EC189+(1-EXP(-LN(2)/2))/(LN(2)/2)*DW190*DZ190*VLOOKUP('Données projet'!$B$14,Paramètres!$A$1:$I$89,3,0)*0.475*44/12</f>
        <v>1.5479393051753215E-23</v>
      </c>
      <c r="ED190" s="22">
        <f t="shared" si="178"/>
        <v>4.2725595986307E-2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-1.1368683772161603E-13</v>
      </c>
      <c r="EK190" s="17">
        <f>EJ190*VLOOKUP('Données projet'!$B$15,Paramètres!$A$1:$I$89,3,0)*VLOOKUP('Données projet'!$B$15,Paramètres!$A$1:$I$89,5,0)</f>
        <v>-5.3205440053716299E-14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123.60520571614535</v>
      </c>
      <c r="EP190" s="59">
        <f t="shared" si="154"/>
        <v>119.00926870519527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3.8711149149894597E-2</v>
      </c>
      <c r="EW190" s="21">
        <f>EXP(-LN(2)/25)*EW189+(1-EXP(-LN(2)/25))/(LN(2)/25)*Calculateur!ER190*Calculateur!ET190*VLOOKUP('Données projet'!$B$15,Paramètres!$A$1:$I$89,3,0)*0.475*44/12</f>
        <v>6.1470236685087137E-2</v>
      </c>
      <c r="EX190" s="21">
        <f>EXP(-LN(2)/2)*EX189+(1-EXP(-LN(2)/2))/(LN(2)/2)*ER190*EU190*VLOOKUP('Données projet'!$B$15,Paramètres!$A$1:$I$89,3,0)*0.475*44/12</f>
        <v>1.4303759838081276E-23</v>
      </c>
      <c r="EY190" s="22">
        <f t="shared" si="181"/>
        <v>0.10018138583498173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-8.5265128291212022E-14</v>
      </c>
      <c r="FF190" s="17">
        <f>FE190*VLOOKUP('Données projet'!$B$16,Paramètres!$A$1:$I$89,3,0)*VLOOKUP('Données projet'!$B$16,Paramètres!$A$1:$I$89,5,0)</f>
        <v>-6.2516392063116648E-14</v>
      </c>
      <c r="FG190" s="13" t="e">
        <f t="shared" si="182"/>
        <v>#NUM!</v>
      </c>
      <c r="FH190" s="20" t="e">
        <f t="shared" si="183"/>
        <v>#NUM!</v>
      </c>
      <c r="FI190" s="59" t="e">
        <f t="shared" si="131"/>
        <v>#NUM!</v>
      </c>
      <c r="FJ190" s="59">
        <f ca="1">AVERAGE(OFFSET($FI$3,0,0,'Données projet'!$E$16+1,1))-AVERAGE(OFFSET($H$3,0,0,'Données projet'!$E$16+1,1))</f>
        <v>124.15919323713428</v>
      </c>
      <c r="FK190" s="59">
        <f t="shared" si="156"/>
        <v>157.85954678210715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0</v>
      </c>
      <c r="FR190" s="21">
        <f>EXP(-LN(2)/25)*FR189+(1-EXP(-LN(2)/25))/(LN(2)/25)*Calculateur!FM190*Calculateur!FO190*VLOOKUP('Données projet'!$B$16,Paramètres!$A$1:$I$89,3,0)*0.475*44/12</f>
        <v>6.4682610674905369E-2</v>
      </c>
      <c r="FS190" s="21">
        <f>EXP(-LN(2)/2)*FS189+(1-EXP(-LN(2)/2))/(LN(2)/2)*FM190*FP190*VLOOKUP('Données projet'!$B$16,Paramètres!$A$1:$I$89,3,0)*0.475*44/12</f>
        <v>1.7260158183315275E-23</v>
      </c>
      <c r="FT190" s="22">
        <f t="shared" si="184"/>
        <v>6.4682610674905369E-2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-1.1368683772161603E-13</v>
      </c>
      <c r="O191" s="13">
        <f>N191*VLOOKUP('Données projet'!$B$9,Paramètres!$A$1:$I$89,3,0)*VLOOKUP('Données projet'!$B$9,Paramètres!$A$1:$I$89,5,0)</f>
        <v>-1.0286385077051818E-13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237.22177246688199</v>
      </c>
      <c r="T191" s="59">
        <f t="shared" si="142"/>
        <v>149.27472147904302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</v>
      </c>
      <c r="AA191" s="21">
        <f>EXP(-LN(2)/25)*AA190+(1-EXP(-LN(2)/25))/(LN(2)/25)*Calculateur!V191*Calculateur!X191*VLOOKUP('Données projet'!$B$9,Paramètres!$A$1:$I$89,3,0)*0.475*44/12</f>
        <v>3.8876148619334881E-2</v>
      </c>
      <c r="AB191" s="21">
        <f>EXP(-LN(2)/2)*AB190+(1-EXP(-LN(2)/2))/(LN(2)/2)*V191*Y191*VLOOKUP('Données projet'!$B$9,Paramètres!$A$1:$I$89,3,0)*0.475*44/12</f>
        <v>1.0239417099059748E-23</v>
      </c>
      <c r="AC191" s="22">
        <f t="shared" si="163"/>
        <v>3.8876148619334881E-2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-8.5265128291212022E-14</v>
      </c>
      <c r="AJ191" s="13">
        <f>AI191*VLOOKUP('Données projet'!$B$10,Paramètres!$A$1:$I$89,3,0)*VLOOKUP('Données projet'!$B$10,Paramètres!$A$1:$I$89,5,0)</f>
        <v>-7.4487616075202836E-14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191.94797389630673</v>
      </c>
      <c r="AO191" s="59">
        <f t="shared" si="144"/>
        <v>273.52540822767878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0.1126638198481493</v>
      </c>
      <c r="AV191" s="21">
        <f>EXP(-LN(2)/25)*AV190+(1-EXP(-LN(2)/25))/(LN(2)/25)*Calculateur!AQ191*Calculateur!AS191*VLOOKUP('Données projet'!$B$10,Paramètres!$A$1:$I$89,3,0)*0.475*44/12</f>
        <v>0.17583672876062961</v>
      </c>
      <c r="AW191" s="21">
        <f>EXP(-LN(2)/2)*AW190+(1-EXP(-LN(2)/2))/(LN(2)/2)*AQ191*AT191*VLOOKUP('Données projet'!$B$10,Paramètres!$A$1:$I$89,3,0)*0.475*44/12</f>
        <v>3.8386247597997112E-23</v>
      </c>
      <c r="AX191" s="21">
        <f t="shared" si="166"/>
        <v>0.28850054860877894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72.647148358003676</v>
      </c>
      <c r="BJ191" s="59">
        <f t="shared" si="146"/>
        <v>87.231299224620898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5.5682125535466948E-2</v>
      </c>
      <c r="BQ191" s="21">
        <f>EXP(-LN(2)/25)*BQ190+(1-EXP(-LN(2)/25))/(LN(2)/25)*Calculateur!BL191*Calculateur!BN191*VLOOKUP('Données projet'!$B$11,Paramètres!$A$1:$I$89,3,0)*0.475*44/12</f>
        <v>5.6714845477901898E-2</v>
      </c>
      <c r="BR191" s="21">
        <f>EXP(-LN(2)/2)*BR190+(1-EXP(-LN(2)/2))/(LN(2)/2)*BL191*BO191*VLOOKUP('Données projet'!$B$11,Paramètres!$A$1:$I$89,3,0)*0.475*44/12</f>
        <v>3.77342609325338E-24</v>
      </c>
      <c r="BS191" s="22">
        <f t="shared" si="169"/>
        <v>0.11239697101336885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5.6843418860808015E-14</v>
      </c>
      <c r="BZ191" s="13">
        <f>BY191*VLOOKUP('Données projet'!$B$12,Paramètres!$A$1:$I$89,3,0)*VLOOKUP('Données projet'!$B$12,Paramètres!$A$1:$I$89,5,0)</f>
        <v>3.3992364478763198E-14</v>
      </c>
      <c r="CA191" s="13">
        <f t="shared" si="170"/>
        <v>5.790027782444094E-13</v>
      </c>
      <c r="CB191" s="20">
        <f t="shared" si="171"/>
        <v>1.0676332069095257E-12</v>
      </c>
      <c r="CC191" s="59">
        <f t="shared" si="119"/>
        <v>293.33333333333439</v>
      </c>
      <c r="CD191" s="59">
        <f ca="1">AVERAGE(OFFSET($CC$3,0,0,'Données projet'!$E$12+1,1))-AVERAGE(OFFSET($H$3,0,0,'Données projet'!$E$12+1,1))</f>
        <v>165.39579887388538</v>
      </c>
      <c r="CE191" s="59">
        <f t="shared" si="148"/>
        <v>155.89639262545802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</v>
      </c>
      <c r="CL191" s="21">
        <f>EXP(-LN(2)/25)*CL190+(1-EXP(-LN(2)/25))/(LN(2)/25)*Calculateur!CG191*Calculateur!CI191*VLOOKUP('Données projet'!$B$12,Paramètres!$A$1:$I$89,3,0)*0.475*44/12</f>
        <v>9.1237417618088693E-2</v>
      </c>
      <c r="CM191" s="21">
        <f>EXP(-LN(2)/2)*CM190+(1-EXP(-LN(2)/2))/(LN(2)/2)*CG191*CJ191*VLOOKUP('Données projet'!$B$12,Paramètres!$A$1:$I$89,3,0)*0.475*44/12</f>
        <v>2.2962592923694042E-23</v>
      </c>
      <c r="CN191" s="22">
        <f t="shared" si="172"/>
        <v>9.1237417618088693E-2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3.4106051316484809E-13</v>
      </c>
      <c r="CU191" s="17">
        <f>CT191*VLOOKUP('Données projet'!$B$13,Paramètres!$A$1:$I$89,3,0)*VLOOKUP('Données projet'!$B$13,Paramètres!$A$1:$I$89,5,0)</f>
        <v>2.6602720026858149E-13</v>
      </c>
      <c r="CV191" s="13">
        <f t="shared" si="173"/>
        <v>3.5662905043956649E-12</v>
      </c>
      <c r="CW191" s="20">
        <f t="shared" si="174"/>
        <v>6.6746200022902298E-12</v>
      </c>
      <c r="CX191" s="59">
        <f t="shared" si="122"/>
        <v>293.33333333333997</v>
      </c>
      <c r="CY191" s="59">
        <f ca="1">AVERAGE(OFFSET($CX$3,0,0,'Données projet'!$E$13+1,1))-AVERAGE(OFFSET($H$3,0,0,'Données projet'!$E$13+1,1))</f>
        <v>190.06335940156185</v>
      </c>
      <c r="CZ191" s="59">
        <f t="shared" si="150"/>
        <v>166.43663896839928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</v>
      </c>
      <c r="DG191" s="21">
        <f>EXP(-LN(2)/25)*DG190+(1-EXP(-LN(2)/25))/(LN(2)/25)*Calculateur!DB191*Calculateur!DD191*VLOOKUP('Données projet'!$B$13,Paramètres!$A$1:$I$89,3,0)*0.475*44/12</f>
        <v>5.5905168046543378E-2</v>
      </c>
      <c r="DH191" s="21">
        <f>EXP(-LN(2)/2)*DH190+(1-EXP(-LN(2)/2))/(LN(2)/2)*DB191*DE191*VLOOKUP('Données projet'!$B$13,Paramètres!$A$1:$I$89,3,0)*0.475*44/12</f>
        <v>8.8117877300961262E-24</v>
      </c>
      <c r="DI191" s="22">
        <f t="shared" si="175"/>
        <v>5.5905168046543378E-2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-1.1368683772161603E-13</v>
      </c>
      <c r="DP191" s="17">
        <f>DO191*VLOOKUP('Données projet'!$B$14,Paramètres!$A$1:$I$89,3,0)*VLOOKUP('Données projet'!$B$14,Paramètres!$A$1:$I$89,5,0)</f>
        <v>-1.0995790944434703E-13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261.22357949323879</v>
      </c>
      <c r="DU191" s="59">
        <f t="shared" si="152"/>
        <v>163.41029152029387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0</v>
      </c>
      <c r="EB191" s="21">
        <f>EXP(-LN(2)/25)*EB190+(1-EXP(-LN(2)/25))/(LN(2)/25)*Calculateur!DW191*Calculateur!DY191*VLOOKUP('Données projet'!$B$14,Paramètres!$A$1:$I$89,3,0)*0.475*44/12</f>
        <v>4.1557262317219991E-2</v>
      </c>
      <c r="EC191" s="21">
        <f>EXP(-LN(2)/2)*EC190+(1-EXP(-LN(2)/2))/(LN(2)/2)*DW191*DZ191*VLOOKUP('Données projet'!$B$14,Paramètres!$A$1:$I$89,3,0)*0.475*44/12</f>
        <v>1.0945583795546625E-23</v>
      </c>
      <c r="ED191" s="22">
        <f t="shared" si="178"/>
        <v>4.1557262317219991E-2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-1.1368683772161603E-13</v>
      </c>
      <c r="EK191" s="17">
        <f>EJ191*VLOOKUP('Données projet'!$B$15,Paramètres!$A$1:$I$89,3,0)*VLOOKUP('Données projet'!$B$15,Paramètres!$A$1:$I$89,5,0)</f>
        <v>-5.3205440053716299E-14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123.60520571614535</v>
      </c>
      <c r="EP191" s="59">
        <f t="shared" si="154"/>
        <v>119.00926870519527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3.7952047126534709E-2</v>
      </c>
      <c r="EW191" s="21">
        <f>EXP(-LN(2)/25)*EW190+(1-EXP(-LN(2)/25))/(LN(2)/25)*Calculateur!ER191*Calculateur!ET191*VLOOKUP('Données projet'!$B$15,Paramètres!$A$1:$I$89,3,0)*0.475*44/12</f>
        <v>5.9789329830354176E-2</v>
      </c>
      <c r="EX191" s="21">
        <f>EXP(-LN(2)/2)*EX190+(1-EXP(-LN(2)/2))/(LN(2)/2)*ER191*EU191*VLOOKUP('Données projet'!$B$15,Paramètres!$A$1:$I$89,3,0)*0.475*44/12</f>
        <v>1.0114285577971063E-23</v>
      </c>
      <c r="EY191" s="22">
        <f t="shared" si="181"/>
        <v>9.7741376956888892E-2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-8.5265128291212022E-14</v>
      </c>
      <c r="FF191" s="17">
        <f>FE191*VLOOKUP('Données projet'!$B$16,Paramètres!$A$1:$I$89,3,0)*VLOOKUP('Données projet'!$B$16,Paramètres!$A$1:$I$89,5,0)</f>
        <v>-6.2516392063116648E-14</v>
      </c>
      <c r="FG191" s="13" t="e">
        <f t="shared" si="182"/>
        <v>#NUM!</v>
      </c>
      <c r="FH191" s="20" t="e">
        <f t="shared" si="183"/>
        <v>#NUM!</v>
      </c>
      <c r="FI191" s="59" t="e">
        <f t="shared" si="131"/>
        <v>#NUM!</v>
      </c>
      <c r="FJ191" s="59">
        <f ca="1">AVERAGE(OFFSET($FI$3,0,0,'Données projet'!$E$16+1,1))-AVERAGE(OFFSET($H$3,0,0,'Données projet'!$E$16+1,1))</f>
        <v>124.15919323713428</v>
      </c>
      <c r="FK191" s="59">
        <f t="shared" si="156"/>
        <v>157.85954678210715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0</v>
      </c>
      <c r="FR191" s="21">
        <f>EXP(-LN(2)/25)*FR190+(1-EXP(-LN(2)/25))/(LN(2)/25)*Calculateur!FM191*Calculateur!FO191*VLOOKUP('Données projet'!$B$16,Paramètres!$A$1:$I$89,3,0)*0.475*44/12</f>
        <v>6.291386128448942E-2</v>
      </c>
      <c r="FS191" s="21">
        <f>EXP(-LN(2)/2)*FS190+(1-EXP(-LN(2)/2))/(LN(2)/2)*FM191*FP191*VLOOKUP('Données projet'!$B$16,Paramètres!$A$1:$I$89,3,0)*0.475*44/12</f>
        <v>1.2204774895774712E-23</v>
      </c>
      <c r="FT191" s="22">
        <f t="shared" si="184"/>
        <v>6.291386128448942E-2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-1.1368683772161603E-13</v>
      </c>
      <c r="O192" s="13">
        <f>N192*VLOOKUP('Données projet'!$B$9,Paramètres!$A$1:$I$89,3,0)*VLOOKUP('Données projet'!$B$9,Paramètres!$A$1:$I$89,5,0)</f>
        <v>-1.0286385077051818E-13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237.22177246688199</v>
      </c>
      <c r="T192" s="59">
        <f t="shared" si="142"/>
        <v>149.27472147904302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</v>
      </c>
      <c r="AA192" s="21">
        <f>EXP(-LN(2)/25)*AA191+(1-EXP(-LN(2)/25))/(LN(2)/25)*Calculateur!V192*Calculateur!X192*VLOOKUP('Données projet'!$B$9,Paramètres!$A$1:$I$89,3,0)*0.475*44/12</f>
        <v>3.7813078290931362E-2</v>
      </c>
      <c r="AB192" s="21">
        <f>EXP(-LN(2)/2)*AB191+(1-EXP(-LN(2)/2))/(LN(2)/2)*V192*Y192*VLOOKUP('Données projet'!$B$9,Paramètres!$A$1:$I$89,3,0)*0.475*44/12</f>
        <v>7.2403612661426344E-24</v>
      </c>
      <c r="AC192" s="22">
        <f t="shared" si="163"/>
        <v>3.7813078290931362E-2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-8.5265128291212022E-14</v>
      </c>
      <c r="AJ192" s="13">
        <f>AI192*VLOOKUP('Données projet'!$B$10,Paramètres!$A$1:$I$89,3,0)*VLOOKUP('Données projet'!$B$10,Paramètres!$A$1:$I$89,5,0)</f>
        <v>-7.4487616075202836E-14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191.94797389630673</v>
      </c>
      <c r="AO192" s="59">
        <f t="shared" si="144"/>
        <v>273.52540822767878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0.11045455105907184</v>
      </c>
      <c r="AV192" s="21">
        <f>EXP(-LN(2)/25)*AV191+(1-EXP(-LN(2)/25))/(LN(2)/25)*Calculateur!AQ192*Calculateur!AS192*VLOOKUP('Données projet'!$B$10,Paramètres!$A$1:$I$89,3,0)*0.475*44/12</f>
        <v>0.17102846416581852</v>
      </c>
      <c r="AW192" s="21">
        <f>EXP(-LN(2)/2)*AW191+(1-EXP(-LN(2)/2))/(LN(2)/2)*AQ192*AT192*VLOOKUP('Données projet'!$B$10,Paramètres!$A$1:$I$89,3,0)*0.475*44/12</f>
        <v>2.7143175980849578E-23</v>
      </c>
      <c r="AX192" s="21">
        <f t="shared" si="166"/>
        <v>0.28148301522489039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72.647148358003676</v>
      </c>
      <c r="BJ192" s="59">
        <f t="shared" si="146"/>
        <v>87.231299224620898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5.4590233016459475E-2</v>
      </c>
      <c r="BQ192" s="21">
        <f>EXP(-LN(2)/25)*BQ191+(1-EXP(-LN(2)/25))/(LN(2)/25)*Calculateur!BL192*Calculateur!BN192*VLOOKUP('Données projet'!$B$11,Paramètres!$A$1:$I$89,3,0)*0.475*44/12</f>
        <v>5.5163975045804572E-2</v>
      </c>
      <c r="BR192" s="21">
        <f>EXP(-LN(2)/2)*BR191+(1-EXP(-LN(2)/2))/(LN(2)/2)*BL192*BO192*VLOOKUP('Données projet'!$B$11,Paramètres!$A$1:$I$89,3,0)*0.475*44/12</f>
        <v>2.6682151788457266E-24</v>
      </c>
      <c r="BS192" s="22">
        <f t="shared" si="169"/>
        <v>0.10975420806226405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5.6843418860808015E-14</v>
      </c>
      <c r="BZ192" s="13">
        <f>BY192*VLOOKUP('Données projet'!$B$12,Paramètres!$A$1:$I$89,3,0)*VLOOKUP('Données projet'!$B$12,Paramètres!$A$1:$I$89,5,0)</f>
        <v>3.3992364478763198E-14</v>
      </c>
      <c r="CA192" s="13">
        <f t="shared" si="170"/>
        <v>5.790027782444094E-13</v>
      </c>
      <c r="CB192" s="20">
        <f t="shared" si="171"/>
        <v>1.0676332069095257E-12</v>
      </c>
      <c r="CC192" s="59">
        <f t="shared" si="119"/>
        <v>293.33333333333439</v>
      </c>
      <c r="CD192" s="59">
        <f ca="1">AVERAGE(OFFSET($CC$3,0,0,'Données projet'!$E$12+1,1))-AVERAGE(OFFSET($H$3,0,0,'Données projet'!$E$12+1,1))</f>
        <v>165.39579887388538</v>
      </c>
      <c r="CE192" s="59">
        <f t="shared" si="148"/>
        <v>155.89639262545802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</v>
      </c>
      <c r="CL192" s="21">
        <f>EXP(-LN(2)/25)*CL191+(1-EXP(-LN(2)/25))/(LN(2)/25)*Calculateur!CG192*Calculateur!CI192*VLOOKUP('Données projet'!$B$12,Paramètres!$A$1:$I$89,3,0)*0.475*44/12</f>
        <v>8.8742525635354785E-2</v>
      </c>
      <c r="CM192" s="21">
        <f>EXP(-LN(2)/2)*CM191+(1-EXP(-LN(2)/2))/(LN(2)/2)*CG192*CJ192*VLOOKUP('Données projet'!$B$12,Paramètres!$A$1:$I$89,3,0)*0.475*44/12</f>
        <v>1.6237005169970287E-23</v>
      </c>
      <c r="CN192" s="22">
        <f t="shared" si="172"/>
        <v>8.8742525635354785E-2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3.4106051316484809E-13</v>
      </c>
      <c r="CU192" s="17">
        <f>CT192*VLOOKUP('Données projet'!$B$13,Paramètres!$A$1:$I$89,3,0)*VLOOKUP('Données projet'!$B$13,Paramètres!$A$1:$I$89,5,0)</f>
        <v>2.6602720026858149E-13</v>
      </c>
      <c r="CV192" s="13">
        <f t="shared" si="173"/>
        <v>3.5662905043956649E-12</v>
      </c>
      <c r="CW192" s="20">
        <f t="shared" si="174"/>
        <v>6.6746200022902298E-12</v>
      </c>
      <c r="CX192" s="59">
        <f t="shared" si="122"/>
        <v>293.33333333333997</v>
      </c>
      <c r="CY192" s="59">
        <f ca="1">AVERAGE(OFFSET($CX$3,0,0,'Données projet'!$E$13+1,1))-AVERAGE(OFFSET($H$3,0,0,'Données projet'!$E$13+1,1))</f>
        <v>190.06335940156185</v>
      </c>
      <c r="CZ192" s="59">
        <f t="shared" si="150"/>
        <v>166.43663896839928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</v>
      </c>
      <c r="DG192" s="21">
        <f>EXP(-LN(2)/25)*DG191+(1-EXP(-LN(2)/25))/(LN(2)/25)*Calculateur!DB192*Calculateur!DD192*VLOOKUP('Données projet'!$B$13,Paramètres!$A$1:$I$89,3,0)*0.475*44/12</f>
        <v>5.4376438286385637E-2</v>
      </c>
      <c r="DH192" s="21">
        <f>EXP(-LN(2)/2)*DH191+(1-EXP(-LN(2)/2))/(LN(2)/2)*DB192*DE192*VLOOKUP('Données projet'!$B$13,Paramètres!$A$1:$I$89,3,0)*0.475*44/12</f>
        <v>6.2308748583273859E-24</v>
      </c>
      <c r="DI192" s="22">
        <f t="shared" si="175"/>
        <v>5.4376438286385637E-2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-1.1368683772161603E-13</v>
      </c>
      <c r="DP192" s="17">
        <f>DO192*VLOOKUP('Données projet'!$B$14,Paramètres!$A$1:$I$89,3,0)*VLOOKUP('Données projet'!$B$14,Paramètres!$A$1:$I$89,5,0)</f>
        <v>-1.0995790944434703E-13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261.22357949323879</v>
      </c>
      <c r="DU192" s="59">
        <f t="shared" si="152"/>
        <v>163.41029152029387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0</v>
      </c>
      <c r="EB192" s="21">
        <f>EXP(-LN(2)/25)*EB191+(1-EXP(-LN(2)/25))/(LN(2)/25)*Calculateur!DW192*Calculateur!DY192*VLOOKUP('Données projet'!$B$14,Paramètres!$A$1:$I$89,3,0)*0.475*44/12</f>
        <v>4.0420876793754168E-2</v>
      </c>
      <c r="EC192" s="21">
        <f>EXP(-LN(2)/2)*EC191+(1-EXP(-LN(2)/2))/(LN(2)/2)*DW192*DZ192*VLOOKUP('Données projet'!$B$14,Paramètres!$A$1:$I$89,3,0)*0.475*44/12</f>
        <v>7.7396965258766076E-24</v>
      </c>
      <c r="ED192" s="22">
        <f t="shared" si="178"/>
        <v>4.0420876793754168E-2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-1.1368683772161603E-13</v>
      </c>
      <c r="EK192" s="17">
        <f>EJ192*VLOOKUP('Données projet'!$B$15,Paramètres!$A$1:$I$89,3,0)*VLOOKUP('Données projet'!$B$15,Paramètres!$A$1:$I$89,5,0)</f>
        <v>-5.3205440053716299E-14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123.60520571614535</v>
      </c>
      <c r="EP192" s="59">
        <f t="shared" si="154"/>
        <v>119.00926870519527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3.7207830630846386E-2</v>
      </c>
      <c r="EW192" s="21">
        <f>EXP(-LN(2)/25)*EW191+(1-EXP(-LN(2)/25))/(LN(2)/25)*Calculateur!ER192*Calculateur!ET192*VLOOKUP('Données projet'!$B$15,Paramètres!$A$1:$I$89,3,0)*0.475*44/12</f>
        <v>5.8154387461958938E-2</v>
      </c>
      <c r="EX192" s="21">
        <f>EXP(-LN(2)/2)*EX191+(1-EXP(-LN(2)/2))/(LN(2)/2)*ER192*EU192*VLOOKUP('Données projet'!$B$15,Paramètres!$A$1:$I$89,3,0)*0.475*44/12</f>
        <v>7.1518799190406378E-24</v>
      </c>
      <c r="EY192" s="22">
        <f t="shared" si="181"/>
        <v>9.5362218092805318E-2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-8.5265128291212022E-14</v>
      </c>
      <c r="FF192" s="17">
        <f>FE192*VLOOKUP('Données projet'!$B$16,Paramètres!$A$1:$I$89,3,0)*VLOOKUP('Données projet'!$B$16,Paramètres!$A$1:$I$89,5,0)</f>
        <v>-6.2516392063116648E-14</v>
      </c>
      <c r="FG192" s="13" t="e">
        <f t="shared" si="182"/>
        <v>#NUM!</v>
      </c>
      <c r="FH192" s="20" t="e">
        <f t="shared" si="183"/>
        <v>#NUM!</v>
      </c>
      <c r="FI192" s="59" t="e">
        <f t="shared" si="131"/>
        <v>#NUM!</v>
      </c>
      <c r="FJ192" s="59">
        <f ca="1">AVERAGE(OFFSET($FI$3,0,0,'Données projet'!$E$16+1,1))-AVERAGE(OFFSET($H$3,0,0,'Données projet'!$E$16+1,1))</f>
        <v>124.15919323713428</v>
      </c>
      <c r="FK192" s="59">
        <f t="shared" si="156"/>
        <v>157.85954678210715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0</v>
      </c>
      <c r="FR192" s="21">
        <f>EXP(-LN(2)/25)*FR191+(1-EXP(-LN(2)/25))/(LN(2)/25)*Calculateur!FM192*Calculateur!FO192*VLOOKUP('Données projet'!$B$16,Paramètres!$A$1:$I$89,3,0)*0.475*44/12</f>
        <v>6.1193478439168884E-2</v>
      </c>
      <c r="FS192" s="21">
        <f>EXP(-LN(2)/2)*FS191+(1-EXP(-LN(2)/2))/(LN(2)/2)*FM192*FP192*VLOOKUP('Données projet'!$B$16,Paramètres!$A$1:$I$89,3,0)*0.475*44/12</f>
        <v>8.6300790916576374E-24</v>
      </c>
      <c r="FT192" s="22">
        <f t="shared" si="184"/>
        <v>6.1193478439168884E-2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-1.1368683772161603E-13</v>
      </c>
      <c r="O193" s="13">
        <f>N193*VLOOKUP('Données projet'!$B$9,Paramètres!$A$1:$I$89,3,0)*VLOOKUP('Données projet'!$B$9,Paramètres!$A$1:$I$89,5,0)</f>
        <v>-1.0286385077051818E-13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237.22177246688199</v>
      </c>
      <c r="T193" s="59">
        <f t="shared" si="142"/>
        <v>149.27472147904302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</v>
      </c>
      <c r="AA193" s="21">
        <f>EXP(-LN(2)/25)*AA192+(1-EXP(-LN(2)/25))/(LN(2)/25)*Calculateur!V193*Calculateur!X193*VLOOKUP('Données projet'!$B$9,Paramètres!$A$1:$I$89,3,0)*0.475*44/12</f>
        <v>3.677907767656248E-2</v>
      </c>
      <c r="AB193" s="21">
        <f>EXP(-LN(2)/2)*AB192+(1-EXP(-LN(2)/2))/(LN(2)/2)*V193*Y193*VLOOKUP('Données projet'!$B$9,Paramètres!$A$1:$I$89,3,0)*0.475*44/12</f>
        <v>5.119708549529874E-24</v>
      </c>
      <c r="AC193" s="22">
        <f t="shared" si="163"/>
        <v>3.677907767656248E-2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-8.5265128291212022E-14</v>
      </c>
      <c r="AJ193" s="13">
        <f>AI193*VLOOKUP('Données projet'!$B$10,Paramètres!$A$1:$I$89,3,0)*VLOOKUP('Données projet'!$B$10,Paramètres!$A$1:$I$89,5,0)</f>
        <v>-7.4487616075202836E-14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191.94797389630673</v>
      </c>
      <c r="AO193" s="59">
        <f t="shared" si="144"/>
        <v>273.52540822767878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0.1082886046834273</v>
      </c>
      <c r="AV193" s="21">
        <f>EXP(-LN(2)/25)*AV192+(1-EXP(-LN(2)/25))/(LN(2)/25)*Calculateur!AQ193*Calculateur!AS193*VLOOKUP('Données projet'!$B$10,Paramètres!$A$1:$I$89,3,0)*0.475*44/12</f>
        <v>0.16635168181920817</v>
      </c>
      <c r="AW193" s="21">
        <f>EXP(-LN(2)/2)*AW192+(1-EXP(-LN(2)/2))/(LN(2)/2)*AQ193*AT193*VLOOKUP('Données projet'!$B$10,Paramètres!$A$1:$I$89,3,0)*0.475*44/12</f>
        <v>1.9193123798998556E-23</v>
      </c>
      <c r="AX193" s="21">
        <f t="shared" si="166"/>
        <v>0.2746402865026355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72.647148358003676</v>
      </c>
      <c r="BJ193" s="59">
        <f t="shared" si="146"/>
        <v>87.231299224620898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5.3519751843761065E-2</v>
      </c>
      <c r="BQ193" s="21">
        <f>EXP(-LN(2)/25)*BQ192+(1-EXP(-LN(2)/25))/(LN(2)/25)*Calculateur!BL193*Calculateur!BN193*VLOOKUP('Données projet'!$B$11,Paramètres!$A$1:$I$89,3,0)*0.475*44/12</f>
        <v>5.3655513247229676E-2</v>
      </c>
      <c r="BR193" s="21">
        <f>EXP(-LN(2)/2)*BR192+(1-EXP(-LN(2)/2))/(LN(2)/2)*BL193*BO193*VLOOKUP('Données projet'!$B$11,Paramètres!$A$1:$I$89,3,0)*0.475*44/12</f>
        <v>1.88671304662669E-24</v>
      </c>
      <c r="BS193" s="22">
        <f t="shared" si="169"/>
        <v>0.10717526509099073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5.6843418860808015E-14</v>
      </c>
      <c r="BZ193" s="13">
        <f>BY193*VLOOKUP('Données projet'!$B$12,Paramètres!$A$1:$I$89,3,0)*VLOOKUP('Données projet'!$B$12,Paramètres!$A$1:$I$89,5,0)</f>
        <v>3.3992364478763198E-14</v>
      </c>
      <c r="CA193" s="13">
        <f t="shared" si="170"/>
        <v>5.790027782444094E-13</v>
      </c>
      <c r="CB193" s="20">
        <f t="shared" si="171"/>
        <v>1.0676332069095257E-12</v>
      </c>
      <c r="CC193" s="59">
        <f t="shared" si="119"/>
        <v>293.33333333333439</v>
      </c>
      <c r="CD193" s="59">
        <f ca="1">AVERAGE(OFFSET($CC$3,0,0,'Données projet'!$E$12+1,1))-AVERAGE(OFFSET($H$3,0,0,'Données projet'!$E$12+1,1))</f>
        <v>165.39579887388538</v>
      </c>
      <c r="CE193" s="59">
        <f t="shared" si="148"/>
        <v>155.89639262545802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</v>
      </c>
      <c r="CL193" s="21">
        <f>EXP(-LN(2)/25)*CL192+(1-EXP(-LN(2)/25))/(LN(2)/25)*Calculateur!CG193*Calculateur!CI193*VLOOKUP('Données projet'!$B$12,Paramètres!$A$1:$I$89,3,0)*0.475*44/12</f>
        <v>8.6315856605089405E-2</v>
      </c>
      <c r="CM193" s="21">
        <f>EXP(-LN(2)/2)*CM192+(1-EXP(-LN(2)/2))/(LN(2)/2)*CG193*CJ193*VLOOKUP('Données projet'!$B$12,Paramètres!$A$1:$I$89,3,0)*0.475*44/12</f>
        <v>1.1481296461847021E-23</v>
      </c>
      <c r="CN193" s="22">
        <f t="shared" si="172"/>
        <v>8.6315856605089405E-2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3.4106051316484809E-13</v>
      </c>
      <c r="CU193" s="17">
        <f>CT193*VLOOKUP('Données projet'!$B$13,Paramètres!$A$1:$I$89,3,0)*VLOOKUP('Données projet'!$B$13,Paramètres!$A$1:$I$89,5,0)</f>
        <v>2.6602720026858149E-13</v>
      </c>
      <c r="CV193" s="13">
        <f t="shared" si="173"/>
        <v>3.5662905043956649E-12</v>
      </c>
      <c r="CW193" s="20">
        <f t="shared" si="174"/>
        <v>6.6746200022902298E-12</v>
      </c>
      <c r="CX193" s="59">
        <f t="shared" si="122"/>
        <v>293.33333333333997</v>
      </c>
      <c r="CY193" s="59">
        <f ca="1">AVERAGE(OFFSET($CX$3,0,0,'Données projet'!$E$13+1,1))-AVERAGE(OFFSET($H$3,0,0,'Données projet'!$E$13+1,1))</f>
        <v>190.06335940156185</v>
      </c>
      <c r="CZ193" s="59">
        <f t="shared" si="150"/>
        <v>166.43663896839928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</v>
      </c>
      <c r="DG193" s="21">
        <f>EXP(-LN(2)/25)*DG192+(1-EXP(-LN(2)/25))/(LN(2)/25)*Calculateur!DB193*Calculateur!DD193*VLOOKUP('Données projet'!$B$13,Paramètres!$A$1:$I$89,3,0)*0.475*44/12</f>
        <v>5.2889511721911808E-2</v>
      </c>
      <c r="DH193" s="21">
        <f>EXP(-LN(2)/2)*DH192+(1-EXP(-LN(2)/2))/(LN(2)/2)*DB193*DE193*VLOOKUP('Données projet'!$B$13,Paramètres!$A$1:$I$89,3,0)*0.475*44/12</f>
        <v>4.4058938650480631E-24</v>
      </c>
      <c r="DI193" s="22">
        <f t="shared" si="175"/>
        <v>5.2889511721911808E-2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-1.1368683772161603E-13</v>
      </c>
      <c r="DP193" s="17">
        <f>DO193*VLOOKUP('Données projet'!$B$14,Paramètres!$A$1:$I$89,3,0)*VLOOKUP('Données projet'!$B$14,Paramètres!$A$1:$I$89,5,0)</f>
        <v>-1.0995790944434703E-13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261.22357949323879</v>
      </c>
      <c r="DU193" s="59">
        <f t="shared" si="152"/>
        <v>163.41029152029387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0</v>
      </c>
      <c r="EB193" s="21">
        <f>EXP(-LN(2)/25)*EB192+(1-EXP(-LN(2)/25))/(LN(2)/25)*Calculateur!DW193*Calculateur!DY193*VLOOKUP('Données projet'!$B$14,Paramètres!$A$1:$I$89,3,0)*0.475*44/12</f>
        <v>3.931556579218743E-2</v>
      </c>
      <c r="EC193" s="21">
        <f>EXP(-LN(2)/2)*EC192+(1-EXP(-LN(2)/2))/(LN(2)/2)*DW193*DZ193*VLOOKUP('Données projet'!$B$14,Paramètres!$A$1:$I$89,3,0)*0.475*44/12</f>
        <v>5.4727918977733126E-24</v>
      </c>
      <c r="ED193" s="22">
        <f t="shared" si="178"/>
        <v>3.931556579218743E-2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-1.1368683772161603E-13</v>
      </c>
      <c r="EK193" s="17">
        <f>EJ193*VLOOKUP('Données projet'!$B$15,Paramètres!$A$1:$I$89,3,0)*VLOOKUP('Données projet'!$B$15,Paramètres!$A$1:$I$89,5,0)</f>
        <v>-5.3205440053716299E-14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123.60520571614535</v>
      </c>
      <c r="EP193" s="59">
        <f t="shared" si="154"/>
        <v>119.00926870519527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3.6478207766711276E-2</v>
      </c>
      <c r="EW193" s="21">
        <f>EXP(-LN(2)/25)*EW192+(1-EXP(-LN(2)/25))/(LN(2)/25)*Calculateur!ER193*Calculateur!ET193*VLOOKUP('Données projet'!$B$15,Paramètres!$A$1:$I$89,3,0)*0.475*44/12</f>
        <v>5.6564152678605345E-2</v>
      </c>
      <c r="EX193" s="21">
        <f>EXP(-LN(2)/2)*EX192+(1-EXP(-LN(2)/2))/(LN(2)/2)*ER193*EU193*VLOOKUP('Données projet'!$B$15,Paramètres!$A$1:$I$89,3,0)*0.475*44/12</f>
        <v>5.0571427889855316E-24</v>
      </c>
      <c r="EY193" s="22">
        <f t="shared" si="181"/>
        <v>9.3042360445316621E-2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-8.5265128291212022E-14</v>
      </c>
      <c r="FF193" s="17">
        <f>FE193*VLOOKUP('Données projet'!$B$16,Paramètres!$A$1:$I$89,3,0)*VLOOKUP('Données projet'!$B$16,Paramètres!$A$1:$I$89,5,0)</f>
        <v>-6.2516392063116648E-14</v>
      </c>
      <c r="FG193" s="13" t="e">
        <f t="shared" si="182"/>
        <v>#NUM!</v>
      </c>
      <c r="FH193" s="20" t="e">
        <f t="shared" si="183"/>
        <v>#NUM!</v>
      </c>
      <c r="FI193" s="59" t="e">
        <f t="shared" si="131"/>
        <v>#NUM!</v>
      </c>
      <c r="FJ193" s="59">
        <f ca="1">AVERAGE(OFFSET($FI$3,0,0,'Données projet'!$E$16+1,1))-AVERAGE(OFFSET($H$3,0,0,'Données projet'!$E$16+1,1))</f>
        <v>124.15919323713428</v>
      </c>
      <c r="FK193" s="59">
        <f t="shared" si="156"/>
        <v>157.85954678210715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0</v>
      </c>
      <c r="FR193" s="21">
        <f>EXP(-LN(2)/25)*FR192+(1-EXP(-LN(2)/25))/(LN(2)/25)*Calculateur!FM193*Calculateur!FO193*VLOOKUP('Données projet'!$B$16,Paramètres!$A$1:$I$89,3,0)*0.475*44/12</f>
        <v>5.9520139553224639E-2</v>
      </c>
      <c r="FS193" s="21">
        <f>EXP(-LN(2)/2)*FS192+(1-EXP(-LN(2)/2))/(LN(2)/2)*FM193*FP193*VLOOKUP('Données projet'!$B$16,Paramètres!$A$1:$I$89,3,0)*0.475*44/12</f>
        <v>6.1023874478873559E-24</v>
      </c>
      <c r="FT193" s="22">
        <f t="shared" si="184"/>
        <v>5.9520139553224639E-2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-1.1368683772161603E-13</v>
      </c>
      <c r="O194" s="13">
        <f>N194*VLOOKUP('Données projet'!$B$9,Paramètres!$A$1:$I$89,3,0)*VLOOKUP('Données projet'!$B$9,Paramètres!$A$1:$I$89,5,0)</f>
        <v>-1.0286385077051818E-13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237.22177246688199</v>
      </c>
      <c r="T194" s="59">
        <f t="shared" si="142"/>
        <v>149.27472147904302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</v>
      </c>
      <c r="AA194" s="21">
        <f>EXP(-LN(2)/25)*AA193+(1-EXP(-LN(2)/25))/(LN(2)/25)*Calculateur!V194*Calculateur!X194*VLOOKUP('Données projet'!$B$9,Paramètres!$A$1:$I$89,3,0)*0.475*44/12</f>
        <v>3.5773351863369246E-2</v>
      </c>
      <c r="AB194" s="21">
        <f>EXP(-LN(2)/2)*AB193+(1-EXP(-LN(2)/2))/(LN(2)/2)*V194*Y194*VLOOKUP('Données projet'!$B$9,Paramètres!$A$1:$I$89,3,0)*0.475*44/12</f>
        <v>3.6201806330713172E-24</v>
      </c>
      <c r="AC194" s="22">
        <f t="shared" si="163"/>
        <v>3.5773351863369246E-2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-8.5265128291212022E-14</v>
      </c>
      <c r="AJ194" s="13">
        <f>AI194*VLOOKUP('Données projet'!$B$10,Paramètres!$A$1:$I$89,3,0)*VLOOKUP('Données projet'!$B$10,Paramètres!$A$1:$I$89,5,0)</f>
        <v>-7.4487616075202836E-14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191.94797389630673</v>
      </c>
      <c r="AO194" s="59">
        <f t="shared" si="144"/>
        <v>273.52540822767878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0.1061651311951123</v>
      </c>
      <c r="AV194" s="21">
        <f>EXP(-LN(2)/25)*AV193+(1-EXP(-LN(2)/25))/(LN(2)/25)*Calculateur!AQ194*Calculateur!AS194*VLOOKUP('Données projet'!$B$10,Paramètres!$A$1:$I$89,3,0)*0.475*44/12</f>
        <v>0.16180278633180717</v>
      </c>
      <c r="AW194" s="21">
        <f>EXP(-LN(2)/2)*AW193+(1-EXP(-LN(2)/2))/(LN(2)/2)*AQ194*AT194*VLOOKUP('Données projet'!$B$10,Paramètres!$A$1:$I$89,3,0)*0.475*44/12</f>
        <v>1.3571587990424789E-23</v>
      </c>
      <c r="AX194" s="21">
        <f t="shared" si="166"/>
        <v>0.26796791752691945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72.647148358003676</v>
      </c>
      <c r="BJ194" s="59">
        <f t="shared" si="146"/>
        <v>87.231299224620898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5.2470262153930226E-2</v>
      </c>
      <c r="BQ194" s="21">
        <f>EXP(-LN(2)/25)*BQ193+(1-EXP(-LN(2)/25))/(LN(2)/25)*Calculateur!BL194*Calculateur!BN194*VLOOKUP('Données projet'!$B$11,Paramètres!$A$1:$I$89,3,0)*0.475*44/12</f>
        <v>5.2188300415863371E-2</v>
      </c>
      <c r="BR194" s="21">
        <f>EXP(-LN(2)/2)*BR193+(1-EXP(-LN(2)/2))/(LN(2)/2)*BL194*BO194*VLOOKUP('Données projet'!$B$11,Paramètres!$A$1:$I$89,3,0)*0.475*44/12</f>
        <v>1.3341075894228633E-24</v>
      </c>
      <c r="BS194" s="22">
        <f t="shared" si="169"/>
        <v>0.1046585625697936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5.6843418860808015E-14</v>
      </c>
      <c r="BZ194" s="13">
        <f>BY194*VLOOKUP('Données projet'!$B$12,Paramètres!$A$1:$I$89,3,0)*VLOOKUP('Données projet'!$B$12,Paramètres!$A$1:$I$89,5,0)</f>
        <v>3.3992364478763198E-14</v>
      </c>
      <c r="CA194" s="13">
        <f t="shared" si="170"/>
        <v>5.790027782444094E-13</v>
      </c>
      <c r="CB194" s="20">
        <f t="shared" si="171"/>
        <v>1.0676332069095257E-12</v>
      </c>
      <c r="CC194" s="59">
        <f t="shared" si="119"/>
        <v>293.33333333333439</v>
      </c>
      <c r="CD194" s="59">
        <f ca="1">AVERAGE(OFFSET($CC$3,0,0,'Données projet'!$E$12+1,1))-AVERAGE(OFFSET($H$3,0,0,'Données projet'!$E$12+1,1))</f>
        <v>165.39579887388538</v>
      </c>
      <c r="CE194" s="59">
        <f t="shared" si="148"/>
        <v>155.89639262545802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</v>
      </c>
      <c r="CL194" s="21">
        <f>EXP(-LN(2)/25)*CL193+(1-EXP(-LN(2)/25))/(LN(2)/25)*Calculateur!CG194*Calculateur!CI194*VLOOKUP('Données projet'!$B$12,Paramètres!$A$1:$I$89,3,0)*0.475*44/12</f>
        <v>8.3955544967069612E-2</v>
      </c>
      <c r="CM194" s="21">
        <f>EXP(-LN(2)/2)*CM193+(1-EXP(-LN(2)/2))/(LN(2)/2)*CG194*CJ194*VLOOKUP('Données projet'!$B$12,Paramètres!$A$1:$I$89,3,0)*0.475*44/12</f>
        <v>8.1185025849851435E-24</v>
      </c>
      <c r="CN194" s="22">
        <f t="shared" si="172"/>
        <v>8.3955544967069612E-2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3.4106051316484809E-13</v>
      </c>
      <c r="CU194" s="17">
        <f>CT194*VLOOKUP('Données projet'!$B$13,Paramètres!$A$1:$I$89,3,0)*VLOOKUP('Données projet'!$B$13,Paramètres!$A$1:$I$89,5,0)</f>
        <v>2.6602720026858149E-13</v>
      </c>
      <c r="CV194" s="13">
        <f t="shared" si="173"/>
        <v>3.5662905043956649E-12</v>
      </c>
      <c r="CW194" s="20">
        <f t="shared" si="174"/>
        <v>6.6746200022902298E-12</v>
      </c>
      <c r="CX194" s="59">
        <f t="shared" si="122"/>
        <v>293.33333333333997</v>
      </c>
      <c r="CY194" s="59">
        <f ca="1">AVERAGE(OFFSET($CX$3,0,0,'Données projet'!$E$13+1,1))-AVERAGE(OFFSET($H$3,0,0,'Données projet'!$E$13+1,1))</f>
        <v>190.06335940156185</v>
      </c>
      <c r="CZ194" s="59">
        <f t="shared" si="150"/>
        <v>166.43663896839928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</v>
      </c>
      <c r="DG194" s="21">
        <f>EXP(-LN(2)/25)*DG193+(1-EXP(-LN(2)/25))/(LN(2)/25)*Calculateur!DB194*Calculateur!DD194*VLOOKUP('Données projet'!$B$13,Paramètres!$A$1:$I$89,3,0)*0.475*44/12</f>
        <v>5.1443245242537586E-2</v>
      </c>
      <c r="DH194" s="21">
        <f>EXP(-LN(2)/2)*DH193+(1-EXP(-LN(2)/2))/(LN(2)/2)*DB194*DE194*VLOOKUP('Données projet'!$B$13,Paramètres!$A$1:$I$89,3,0)*0.475*44/12</f>
        <v>3.115437429163693E-24</v>
      </c>
      <c r="DI194" s="22">
        <f t="shared" si="175"/>
        <v>5.1443245242537586E-2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-1.1368683772161603E-13</v>
      </c>
      <c r="DP194" s="17">
        <f>DO194*VLOOKUP('Données projet'!$B$14,Paramètres!$A$1:$I$89,3,0)*VLOOKUP('Données projet'!$B$14,Paramètres!$A$1:$I$89,5,0)</f>
        <v>-1.0995790944434703E-13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261.22357949323879</v>
      </c>
      <c r="DU194" s="59">
        <f t="shared" si="152"/>
        <v>163.41029152029387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0</v>
      </c>
      <c r="EB194" s="21">
        <f>EXP(-LN(2)/25)*EB193+(1-EXP(-LN(2)/25))/(LN(2)/25)*Calculateur!DW194*Calculateur!DY194*VLOOKUP('Données projet'!$B$14,Paramètres!$A$1:$I$89,3,0)*0.475*44/12</f>
        <v>3.8240479578084317E-2</v>
      </c>
      <c r="EC194" s="21">
        <f>EXP(-LN(2)/2)*EC193+(1-EXP(-LN(2)/2))/(LN(2)/2)*DW194*DZ194*VLOOKUP('Données projet'!$B$14,Paramètres!$A$1:$I$89,3,0)*0.475*44/12</f>
        <v>3.8698482629383038E-24</v>
      </c>
      <c r="ED194" s="22">
        <f t="shared" si="178"/>
        <v>3.8240479578084317E-2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-1.1368683772161603E-13</v>
      </c>
      <c r="EK194" s="17">
        <f>EJ194*VLOOKUP('Données projet'!$B$15,Paramètres!$A$1:$I$89,3,0)*VLOOKUP('Données projet'!$B$15,Paramètres!$A$1:$I$89,5,0)</f>
        <v>-5.3205440053716299E-14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123.60520571614535</v>
      </c>
      <c r="EP194" s="59">
        <f t="shared" si="154"/>
        <v>119.00926870519527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3.5762892361915849E-2</v>
      </c>
      <c r="EW194" s="21">
        <f>EXP(-LN(2)/25)*EW193+(1-EXP(-LN(2)/25))/(LN(2)/25)*Calculateur!ER194*Calculateur!ET194*VLOOKUP('Données projet'!$B$15,Paramètres!$A$1:$I$89,3,0)*0.475*44/12</f>
        <v>5.5017402949029369E-2</v>
      </c>
      <c r="EX194" s="21">
        <f>EXP(-LN(2)/2)*EX193+(1-EXP(-LN(2)/2))/(LN(2)/2)*ER194*EU194*VLOOKUP('Données projet'!$B$15,Paramètres!$A$1:$I$89,3,0)*0.475*44/12</f>
        <v>3.5759399595203189E-24</v>
      </c>
      <c r="EY194" s="22">
        <f t="shared" si="181"/>
        <v>9.0780295310945225E-2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-8.5265128291212022E-14</v>
      </c>
      <c r="FF194" s="17">
        <f>FE194*VLOOKUP('Données projet'!$B$16,Paramètres!$A$1:$I$89,3,0)*VLOOKUP('Données projet'!$B$16,Paramètres!$A$1:$I$89,5,0)</f>
        <v>-6.2516392063116648E-14</v>
      </c>
      <c r="FG194" s="13" t="e">
        <f t="shared" si="182"/>
        <v>#NUM!</v>
      </c>
      <c r="FH194" s="20" t="e">
        <f t="shared" si="183"/>
        <v>#NUM!</v>
      </c>
      <c r="FI194" s="59" t="e">
        <f t="shared" si="131"/>
        <v>#NUM!</v>
      </c>
      <c r="FJ194" s="59">
        <f ca="1">AVERAGE(OFFSET($FI$3,0,0,'Données projet'!$E$16+1,1))-AVERAGE(OFFSET($H$3,0,0,'Données projet'!$E$16+1,1))</f>
        <v>124.15919323713428</v>
      </c>
      <c r="FK194" s="59">
        <f t="shared" si="156"/>
        <v>157.85954678210715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0</v>
      </c>
      <c r="FR194" s="21">
        <f>EXP(-LN(2)/25)*FR193+(1-EXP(-LN(2)/25))/(LN(2)/25)*Calculateur!FM194*Calculateur!FO194*VLOOKUP('Données projet'!$B$16,Paramètres!$A$1:$I$89,3,0)*0.475*44/12</f>
        <v>5.7892558207113608E-2</v>
      </c>
      <c r="FS194" s="21">
        <f>EXP(-LN(2)/2)*FS193+(1-EXP(-LN(2)/2))/(LN(2)/2)*FM194*FP194*VLOOKUP('Données projet'!$B$16,Paramètres!$A$1:$I$89,3,0)*0.475*44/12</f>
        <v>4.3150395458288187E-24</v>
      </c>
      <c r="FT194" s="22">
        <f t="shared" si="184"/>
        <v>5.7892558207113608E-2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-1.1368683772161603E-13</v>
      </c>
      <c r="O195" s="13">
        <f>N195*VLOOKUP('Données projet'!$B$9,Paramètres!$A$1:$I$89,3,0)*VLOOKUP('Données projet'!$B$9,Paramètres!$A$1:$I$89,5,0)</f>
        <v>-1.0286385077051818E-13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237.22177246688199</v>
      </c>
      <c r="T195" s="59">
        <f t="shared" si="142"/>
        <v>149.27472147904302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</v>
      </c>
      <c r="AA195" s="21">
        <f>EXP(-LN(2)/25)*AA194+(1-EXP(-LN(2)/25))/(LN(2)/25)*Calculateur!V195*Calculateur!X195*VLOOKUP('Données projet'!$B$9,Paramètres!$A$1:$I$89,3,0)*0.475*44/12</f>
        <v>3.4795127675426599E-2</v>
      </c>
      <c r="AB195" s="21">
        <f>EXP(-LN(2)/2)*AB194+(1-EXP(-LN(2)/2))/(LN(2)/2)*V195*Y195*VLOOKUP('Données projet'!$B$9,Paramètres!$A$1:$I$89,3,0)*0.475*44/12</f>
        <v>2.559854274764937E-24</v>
      </c>
      <c r="AC195" s="22">
        <f t="shared" si="163"/>
        <v>3.4795127675426599E-2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-8.5265128291212022E-14</v>
      </c>
      <c r="AJ195" s="13">
        <f>AI195*VLOOKUP('Données projet'!$B$10,Paramètres!$A$1:$I$89,3,0)*VLOOKUP('Données projet'!$B$10,Paramètres!$A$1:$I$89,5,0)</f>
        <v>-7.4487616075202836E-14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191.94797389630673</v>
      </c>
      <c r="AO195" s="59">
        <f t="shared" si="144"/>
        <v>273.52540822767878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0.10408329772671221</v>
      </c>
      <c r="AV195" s="21">
        <f>EXP(-LN(2)/25)*AV194+(1-EXP(-LN(2)/25))/(LN(2)/25)*Calculateur!AQ195*Calculateur!AS195*VLOOKUP('Données projet'!$B$10,Paramètres!$A$1:$I$89,3,0)*0.475*44/12</f>
        <v>0.15737828063072518</v>
      </c>
      <c r="AW195" s="21">
        <f>EXP(-LN(2)/2)*AW194+(1-EXP(-LN(2)/2))/(LN(2)/2)*AQ195*AT195*VLOOKUP('Données projet'!$B$10,Paramètres!$A$1:$I$89,3,0)*0.475*44/12</f>
        <v>9.596561899499278E-24</v>
      </c>
      <c r="AX195" s="21">
        <f t="shared" si="166"/>
        <v>0.26146157835743739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72.647148358003676</v>
      </c>
      <c r="BJ195" s="59">
        <f t="shared" si="146"/>
        <v>87.231299224620898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5.1441352316791464E-2</v>
      </c>
      <c r="BQ195" s="21">
        <f>EXP(-LN(2)/25)*BQ194+(1-EXP(-LN(2)/25))/(LN(2)/25)*Calculateur!BL195*Calculateur!BN195*VLOOKUP('Données projet'!$B$11,Paramètres!$A$1:$I$89,3,0)*0.475*44/12</f>
        <v>5.0761208596528148E-2</v>
      </c>
      <c r="BR195" s="21">
        <f>EXP(-LN(2)/2)*BR194+(1-EXP(-LN(2)/2))/(LN(2)/2)*BL195*BO195*VLOOKUP('Données projet'!$B$11,Paramètres!$A$1:$I$89,3,0)*0.475*44/12</f>
        <v>9.4335652331334499E-25</v>
      </c>
      <c r="BS195" s="22">
        <f t="shared" si="169"/>
        <v>0.10220256091331961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5.6843418860808015E-14</v>
      </c>
      <c r="BZ195" s="13">
        <f>BY195*VLOOKUP('Données projet'!$B$12,Paramètres!$A$1:$I$89,3,0)*VLOOKUP('Données projet'!$B$12,Paramètres!$A$1:$I$89,5,0)</f>
        <v>3.3992364478763198E-14</v>
      </c>
      <c r="CA195" s="13">
        <f t="shared" si="170"/>
        <v>5.790027782444094E-13</v>
      </c>
      <c r="CB195" s="20">
        <f t="shared" si="171"/>
        <v>1.0676332069095257E-12</v>
      </c>
      <c r="CC195" s="59">
        <f t="shared" si="119"/>
        <v>293.33333333333439</v>
      </c>
      <c r="CD195" s="59">
        <f ca="1">AVERAGE(OFFSET($CC$3,0,0,'Données projet'!$E$12+1,1))-AVERAGE(OFFSET($H$3,0,0,'Données projet'!$E$12+1,1))</f>
        <v>165.39579887388538</v>
      </c>
      <c r="CE195" s="59">
        <f t="shared" si="148"/>
        <v>155.89639262545802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</v>
      </c>
      <c r="CL195" s="21">
        <f>EXP(-LN(2)/25)*CL194+(1-EXP(-LN(2)/25))/(LN(2)/25)*Calculateur!CG195*Calculateur!CI195*VLOOKUP('Données projet'!$B$12,Paramètres!$A$1:$I$89,3,0)*0.475*44/12</f>
        <v>8.1659776174914864E-2</v>
      </c>
      <c r="CM195" s="21">
        <f>EXP(-LN(2)/2)*CM194+(1-EXP(-LN(2)/2))/(LN(2)/2)*CG195*CJ195*VLOOKUP('Données projet'!$B$12,Paramètres!$A$1:$I$89,3,0)*0.475*44/12</f>
        <v>5.7406482309235104E-24</v>
      </c>
      <c r="CN195" s="22">
        <f t="shared" si="172"/>
        <v>8.1659776174914864E-2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3.4106051316484809E-13</v>
      </c>
      <c r="CU195" s="17">
        <f>CT195*VLOOKUP('Données projet'!$B$13,Paramètres!$A$1:$I$89,3,0)*VLOOKUP('Données projet'!$B$13,Paramètres!$A$1:$I$89,5,0)</f>
        <v>2.6602720026858149E-13</v>
      </c>
      <c r="CV195" s="13">
        <f t="shared" si="173"/>
        <v>3.5662905043956649E-12</v>
      </c>
      <c r="CW195" s="20">
        <f t="shared" si="174"/>
        <v>6.6746200022902298E-12</v>
      </c>
      <c r="CX195" s="59">
        <f t="shared" si="122"/>
        <v>293.33333333333997</v>
      </c>
      <c r="CY195" s="59">
        <f ca="1">AVERAGE(OFFSET($CX$3,0,0,'Données projet'!$E$13+1,1))-AVERAGE(OFFSET($H$3,0,0,'Données projet'!$E$13+1,1))</f>
        <v>190.06335940156185</v>
      </c>
      <c r="CZ195" s="59">
        <f t="shared" si="150"/>
        <v>166.43663896839928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</v>
      </c>
      <c r="DG195" s="21">
        <f>EXP(-LN(2)/25)*DG194+(1-EXP(-LN(2)/25))/(LN(2)/25)*Calculateur!DB195*Calculateur!DD195*VLOOKUP('Données projet'!$B$13,Paramètres!$A$1:$I$89,3,0)*0.475*44/12</f>
        <v>5.0036526996097702E-2</v>
      </c>
      <c r="DH195" s="21">
        <f>EXP(-LN(2)/2)*DH194+(1-EXP(-LN(2)/2))/(LN(2)/2)*DB195*DE195*VLOOKUP('Données projet'!$B$13,Paramètres!$A$1:$I$89,3,0)*0.475*44/12</f>
        <v>2.2029469325240316E-24</v>
      </c>
      <c r="DI195" s="22">
        <f t="shared" si="175"/>
        <v>5.0036526996097702E-2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-1.1368683772161603E-13</v>
      </c>
      <c r="DP195" s="17">
        <f>DO195*VLOOKUP('Données projet'!$B$14,Paramètres!$A$1:$I$89,3,0)*VLOOKUP('Données projet'!$B$14,Paramètres!$A$1:$I$89,5,0)</f>
        <v>-1.0995790944434703E-13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261.22357949323879</v>
      </c>
      <c r="DU195" s="59">
        <f t="shared" si="152"/>
        <v>163.41029152029387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0</v>
      </c>
      <c r="EB195" s="21">
        <f>EXP(-LN(2)/25)*EB194+(1-EXP(-LN(2)/25))/(LN(2)/25)*Calculateur!DW195*Calculateur!DY195*VLOOKUP('Données projet'!$B$14,Paramètres!$A$1:$I$89,3,0)*0.475*44/12</f>
        <v>3.7194791653042181E-2</v>
      </c>
      <c r="EC195" s="21">
        <f>EXP(-LN(2)/2)*EC194+(1-EXP(-LN(2)/2))/(LN(2)/2)*DW195*DZ195*VLOOKUP('Données projet'!$B$14,Paramètres!$A$1:$I$89,3,0)*0.475*44/12</f>
        <v>2.7363959488866563E-24</v>
      </c>
      <c r="ED195" s="22">
        <f t="shared" si="178"/>
        <v>3.7194791653042181E-2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-1.1368683772161603E-13</v>
      </c>
      <c r="EK195" s="17">
        <f>EJ195*VLOOKUP('Données projet'!$B$15,Paramètres!$A$1:$I$89,3,0)*VLOOKUP('Données projet'!$B$15,Paramètres!$A$1:$I$89,5,0)</f>
        <v>-5.3205440053716299E-14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123.60520571614535</v>
      </c>
      <c r="EP195" s="59">
        <f t="shared" si="154"/>
        <v>119.00926870519527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3.5061603855909146E-2</v>
      </c>
      <c r="EW195" s="21">
        <f>EXP(-LN(2)/25)*EW194+(1-EXP(-LN(2)/25))/(LN(2)/25)*Calculateur!ER195*Calculateur!ET195*VLOOKUP('Données projet'!$B$15,Paramètres!$A$1:$I$89,3,0)*0.475*44/12</f>
        <v>5.3512949172148681E-2</v>
      </c>
      <c r="EX195" s="21">
        <f>EXP(-LN(2)/2)*EX194+(1-EXP(-LN(2)/2))/(LN(2)/2)*ER195*EU195*VLOOKUP('Données projet'!$B$15,Paramètres!$A$1:$I$89,3,0)*0.475*44/12</f>
        <v>2.5285713944927658E-24</v>
      </c>
      <c r="EY195" s="22">
        <f t="shared" si="181"/>
        <v>8.8574553028057834E-2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-8.5265128291212022E-14</v>
      </c>
      <c r="FF195" s="17">
        <f>FE195*VLOOKUP('Données projet'!$B$16,Paramètres!$A$1:$I$89,3,0)*VLOOKUP('Données projet'!$B$16,Paramètres!$A$1:$I$89,5,0)</f>
        <v>-6.2516392063116648E-14</v>
      </c>
      <c r="FG195" s="13" t="e">
        <f t="shared" si="182"/>
        <v>#NUM!</v>
      </c>
      <c r="FH195" s="20" t="e">
        <f t="shared" si="183"/>
        <v>#NUM!</v>
      </c>
      <c r="FI195" s="59" t="e">
        <f t="shared" si="131"/>
        <v>#NUM!</v>
      </c>
      <c r="FJ195" s="59">
        <f ca="1">AVERAGE(OFFSET($FI$3,0,0,'Données projet'!$E$16+1,1))-AVERAGE(OFFSET($H$3,0,0,'Données projet'!$E$16+1,1))</f>
        <v>124.15919323713428</v>
      </c>
      <c r="FK195" s="59">
        <f t="shared" si="156"/>
        <v>157.85954678210715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0</v>
      </c>
      <c r="FR195" s="21">
        <f>EXP(-LN(2)/25)*FR194+(1-EXP(-LN(2)/25))/(LN(2)/25)*Calculateur!FM195*Calculateur!FO195*VLOOKUP('Données projet'!$B$16,Paramètres!$A$1:$I$89,3,0)*0.475*44/12</f>
        <v>5.6309483158502767E-2</v>
      </c>
      <c r="FS195" s="21">
        <f>EXP(-LN(2)/2)*FS194+(1-EXP(-LN(2)/2))/(LN(2)/2)*FM195*FP195*VLOOKUP('Données projet'!$B$16,Paramètres!$A$1:$I$89,3,0)*0.475*44/12</f>
        <v>3.051193723943678E-24</v>
      </c>
      <c r="FT195" s="22">
        <f t="shared" si="184"/>
        <v>5.6309483158502767E-2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-1.1368683772161603E-13</v>
      </c>
      <c r="O196" s="13">
        <f>N196*VLOOKUP('Données projet'!$B$9,Paramètres!$A$1:$I$89,3,0)*VLOOKUP('Données projet'!$B$9,Paramètres!$A$1:$I$89,5,0)</f>
        <v>-1.0286385077051818E-13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237.22177246688199</v>
      </c>
      <c r="T196" s="59">
        <f t="shared" si="142"/>
        <v>149.27472147904302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</v>
      </c>
      <c r="AA196" s="21">
        <f>EXP(-LN(2)/25)*AA195+(1-EXP(-LN(2)/25))/(LN(2)/25)*Calculateur!V196*Calculateur!X196*VLOOKUP('Données projet'!$B$9,Paramètres!$A$1:$I$89,3,0)*0.475*44/12</f>
        <v>3.3843653079345816E-2</v>
      </c>
      <c r="AB196" s="21">
        <f>EXP(-LN(2)/2)*AB195+(1-EXP(-LN(2)/2))/(LN(2)/2)*V196*Y196*VLOOKUP('Données projet'!$B$9,Paramètres!$A$1:$I$89,3,0)*0.475*44/12</f>
        <v>1.8100903165356586E-24</v>
      </c>
      <c r="AC196" s="22">
        <f t="shared" si="163"/>
        <v>3.3843653079345816E-2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-8.5265128291212022E-14</v>
      </c>
      <c r="AJ196" s="13">
        <f>AI196*VLOOKUP('Données projet'!$B$10,Paramètres!$A$1:$I$89,3,0)*VLOOKUP('Données projet'!$B$10,Paramètres!$A$1:$I$89,5,0)</f>
        <v>-7.4487616075202836E-14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191.94797389630673</v>
      </c>
      <c r="AO196" s="59">
        <f t="shared" si="144"/>
        <v>273.52540822767878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0.10204228774283441</v>
      </c>
      <c r="AV196" s="21">
        <f>EXP(-LN(2)/25)*AV195+(1-EXP(-LN(2)/25))/(LN(2)/25)*Calculateur!AQ196*Calculateur!AS196*VLOOKUP('Données projet'!$B$10,Paramètres!$A$1:$I$89,3,0)*0.475*44/12</f>
        <v>0.1530747632707139</v>
      </c>
      <c r="AW196" s="21">
        <f>EXP(-LN(2)/2)*AW195+(1-EXP(-LN(2)/2))/(LN(2)/2)*AQ196*AT196*VLOOKUP('Données projet'!$B$10,Paramètres!$A$1:$I$89,3,0)*0.475*44/12</f>
        <v>6.7857939952123946E-24</v>
      </c>
      <c r="AX196" s="21">
        <f t="shared" si="166"/>
        <v>0.25511705101354831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72.647148358003676</v>
      </c>
      <c r="BJ196" s="59">
        <f t="shared" si="146"/>
        <v>87.231299224620898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5.0432618773985964E-2</v>
      </c>
      <c r="BQ196" s="21">
        <f>EXP(-LN(2)/25)*BQ195+(1-EXP(-LN(2)/25))/(LN(2)/25)*Calculateur!BL196*Calculateur!BN196*VLOOKUP('Données projet'!$B$11,Paramètres!$A$1:$I$89,3,0)*0.475*44/12</f>
        <v>4.9373140678040141E-2</v>
      </c>
      <c r="BR196" s="21">
        <f>EXP(-LN(2)/2)*BR195+(1-EXP(-LN(2)/2))/(LN(2)/2)*BL196*BO196*VLOOKUP('Données projet'!$B$11,Paramètres!$A$1:$I$89,3,0)*0.475*44/12</f>
        <v>6.6705379471143166E-25</v>
      </c>
      <c r="BS196" s="22">
        <f t="shared" si="169"/>
        <v>9.9805759452026105E-2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5.6843418860808015E-14</v>
      </c>
      <c r="BZ196" s="13">
        <f>BY196*VLOOKUP('Données projet'!$B$12,Paramètres!$A$1:$I$89,3,0)*VLOOKUP('Données projet'!$B$12,Paramètres!$A$1:$I$89,5,0)</f>
        <v>3.3992364478763198E-14</v>
      </c>
      <c r="CA196" s="13">
        <f t="shared" si="170"/>
        <v>5.790027782444094E-13</v>
      </c>
      <c r="CB196" s="20">
        <f t="shared" si="171"/>
        <v>1.0676332069095257E-12</v>
      </c>
      <c r="CC196" s="59">
        <f t="shared" ref="CC196:CC203" si="195">CB196+(BT196+BU196)*44/12</f>
        <v>293.33333333333439</v>
      </c>
      <c r="CD196" s="59">
        <f ca="1">AVERAGE(OFFSET($CC$3,0,0,'Données projet'!$E$12+1,1))-AVERAGE(OFFSET($H$3,0,0,'Données projet'!$E$12+1,1))</f>
        <v>165.39579887388538</v>
      </c>
      <c r="CE196" s="59">
        <f t="shared" si="148"/>
        <v>155.89639262545802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</v>
      </c>
      <c r="CL196" s="21">
        <f>EXP(-LN(2)/25)*CL195+(1-EXP(-LN(2)/25))/(LN(2)/25)*Calculateur!CG196*Calculateur!CI196*VLOOKUP('Données projet'!$B$12,Paramètres!$A$1:$I$89,3,0)*0.475*44/12</f>
        <v>7.942678530111083E-2</v>
      </c>
      <c r="CM196" s="21">
        <f>EXP(-LN(2)/2)*CM195+(1-EXP(-LN(2)/2))/(LN(2)/2)*CG196*CJ196*VLOOKUP('Données projet'!$B$12,Paramètres!$A$1:$I$89,3,0)*0.475*44/12</f>
        <v>4.0592512924925717E-24</v>
      </c>
      <c r="CN196" s="22">
        <f t="shared" si="172"/>
        <v>7.942678530111083E-2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3.4106051316484809E-13</v>
      </c>
      <c r="CU196" s="17">
        <f>CT196*VLOOKUP('Données projet'!$B$13,Paramètres!$A$1:$I$89,3,0)*VLOOKUP('Données projet'!$B$13,Paramètres!$A$1:$I$89,5,0)</f>
        <v>2.6602720026858149E-13</v>
      </c>
      <c r="CV196" s="13">
        <f t="shared" si="173"/>
        <v>3.5662905043956649E-12</v>
      </c>
      <c r="CW196" s="20">
        <f t="shared" si="174"/>
        <v>6.6746200022902298E-12</v>
      </c>
      <c r="CX196" s="59">
        <f t="shared" ref="CX196:CX203" si="196">CW196+(CO196+CP196)*44/12</f>
        <v>293.33333333333997</v>
      </c>
      <c r="CY196" s="59">
        <f ca="1">AVERAGE(OFFSET($CX$3,0,0,'Données projet'!$E$13+1,1))-AVERAGE(OFFSET($H$3,0,0,'Données projet'!$E$13+1,1))</f>
        <v>190.06335940156185</v>
      </c>
      <c r="CZ196" s="59">
        <f t="shared" si="150"/>
        <v>166.43663896839928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</v>
      </c>
      <c r="DG196" s="21">
        <f>EXP(-LN(2)/25)*DG195+(1-EXP(-LN(2)/25))/(LN(2)/25)*Calculateur!DB196*Calculateur!DD196*VLOOKUP('Données projet'!$B$13,Paramètres!$A$1:$I$89,3,0)*0.475*44/12</f>
        <v>4.8668275534082817E-2</v>
      </c>
      <c r="DH196" s="21">
        <f>EXP(-LN(2)/2)*DH195+(1-EXP(-LN(2)/2))/(LN(2)/2)*DB196*DE196*VLOOKUP('Données projet'!$B$13,Paramètres!$A$1:$I$89,3,0)*0.475*44/12</f>
        <v>1.5577187145818465E-24</v>
      </c>
      <c r="DI196" s="22">
        <f t="shared" si="175"/>
        <v>4.8668275534082817E-2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-1.1368683772161603E-13</v>
      </c>
      <c r="DP196" s="17">
        <f>DO196*VLOOKUP('Données projet'!$B$14,Paramètres!$A$1:$I$89,3,0)*VLOOKUP('Données projet'!$B$14,Paramètres!$A$1:$I$89,5,0)</f>
        <v>-1.0995790944434703E-13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261.22357949323879</v>
      </c>
      <c r="DU196" s="59">
        <f t="shared" si="152"/>
        <v>163.41029152029387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0</v>
      </c>
      <c r="EB196" s="21">
        <f>EXP(-LN(2)/25)*EB195+(1-EXP(-LN(2)/25))/(LN(2)/25)*Calculateur!DW196*Calculateur!DY196*VLOOKUP('Données projet'!$B$14,Paramètres!$A$1:$I$89,3,0)*0.475*44/12</f>
        <v>3.6177698119300661E-2</v>
      </c>
      <c r="EC196" s="21">
        <f>EXP(-LN(2)/2)*EC195+(1-EXP(-LN(2)/2))/(LN(2)/2)*DW196*DZ196*VLOOKUP('Données projet'!$B$14,Paramètres!$A$1:$I$89,3,0)*0.475*44/12</f>
        <v>1.9349241314691519E-24</v>
      </c>
      <c r="ED196" s="22">
        <f t="shared" si="178"/>
        <v>3.6177698119300661E-2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-1.1368683772161603E-13</v>
      </c>
      <c r="EK196" s="17">
        <f>EJ196*VLOOKUP('Données projet'!$B$15,Paramètres!$A$1:$I$89,3,0)*VLOOKUP('Données projet'!$B$15,Paramètres!$A$1:$I$89,5,0)</f>
        <v>-5.3205440053716299E-14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123.60520571614535</v>
      </c>
      <c r="EP196" s="59">
        <f t="shared" si="154"/>
        <v>119.00926870519527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3.4374067189761479E-2</v>
      </c>
      <c r="EW196" s="21">
        <f>EXP(-LN(2)/25)*EW195+(1-EXP(-LN(2)/25))/(LN(2)/25)*Calculateur!ER196*Calculateur!ET196*VLOOKUP('Données projet'!$B$15,Paramètres!$A$1:$I$89,3,0)*0.475*44/12</f>
        <v>5.2049634762912585E-2</v>
      </c>
      <c r="EX196" s="21">
        <f>EXP(-LN(2)/2)*EX195+(1-EXP(-LN(2)/2))/(LN(2)/2)*ER196*EU196*VLOOKUP('Données projet'!$B$15,Paramètres!$A$1:$I$89,3,0)*0.475*44/12</f>
        <v>1.7879699797601595E-24</v>
      </c>
      <c r="EY196" s="22">
        <f t="shared" si="181"/>
        <v>8.642370195267407E-2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-8.5265128291212022E-14</v>
      </c>
      <c r="FF196" s="17">
        <f>FE196*VLOOKUP('Données projet'!$B$16,Paramètres!$A$1:$I$89,3,0)*VLOOKUP('Données projet'!$B$16,Paramètres!$A$1:$I$89,5,0)</f>
        <v>-6.2516392063116648E-14</v>
      </c>
      <c r="FG196" s="13" t="e">
        <f t="shared" si="182"/>
        <v>#NUM!</v>
      </c>
      <c r="FH196" s="20" t="e">
        <f t="shared" si="183"/>
        <v>#NUM!</v>
      </c>
      <c r="FI196" s="59" t="e">
        <f t="shared" ref="FI196:FI203" si="199">FH196+(EZ196+FA196)*44/12</f>
        <v>#NUM!</v>
      </c>
      <c r="FJ196" s="59">
        <f ca="1">AVERAGE(OFFSET($FI$3,0,0,'Données projet'!$E$16+1,1))-AVERAGE(OFFSET($H$3,0,0,'Données projet'!$E$16+1,1))</f>
        <v>124.15919323713428</v>
      </c>
      <c r="FK196" s="59">
        <f t="shared" si="156"/>
        <v>157.85954678210715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0</v>
      </c>
      <c r="FR196" s="21">
        <f>EXP(-LN(2)/25)*FR195+(1-EXP(-LN(2)/25))/(LN(2)/25)*Calculateur!FM196*Calculateur!FO196*VLOOKUP('Données projet'!$B$16,Paramètres!$A$1:$I$89,3,0)*0.475*44/12</f>
        <v>5.476969738034649E-2</v>
      </c>
      <c r="FS196" s="21">
        <f>EXP(-LN(2)/2)*FS195+(1-EXP(-LN(2)/2))/(LN(2)/2)*FM196*FP196*VLOOKUP('Données projet'!$B$16,Paramètres!$A$1:$I$89,3,0)*0.475*44/12</f>
        <v>2.1575197729144094E-24</v>
      </c>
      <c r="FT196" s="22">
        <f t="shared" si="184"/>
        <v>5.476969738034649E-2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-1.1368683772161603E-13</v>
      </c>
      <c r="O197" s="13">
        <f>N197*VLOOKUP('Données projet'!$B$9,Paramètres!$A$1:$I$89,3,0)*VLOOKUP('Données projet'!$B$9,Paramètres!$A$1:$I$89,5,0)</f>
        <v>-1.0286385077051818E-13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237.22177246688199</v>
      </c>
      <c r="T197" s="59">
        <f t="shared" ref="T197:T203" si="204">$T$3</f>
        <v>149.27472147904302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</v>
      </c>
      <c r="AA197" s="21">
        <f>EXP(-LN(2)/25)*AA196+(1-EXP(-LN(2)/25))/(LN(2)/25)*Calculateur!V197*Calculateur!X197*VLOOKUP('Données projet'!$B$9,Paramètres!$A$1:$I$89,3,0)*0.475*44/12</f>
        <v>3.291819660613074E-2</v>
      </c>
      <c r="AB197" s="21">
        <f>EXP(-LN(2)/2)*AB196+(1-EXP(-LN(2)/2))/(LN(2)/2)*V197*Y197*VLOOKUP('Données projet'!$B$9,Paramètres!$A$1:$I$89,3,0)*0.475*44/12</f>
        <v>1.2799271373824685E-24</v>
      </c>
      <c r="AC197" s="22">
        <f t="shared" si="163"/>
        <v>3.291819660613074E-2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-8.5265128291212022E-14</v>
      </c>
      <c r="AJ197" s="13">
        <f>AI197*VLOOKUP('Données projet'!$B$10,Paramètres!$A$1:$I$89,3,0)*VLOOKUP('Données projet'!$B$10,Paramètres!$A$1:$I$89,5,0)</f>
        <v>-7.4487616075202836E-14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191.94797389630673</v>
      </c>
      <c r="AO197" s="59">
        <f t="shared" ref="AO197:AO203" si="205">$AO$3</f>
        <v>273.52540822767878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0.10004130071984731</v>
      </c>
      <c r="AV197" s="21">
        <f>EXP(-LN(2)/25)*AV196+(1-EXP(-LN(2)/25))/(LN(2)/25)*Calculateur!AQ197*Calculateur!AS197*VLOOKUP('Données projet'!$B$10,Paramètres!$A$1:$I$89,3,0)*0.475*44/12</f>
        <v>0.14888892581922428</v>
      </c>
      <c r="AW197" s="21">
        <f>EXP(-LN(2)/2)*AW196+(1-EXP(-LN(2)/2))/(LN(2)/2)*AQ197*AT197*VLOOKUP('Données projet'!$B$10,Paramètres!$A$1:$I$89,3,0)*0.475*44/12</f>
        <v>4.798280949749639E-24</v>
      </c>
      <c r="AX197" s="21">
        <f t="shared" si="166"/>
        <v>0.2489302265390716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72.647148358003676</v>
      </c>
      <c r="BJ197" s="59">
        <f t="shared" ref="BJ197:BJ203" si="206">$BJ$3</f>
        <v>87.231299224620898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4.9443665880688166E-2</v>
      </c>
      <c r="BQ197" s="21">
        <f>EXP(-LN(2)/25)*BQ196+(1-EXP(-LN(2)/25))/(LN(2)/25)*Calculateur!BL197*Calculateur!BN197*VLOOKUP('Données projet'!$B$11,Paramètres!$A$1:$I$89,3,0)*0.475*44/12</f>
        <v>4.8023029549778509E-2</v>
      </c>
      <c r="BR197" s="21">
        <f>EXP(-LN(2)/2)*BR196+(1-EXP(-LN(2)/2))/(LN(2)/2)*BL197*BO197*VLOOKUP('Données projet'!$B$11,Paramètres!$A$1:$I$89,3,0)*0.475*44/12</f>
        <v>4.716782616566725E-25</v>
      </c>
      <c r="BS197" s="22">
        <f t="shared" si="169"/>
        <v>9.7466695430466682E-2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5.6843418860808015E-14</v>
      </c>
      <c r="BZ197" s="13">
        <f>BY197*VLOOKUP('Données projet'!$B$12,Paramètres!$A$1:$I$89,3,0)*VLOOKUP('Données projet'!$B$12,Paramètres!$A$1:$I$89,5,0)</f>
        <v>3.3992364478763198E-14</v>
      </c>
      <c r="CA197" s="13">
        <f t="shared" si="170"/>
        <v>5.790027782444094E-13</v>
      </c>
      <c r="CB197" s="20">
        <f t="shared" si="171"/>
        <v>1.0676332069095257E-12</v>
      </c>
      <c r="CC197" s="59">
        <f t="shared" si="195"/>
        <v>293.33333333333439</v>
      </c>
      <c r="CD197" s="59">
        <f ca="1">AVERAGE(OFFSET($CC$3,0,0,'Données projet'!$E$12+1,1))-AVERAGE(OFFSET($H$3,0,0,'Données projet'!$E$12+1,1))</f>
        <v>165.39579887388538</v>
      </c>
      <c r="CE197" s="59">
        <f t="shared" ref="CE197:CE203" si="207">$CE$3</f>
        <v>155.89639262545802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</v>
      </c>
      <c r="CL197" s="21">
        <f>EXP(-LN(2)/25)*CL196+(1-EXP(-LN(2)/25))/(LN(2)/25)*Calculateur!CG197*Calculateur!CI197*VLOOKUP('Données projet'!$B$12,Paramètres!$A$1:$I$89,3,0)*0.475*44/12</f>
        <v>7.7254855680178855E-2</v>
      </c>
      <c r="CM197" s="21">
        <f>EXP(-LN(2)/2)*CM196+(1-EXP(-LN(2)/2))/(LN(2)/2)*CG197*CJ197*VLOOKUP('Données projet'!$B$12,Paramètres!$A$1:$I$89,3,0)*0.475*44/12</f>
        <v>2.8703241154617552E-24</v>
      </c>
      <c r="CN197" s="22">
        <f t="shared" si="172"/>
        <v>7.7254855680178855E-2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3.4106051316484809E-13</v>
      </c>
      <c r="CU197" s="17">
        <f>CT197*VLOOKUP('Données projet'!$B$13,Paramètres!$A$1:$I$89,3,0)*VLOOKUP('Données projet'!$B$13,Paramètres!$A$1:$I$89,5,0)</f>
        <v>2.6602720026858149E-13</v>
      </c>
      <c r="CV197" s="13">
        <f t="shared" si="173"/>
        <v>3.5662905043956649E-12</v>
      </c>
      <c r="CW197" s="20">
        <f t="shared" si="174"/>
        <v>6.6746200022902298E-12</v>
      </c>
      <c r="CX197" s="59">
        <f t="shared" si="196"/>
        <v>293.33333333333997</v>
      </c>
      <c r="CY197" s="59">
        <f ca="1">AVERAGE(OFFSET($CX$3,0,0,'Données projet'!$E$13+1,1))-AVERAGE(OFFSET($H$3,0,0,'Données projet'!$E$13+1,1))</f>
        <v>190.06335940156185</v>
      </c>
      <c r="CZ197" s="59">
        <f t="shared" ref="CZ197:CZ203" si="208">$CZ$3</f>
        <v>166.43663896839928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</v>
      </c>
      <c r="DG197" s="21">
        <f>EXP(-LN(2)/25)*DG196+(1-EXP(-LN(2)/25))/(LN(2)/25)*Calculateur!DB197*Calculateur!DD197*VLOOKUP('Données projet'!$B$13,Paramètres!$A$1:$I$89,3,0)*0.475*44/12</f>
        <v>4.7337438980249946E-2</v>
      </c>
      <c r="DH197" s="21">
        <f>EXP(-LN(2)/2)*DH196+(1-EXP(-LN(2)/2))/(LN(2)/2)*DB197*DE197*VLOOKUP('Données projet'!$B$13,Paramètres!$A$1:$I$89,3,0)*0.475*44/12</f>
        <v>1.1014734662620158E-24</v>
      </c>
      <c r="DI197" s="22">
        <f t="shared" si="175"/>
        <v>4.7337438980249946E-2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-1.1368683772161603E-13</v>
      </c>
      <c r="DP197" s="17">
        <f>DO197*VLOOKUP('Données projet'!$B$14,Paramètres!$A$1:$I$89,3,0)*VLOOKUP('Données projet'!$B$14,Paramètres!$A$1:$I$89,5,0)</f>
        <v>-1.0995790944434703E-13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261.22357949323879</v>
      </c>
      <c r="DU197" s="59">
        <f t="shared" ref="DU197:DU203" si="209">$DU$3</f>
        <v>163.41029152029387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0</v>
      </c>
      <c r="EB197" s="21">
        <f>EXP(-LN(2)/25)*EB196+(1-EXP(-LN(2)/25))/(LN(2)/25)*Calculateur!DW197*Calculateur!DY197*VLOOKUP('Données projet'!$B$14,Paramètres!$A$1:$I$89,3,0)*0.475*44/12</f>
        <v>3.5188417061725923E-2</v>
      </c>
      <c r="EC197" s="21">
        <f>EXP(-LN(2)/2)*EC196+(1-EXP(-LN(2)/2))/(LN(2)/2)*DW197*DZ197*VLOOKUP('Données projet'!$B$14,Paramètres!$A$1:$I$89,3,0)*0.475*44/12</f>
        <v>1.3681979744433281E-24</v>
      </c>
      <c r="ED197" s="22">
        <f t="shared" si="178"/>
        <v>3.5188417061725923E-2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-1.1368683772161603E-13</v>
      </c>
      <c r="EK197" s="17">
        <f>EJ197*VLOOKUP('Données projet'!$B$15,Paramètres!$A$1:$I$89,3,0)*VLOOKUP('Données projet'!$B$15,Paramètres!$A$1:$I$89,5,0)</f>
        <v>-5.3205440053716299E-14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123.60520571614535</v>
      </c>
      <c r="EP197" s="59">
        <f t="shared" ref="EP197:EP203" si="210">$EP$3</f>
        <v>119.00926870519527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3.3700012698281011E-2</v>
      </c>
      <c r="EW197" s="21">
        <f>EXP(-LN(2)/25)*EW196+(1-EXP(-LN(2)/25))/(LN(2)/25)*Calculateur!ER197*Calculateur!ET197*VLOOKUP('Données projet'!$B$15,Paramètres!$A$1:$I$89,3,0)*0.475*44/12</f>
        <v>5.0626334763149407E-2</v>
      </c>
      <c r="EX197" s="21">
        <f>EXP(-LN(2)/2)*EX196+(1-EXP(-LN(2)/2))/(LN(2)/2)*ER197*EU197*VLOOKUP('Données projet'!$B$15,Paramètres!$A$1:$I$89,3,0)*0.475*44/12</f>
        <v>1.2642856972463829E-24</v>
      </c>
      <c r="EY197" s="22">
        <f t="shared" si="181"/>
        <v>8.4326347461430418E-2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-8.5265128291212022E-14</v>
      </c>
      <c r="FF197" s="17">
        <f>FE197*VLOOKUP('Données projet'!$B$16,Paramètres!$A$1:$I$89,3,0)*VLOOKUP('Données projet'!$B$16,Paramètres!$A$1:$I$89,5,0)</f>
        <v>-6.2516392063116648E-14</v>
      </c>
      <c r="FG197" s="13" t="e">
        <f t="shared" si="182"/>
        <v>#NUM!</v>
      </c>
      <c r="FH197" s="20" t="e">
        <f t="shared" si="183"/>
        <v>#NUM!</v>
      </c>
      <c r="FI197" s="59" t="e">
        <f t="shared" si="199"/>
        <v>#NUM!</v>
      </c>
      <c r="FJ197" s="59">
        <f ca="1">AVERAGE(OFFSET($FI$3,0,0,'Données projet'!$E$16+1,1))-AVERAGE(OFFSET($H$3,0,0,'Données projet'!$E$16+1,1))</f>
        <v>124.15919323713428</v>
      </c>
      <c r="FK197" s="59">
        <f t="shared" ref="FK197:FK203" si="211">$FK$3</f>
        <v>157.85954678210715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0</v>
      </c>
      <c r="FR197" s="21">
        <f>EXP(-LN(2)/25)*FR196+(1-EXP(-LN(2)/25))/(LN(2)/25)*Calculateur!FM197*Calculateur!FO197*VLOOKUP('Données projet'!$B$16,Paramètres!$A$1:$I$89,3,0)*0.475*44/12</f>
        <v>5.3272017125267711E-2</v>
      </c>
      <c r="FS197" s="21">
        <f>EXP(-LN(2)/2)*FS196+(1-EXP(-LN(2)/2))/(LN(2)/2)*FM197*FP197*VLOOKUP('Données projet'!$B$16,Paramètres!$A$1:$I$89,3,0)*0.475*44/12</f>
        <v>1.525596861971839E-24</v>
      </c>
      <c r="FT197" s="22">
        <f t="shared" si="184"/>
        <v>5.3272017125267711E-2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-1.1368683772161603E-13</v>
      </c>
      <c r="O198" s="13">
        <f>N198*VLOOKUP('Données projet'!$B$9,Paramètres!$A$1:$I$89,3,0)*VLOOKUP('Données projet'!$B$9,Paramètres!$A$1:$I$89,5,0)</f>
        <v>-1.0286385077051818E-13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237.22177246688199</v>
      </c>
      <c r="T198" s="59">
        <f t="shared" si="204"/>
        <v>149.27472147904302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</v>
      </c>
      <c r="AA198" s="21">
        <f>EXP(-LN(2)/25)*AA197+(1-EXP(-LN(2)/25))/(LN(2)/25)*Calculateur!V198*Calculateur!X198*VLOOKUP('Données projet'!$B$9,Paramètres!$A$1:$I$89,3,0)*0.475*44/12</f>
        <v>3.2018046788843374E-2</v>
      </c>
      <c r="AB198" s="21">
        <f>EXP(-LN(2)/2)*AB197+(1-EXP(-LN(2)/2))/(LN(2)/2)*V198*Y198*VLOOKUP('Données projet'!$B$9,Paramètres!$A$1:$I$89,3,0)*0.475*44/12</f>
        <v>9.050451582678293E-25</v>
      </c>
      <c r="AC198" s="22">
        <f t="shared" si="163"/>
        <v>3.2018046788843374E-2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-8.5265128291212022E-14</v>
      </c>
      <c r="AJ198" s="13">
        <f>AI198*VLOOKUP('Données projet'!$B$10,Paramètres!$A$1:$I$89,3,0)*VLOOKUP('Données projet'!$B$10,Paramètres!$A$1:$I$89,5,0)</f>
        <v>-7.4487616075202836E-14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191.94797389630673</v>
      </c>
      <c r="AO198" s="59">
        <f t="shared" si="205"/>
        <v>273.52540822767878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9.8079551831899398E-2</v>
      </c>
      <c r="AV198" s="21">
        <f>EXP(-LN(2)/25)*AV197+(1-EXP(-LN(2)/25))/(LN(2)/25)*Calculateur!AQ198*Calculateur!AS198*VLOOKUP('Données projet'!$B$10,Paramètres!$A$1:$I$89,3,0)*0.475*44/12</f>
        <v>0.14481755031296928</v>
      </c>
      <c r="AW198" s="21">
        <f>EXP(-LN(2)/2)*AW197+(1-EXP(-LN(2)/2))/(LN(2)/2)*AQ198*AT198*VLOOKUP('Données projet'!$B$10,Paramètres!$A$1:$I$89,3,0)*0.475*44/12</f>
        <v>3.3928969976061973E-24</v>
      </c>
      <c r="AX198" s="21">
        <f t="shared" si="166"/>
        <v>0.24289710214486868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72.647148358003676</v>
      </c>
      <c r="BJ198" s="59">
        <f t="shared" si="206"/>
        <v>87.231299224620898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4.8474105750426238E-2</v>
      </c>
      <c r="BQ198" s="21">
        <f>EXP(-LN(2)/25)*BQ197+(1-EXP(-LN(2)/25))/(LN(2)/25)*Calculateur!BL198*Calculateur!BN198*VLOOKUP('Données projet'!$B$11,Paramètres!$A$1:$I$89,3,0)*0.475*44/12</f>
        <v>4.6709837281318452E-2</v>
      </c>
      <c r="BR198" s="21">
        <f>EXP(-LN(2)/2)*BR197+(1-EXP(-LN(2)/2))/(LN(2)/2)*BL198*BO198*VLOOKUP('Données projet'!$B$11,Paramètres!$A$1:$I$89,3,0)*0.475*44/12</f>
        <v>3.3352689735571583E-25</v>
      </c>
      <c r="BS198" s="22">
        <f t="shared" si="169"/>
        <v>9.5183943031744683E-2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5.6843418860808015E-14</v>
      </c>
      <c r="BZ198" s="13">
        <f>BY198*VLOOKUP('Données projet'!$B$12,Paramètres!$A$1:$I$89,3,0)*VLOOKUP('Données projet'!$B$12,Paramètres!$A$1:$I$89,5,0)</f>
        <v>3.3992364478763198E-14</v>
      </c>
      <c r="CA198" s="13">
        <f t="shared" si="170"/>
        <v>5.790027782444094E-13</v>
      </c>
      <c r="CB198" s="20">
        <f t="shared" si="171"/>
        <v>1.0676332069095257E-12</v>
      </c>
      <c r="CC198" s="59">
        <f t="shared" si="195"/>
        <v>293.33333333333439</v>
      </c>
      <c r="CD198" s="59">
        <f ca="1">AVERAGE(OFFSET($CC$3,0,0,'Données projet'!$E$12+1,1))-AVERAGE(OFFSET($H$3,0,0,'Données projet'!$E$12+1,1))</f>
        <v>165.39579887388538</v>
      </c>
      <c r="CE198" s="59">
        <f t="shared" si="207"/>
        <v>155.89639262545802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</v>
      </c>
      <c r="CL198" s="21">
        <f>EXP(-LN(2)/25)*CL197+(1-EXP(-LN(2)/25))/(LN(2)/25)*Calculateur!CG198*Calculateur!CI198*VLOOKUP('Données projet'!$B$12,Paramètres!$A$1:$I$89,3,0)*0.475*44/12</f>
        <v>7.5142317588948071E-2</v>
      </c>
      <c r="CM198" s="21">
        <f>EXP(-LN(2)/2)*CM197+(1-EXP(-LN(2)/2))/(LN(2)/2)*CG198*CJ198*VLOOKUP('Données projet'!$B$12,Paramètres!$A$1:$I$89,3,0)*0.475*44/12</f>
        <v>2.0296256462462859E-24</v>
      </c>
      <c r="CN198" s="22">
        <f t="shared" si="172"/>
        <v>7.5142317588948071E-2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3.4106051316484809E-13</v>
      </c>
      <c r="CU198" s="17">
        <f>CT198*VLOOKUP('Données projet'!$B$13,Paramètres!$A$1:$I$89,3,0)*VLOOKUP('Données projet'!$B$13,Paramètres!$A$1:$I$89,5,0)</f>
        <v>2.6602720026858149E-13</v>
      </c>
      <c r="CV198" s="13">
        <f t="shared" si="173"/>
        <v>3.5662905043956649E-12</v>
      </c>
      <c r="CW198" s="20">
        <f t="shared" si="174"/>
        <v>6.6746200022902298E-12</v>
      </c>
      <c r="CX198" s="59">
        <f t="shared" si="196"/>
        <v>293.33333333333997</v>
      </c>
      <c r="CY198" s="59">
        <f ca="1">AVERAGE(OFFSET($CX$3,0,0,'Données projet'!$E$13+1,1))-AVERAGE(OFFSET($H$3,0,0,'Données projet'!$E$13+1,1))</f>
        <v>190.06335940156185</v>
      </c>
      <c r="CZ198" s="59">
        <f t="shared" si="208"/>
        <v>166.43663896839928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</v>
      </c>
      <c r="DG198" s="21">
        <f>EXP(-LN(2)/25)*DG197+(1-EXP(-LN(2)/25))/(LN(2)/25)*Calculateur!DB198*Calculateur!DD198*VLOOKUP('Données projet'!$B$13,Paramètres!$A$1:$I$89,3,0)*0.475*44/12</f>
        <v>4.6042994221967289E-2</v>
      </c>
      <c r="DH198" s="21">
        <f>EXP(-LN(2)/2)*DH197+(1-EXP(-LN(2)/2))/(LN(2)/2)*DB198*DE198*VLOOKUP('Données projet'!$B$13,Paramètres!$A$1:$I$89,3,0)*0.475*44/12</f>
        <v>7.7885935729092324E-25</v>
      </c>
      <c r="DI198" s="22">
        <f t="shared" si="175"/>
        <v>4.6042994221967289E-2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-1.1368683772161603E-13</v>
      </c>
      <c r="DP198" s="17">
        <f>DO198*VLOOKUP('Données projet'!$B$14,Paramètres!$A$1:$I$89,3,0)*VLOOKUP('Données projet'!$B$14,Paramètres!$A$1:$I$89,5,0)</f>
        <v>-1.0995790944434703E-13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261.22357949323879</v>
      </c>
      <c r="DU198" s="59">
        <f t="shared" si="209"/>
        <v>163.41029152029387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0</v>
      </c>
      <c r="EB198" s="21">
        <f>EXP(-LN(2)/25)*EB197+(1-EXP(-LN(2)/25))/(LN(2)/25)*Calculateur!DW198*Calculateur!DY198*VLOOKUP('Données projet'!$B$14,Paramètres!$A$1:$I$89,3,0)*0.475*44/12</f>
        <v>3.4226187946694596E-2</v>
      </c>
      <c r="EC198" s="21">
        <f>EXP(-LN(2)/2)*EC197+(1-EXP(-LN(2)/2))/(LN(2)/2)*DW198*DZ198*VLOOKUP('Données projet'!$B$14,Paramètres!$A$1:$I$89,3,0)*0.475*44/12</f>
        <v>9.6746206573457596E-25</v>
      </c>
      <c r="ED198" s="22">
        <f t="shared" si="178"/>
        <v>3.4226187946694596E-2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-1.1368683772161603E-13</v>
      </c>
      <c r="EK198" s="17">
        <f>EJ198*VLOOKUP('Données projet'!$B$15,Paramètres!$A$1:$I$89,3,0)*VLOOKUP('Données projet'!$B$15,Paramètres!$A$1:$I$89,5,0)</f>
        <v>-5.3205440053716299E-14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123.60520571614535</v>
      </c>
      <c r="EP198" s="59">
        <f t="shared" si="210"/>
        <v>119.00926870519527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3.3039176004245829E-2</v>
      </c>
      <c r="EW198" s="21">
        <f>EXP(-LN(2)/25)*EW197+(1-EXP(-LN(2)/25))/(LN(2)/25)*Calculateur!ER198*Calculateur!ET198*VLOOKUP('Données projet'!$B$15,Paramètres!$A$1:$I$89,3,0)*0.475*44/12</f>
        <v>4.9241954976727849E-2</v>
      </c>
      <c r="EX198" s="21">
        <f>EXP(-LN(2)/2)*EX197+(1-EXP(-LN(2)/2))/(LN(2)/2)*ER198*EU198*VLOOKUP('Données projet'!$B$15,Paramètres!$A$1:$I$89,3,0)*0.475*44/12</f>
        <v>8.9398498988007973E-25</v>
      </c>
      <c r="EY198" s="22">
        <f t="shared" si="181"/>
        <v>8.2281130980973671E-2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-8.5265128291212022E-14</v>
      </c>
      <c r="FF198" s="17">
        <f>FE198*VLOOKUP('Données projet'!$B$16,Paramètres!$A$1:$I$89,3,0)*VLOOKUP('Données projet'!$B$16,Paramètres!$A$1:$I$89,5,0)</f>
        <v>-6.2516392063116648E-14</v>
      </c>
      <c r="FG198" s="13" t="e">
        <f t="shared" si="182"/>
        <v>#NUM!</v>
      </c>
      <c r="FH198" s="20" t="e">
        <f t="shared" si="183"/>
        <v>#NUM!</v>
      </c>
      <c r="FI198" s="59" t="e">
        <f t="shared" si="199"/>
        <v>#NUM!</v>
      </c>
      <c r="FJ198" s="59">
        <f ca="1">AVERAGE(OFFSET($FI$3,0,0,'Données projet'!$E$16+1,1))-AVERAGE(OFFSET($H$3,0,0,'Données projet'!$E$16+1,1))</f>
        <v>124.15919323713428</v>
      </c>
      <c r="FK198" s="59">
        <f t="shared" si="211"/>
        <v>157.85954678210715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0</v>
      </c>
      <c r="FR198" s="21">
        <f>EXP(-LN(2)/25)*FR197+(1-EXP(-LN(2)/25))/(LN(2)/25)*Calculateur!FM198*Calculateur!FO198*VLOOKUP('Données projet'!$B$16,Paramètres!$A$1:$I$89,3,0)*0.475*44/12</f>
        <v>5.1815291015523637E-2</v>
      </c>
      <c r="FS198" s="21">
        <f>EXP(-LN(2)/2)*FS197+(1-EXP(-LN(2)/2))/(LN(2)/2)*FM198*FP198*VLOOKUP('Données projet'!$B$16,Paramètres!$A$1:$I$89,3,0)*0.475*44/12</f>
        <v>1.0787598864572047E-24</v>
      </c>
      <c r="FT198" s="22">
        <f t="shared" si="184"/>
        <v>5.1815291015523637E-2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-1.1368683772161603E-13</v>
      </c>
      <c r="O199" s="13">
        <f>N199*VLOOKUP('Données projet'!$B$9,Paramètres!$A$1:$I$89,3,0)*VLOOKUP('Données projet'!$B$9,Paramètres!$A$1:$I$89,5,0)</f>
        <v>-1.0286385077051818E-13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237.22177246688199</v>
      </c>
      <c r="T199" s="59">
        <f t="shared" si="204"/>
        <v>149.27472147904302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</v>
      </c>
      <c r="AA199" s="21">
        <f>EXP(-LN(2)/25)*AA198+(1-EXP(-LN(2)/25))/(LN(2)/25)*Calculateur!V199*Calculateur!X199*VLOOKUP('Données projet'!$B$9,Paramètres!$A$1:$I$89,3,0)*0.475*44/12</f>
        <v>3.1142511615646549E-2</v>
      </c>
      <c r="AB199" s="21">
        <f>EXP(-LN(2)/2)*AB198+(1-EXP(-LN(2)/2))/(LN(2)/2)*V199*Y199*VLOOKUP('Données projet'!$B$9,Paramètres!$A$1:$I$89,3,0)*0.475*44/12</f>
        <v>6.3996356869123425E-25</v>
      </c>
      <c r="AC199" s="22">
        <f t="shared" si="163"/>
        <v>3.1142511615646549E-2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-8.5265128291212022E-14</v>
      </c>
      <c r="AJ199" s="13">
        <f>AI199*VLOOKUP('Données projet'!$B$10,Paramètres!$A$1:$I$89,3,0)*VLOOKUP('Données projet'!$B$10,Paramètres!$A$1:$I$89,5,0)</f>
        <v>-7.4487616075202836E-14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191.94797389630673</v>
      </c>
      <c r="AO199" s="59">
        <f t="shared" si="205"/>
        <v>273.52540822767878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9.6156271643095481E-2</v>
      </c>
      <c r="AV199" s="21">
        <f>EXP(-LN(2)/25)*AV198+(1-EXP(-LN(2)/25))/(LN(2)/25)*Calculateur!AQ199*Calculateur!AS199*VLOOKUP('Données projet'!$B$10,Paramètres!$A$1:$I$89,3,0)*0.475*44/12</f>
        <v>0.14085750678403713</v>
      </c>
      <c r="AW199" s="21">
        <f>EXP(-LN(2)/2)*AW198+(1-EXP(-LN(2)/2))/(LN(2)/2)*AQ199*AT199*VLOOKUP('Données projet'!$B$10,Paramètres!$A$1:$I$89,3,0)*0.475*44/12</f>
        <v>2.3991404748748195E-24</v>
      </c>
      <c r="AX199" s="21">
        <f t="shared" si="166"/>
        <v>0.23701377842713262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72.647148358003676</v>
      </c>
      <c r="BJ199" s="59">
        <f t="shared" si="206"/>
        <v>87.231299224620898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4.7523558102945458E-2</v>
      </c>
      <c r="BQ199" s="21">
        <f>EXP(-LN(2)/25)*BQ198+(1-EXP(-LN(2)/25))/(LN(2)/25)*Calculateur!BL199*Calculateur!BN199*VLOOKUP('Données projet'!$B$11,Paramètres!$A$1:$I$89,3,0)*0.475*44/12</f>
        <v>4.5432554324497214E-2</v>
      </c>
      <c r="BR199" s="21">
        <f>EXP(-LN(2)/2)*BR198+(1-EXP(-LN(2)/2))/(LN(2)/2)*BL199*BO199*VLOOKUP('Données projet'!$B$11,Paramètres!$A$1:$I$89,3,0)*0.475*44/12</f>
        <v>2.3583913082833625E-25</v>
      </c>
      <c r="BS199" s="22">
        <f t="shared" si="169"/>
        <v>9.2956112427442672E-2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5.6843418860808015E-14</v>
      </c>
      <c r="BZ199" s="13">
        <f>BY199*VLOOKUP('Données projet'!$B$12,Paramètres!$A$1:$I$89,3,0)*VLOOKUP('Données projet'!$B$12,Paramètres!$A$1:$I$89,5,0)</f>
        <v>3.3992364478763198E-14</v>
      </c>
      <c r="CA199" s="13">
        <f t="shared" si="170"/>
        <v>5.790027782444094E-13</v>
      </c>
      <c r="CB199" s="20">
        <f t="shared" si="171"/>
        <v>1.0676332069095257E-12</v>
      </c>
      <c r="CC199" s="59">
        <f t="shared" si="195"/>
        <v>293.33333333333439</v>
      </c>
      <c r="CD199" s="59">
        <f ca="1">AVERAGE(OFFSET($CC$3,0,0,'Données projet'!$E$12+1,1))-AVERAGE(OFFSET($H$3,0,0,'Données projet'!$E$12+1,1))</f>
        <v>165.39579887388538</v>
      </c>
      <c r="CE199" s="59">
        <f t="shared" si="207"/>
        <v>155.89639262545802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</v>
      </c>
      <c r="CL199" s="21">
        <f>EXP(-LN(2)/25)*CL198+(1-EXP(-LN(2)/25))/(LN(2)/25)*Calculateur!CG199*Calculateur!CI199*VLOOKUP('Données projet'!$B$12,Paramètres!$A$1:$I$89,3,0)*0.475*44/12</f>
        <v>7.3087546962915542E-2</v>
      </c>
      <c r="CM199" s="21">
        <f>EXP(-LN(2)/2)*CM198+(1-EXP(-LN(2)/2))/(LN(2)/2)*CG199*CJ199*VLOOKUP('Données projet'!$B$12,Paramètres!$A$1:$I$89,3,0)*0.475*44/12</f>
        <v>1.4351620577308776E-24</v>
      </c>
      <c r="CN199" s="22">
        <f t="shared" si="172"/>
        <v>7.3087546962915542E-2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3.4106051316484809E-13</v>
      </c>
      <c r="CU199" s="17">
        <f>CT199*VLOOKUP('Données projet'!$B$13,Paramètres!$A$1:$I$89,3,0)*VLOOKUP('Données projet'!$B$13,Paramètres!$A$1:$I$89,5,0)</f>
        <v>2.6602720026858149E-13</v>
      </c>
      <c r="CV199" s="13">
        <f t="shared" si="173"/>
        <v>3.5662905043956649E-12</v>
      </c>
      <c r="CW199" s="20">
        <f t="shared" si="174"/>
        <v>6.6746200022902298E-12</v>
      </c>
      <c r="CX199" s="59">
        <f t="shared" si="196"/>
        <v>293.33333333333997</v>
      </c>
      <c r="CY199" s="59">
        <f ca="1">AVERAGE(OFFSET($CX$3,0,0,'Données projet'!$E$13+1,1))-AVERAGE(OFFSET($H$3,0,0,'Données projet'!$E$13+1,1))</f>
        <v>190.06335940156185</v>
      </c>
      <c r="CZ199" s="59">
        <f t="shared" si="208"/>
        <v>166.43663896839928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</v>
      </c>
      <c r="DG199" s="21">
        <f>EXP(-LN(2)/25)*DG198+(1-EXP(-LN(2)/25))/(LN(2)/25)*Calculateur!DB199*Calculateur!DD199*VLOOKUP('Données projet'!$B$13,Paramètres!$A$1:$I$89,3,0)*0.475*44/12</f>
        <v>4.4783946123671758E-2</v>
      </c>
      <c r="DH199" s="21">
        <f>EXP(-LN(2)/2)*DH198+(1-EXP(-LN(2)/2))/(LN(2)/2)*DB199*DE199*VLOOKUP('Données projet'!$B$13,Paramètres!$A$1:$I$89,3,0)*0.475*44/12</f>
        <v>5.5073673313100789E-25</v>
      </c>
      <c r="DI199" s="22">
        <f t="shared" si="175"/>
        <v>4.4783946123671758E-2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-1.1368683772161603E-13</v>
      </c>
      <c r="DP199" s="17">
        <f>DO199*VLOOKUP('Données projet'!$B$14,Paramètres!$A$1:$I$89,3,0)*VLOOKUP('Données projet'!$B$14,Paramètres!$A$1:$I$89,5,0)</f>
        <v>-1.0995790944434703E-13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261.22357949323879</v>
      </c>
      <c r="DU199" s="59">
        <f t="shared" si="209"/>
        <v>163.41029152029387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0</v>
      </c>
      <c r="EB199" s="21">
        <f>EXP(-LN(2)/25)*EB198+(1-EXP(-LN(2)/25))/(LN(2)/25)*Calculateur!DW199*Calculateur!DY199*VLOOKUP('Données projet'!$B$14,Paramètres!$A$1:$I$89,3,0)*0.475*44/12</f>
        <v>3.3290271037415234E-2</v>
      </c>
      <c r="EC199" s="21">
        <f>EXP(-LN(2)/2)*EC198+(1-EXP(-LN(2)/2))/(LN(2)/2)*DW199*DZ199*VLOOKUP('Données projet'!$B$14,Paramètres!$A$1:$I$89,3,0)*0.475*44/12</f>
        <v>6.8409898722166407E-25</v>
      </c>
      <c r="ED199" s="22">
        <f t="shared" si="178"/>
        <v>3.3290271037415234E-2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-1.1368683772161603E-13</v>
      </c>
      <c r="EK199" s="17">
        <f>EJ199*VLOOKUP('Données projet'!$B$15,Paramètres!$A$1:$I$89,3,0)*VLOOKUP('Données projet'!$B$15,Paramètres!$A$1:$I$89,5,0)</f>
        <v>-5.3205440053716299E-14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123.60520571614535</v>
      </c>
      <c r="EP199" s="59">
        <f t="shared" si="210"/>
        <v>119.00926870519527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3.2391297914710099E-2</v>
      </c>
      <c r="EW199" s="21">
        <f>EXP(-LN(2)/25)*EW198+(1-EXP(-LN(2)/25))/(LN(2)/25)*Calculateur!ER199*Calculateur!ET199*VLOOKUP('Données projet'!$B$15,Paramètres!$A$1:$I$89,3,0)*0.475*44/12</f>
        <v>4.7895431128367361E-2</v>
      </c>
      <c r="EX199" s="21">
        <f>EXP(-LN(2)/2)*EX198+(1-EXP(-LN(2)/2))/(LN(2)/2)*ER199*EU199*VLOOKUP('Données projet'!$B$15,Paramètres!$A$1:$I$89,3,0)*0.475*44/12</f>
        <v>6.3214284862319145E-25</v>
      </c>
      <c r="EY199" s="22">
        <f t="shared" si="181"/>
        <v>8.0286729043077459E-2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-8.5265128291212022E-14</v>
      </c>
      <c r="FF199" s="17">
        <f>FE199*VLOOKUP('Données projet'!$B$16,Paramètres!$A$1:$I$89,3,0)*VLOOKUP('Données projet'!$B$16,Paramètres!$A$1:$I$89,5,0)</f>
        <v>-6.2516392063116648E-14</v>
      </c>
      <c r="FG199" s="13" t="e">
        <f t="shared" si="182"/>
        <v>#NUM!</v>
      </c>
      <c r="FH199" s="20" t="e">
        <f t="shared" si="183"/>
        <v>#NUM!</v>
      </c>
      <c r="FI199" s="59" t="e">
        <f t="shared" si="199"/>
        <v>#NUM!</v>
      </c>
      <c r="FJ199" s="59">
        <f ca="1">AVERAGE(OFFSET($FI$3,0,0,'Données projet'!$E$16+1,1))-AVERAGE(OFFSET($H$3,0,0,'Données projet'!$E$16+1,1))</f>
        <v>124.15919323713428</v>
      </c>
      <c r="FK199" s="59">
        <f t="shared" si="211"/>
        <v>157.85954678210715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0</v>
      </c>
      <c r="FR199" s="21">
        <f>EXP(-LN(2)/25)*FR198+(1-EXP(-LN(2)/25))/(LN(2)/25)*Calculateur!FM199*Calculateur!FO199*VLOOKUP('Données projet'!$B$16,Paramètres!$A$1:$I$89,3,0)*0.475*44/12</f>
        <v>5.0398399157856412E-2</v>
      </c>
      <c r="FS199" s="21">
        <f>EXP(-LN(2)/2)*FS198+(1-EXP(-LN(2)/2))/(LN(2)/2)*FM199*FP199*VLOOKUP('Données projet'!$B$16,Paramètres!$A$1:$I$89,3,0)*0.475*44/12</f>
        <v>7.6279843098591949E-25</v>
      </c>
      <c r="FT199" s="22">
        <f t="shared" si="184"/>
        <v>5.0398399157856412E-2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-1.1368683772161603E-13</v>
      </c>
      <c r="O200" s="13">
        <f>N200*VLOOKUP('Données projet'!$B$9,Paramètres!$A$1:$I$89,3,0)*VLOOKUP('Données projet'!$B$9,Paramètres!$A$1:$I$89,5,0)</f>
        <v>-1.0286385077051818E-13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237.22177246688199</v>
      </c>
      <c r="T200" s="59">
        <f t="shared" si="204"/>
        <v>149.27472147904302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</v>
      </c>
      <c r="AA200" s="21">
        <f>EXP(-LN(2)/25)*AA199+(1-EXP(-LN(2)/25))/(LN(2)/25)*Calculateur!V200*Calculateur!X200*VLOOKUP('Données projet'!$B$9,Paramètres!$A$1:$I$89,3,0)*0.475*44/12</f>
        <v>3.0290917997803184E-2</v>
      </c>
      <c r="AB200" s="21">
        <f>EXP(-LN(2)/2)*AB199+(1-EXP(-LN(2)/2))/(LN(2)/2)*V200*Y200*VLOOKUP('Données projet'!$B$9,Paramètres!$A$1:$I$89,3,0)*0.475*44/12</f>
        <v>4.5252257913391465E-25</v>
      </c>
      <c r="AC200" s="22">
        <f t="shared" si="163"/>
        <v>3.0290917997803184E-2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-8.5265128291212022E-14</v>
      </c>
      <c r="AJ200" s="13">
        <f>AI200*VLOOKUP('Données projet'!$B$10,Paramètres!$A$1:$I$89,3,0)*VLOOKUP('Données projet'!$B$10,Paramètres!$A$1:$I$89,5,0)</f>
        <v>-7.4487616075202836E-14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191.94797389630673</v>
      </c>
      <c r="AO200" s="59">
        <f t="shared" si="205"/>
        <v>273.52540822767878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9.4270705805708926E-2</v>
      </c>
      <c r="AV200" s="21">
        <f>EXP(-LN(2)/25)*AV199+(1-EXP(-LN(2)/25))/(LN(2)/25)*Calculateur!AQ200*Calculateur!AS200*VLOOKUP('Données projet'!$B$10,Paramètres!$A$1:$I$89,3,0)*0.475*44/12</f>
        <v>0.1370057508536533</v>
      </c>
      <c r="AW200" s="21">
        <f>EXP(-LN(2)/2)*AW199+(1-EXP(-LN(2)/2))/(LN(2)/2)*AQ200*AT200*VLOOKUP('Données projet'!$B$10,Paramètres!$A$1:$I$89,3,0)*0.475*44/12</f>
        <v>1.6964484988030986E-24</v>
      </c>
      <c r="AX200" s="21">
        <f t="shared" si="166"/>
        <v>0.23127645665936222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72.647148358003676</v>
      </c>
      <c r="BJ200" s="59">
        <f t="shared" si="206"/>
        <v>87.231299224620898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4.6591650115054964E-2</v>
      </c>
      <c r="BQ200" s="21">
        <f>EXP(-LN(2)/25)*BQ199+(1-EXP(-LN(2)/25))/(LN(2)/25)*Calculateur!BL200*Calculateur!BN200*VLOOKUP('Données projet'!$B$11,Paramètres!$A$1:$I$89,3,0)*0.475*44/12</f>
        <v>4.4190198737299645E-2</v>
      </c>
      <c r="BR200" s="21">
        <f>EXP(-LN(2)/2)*BR199+(1-EXP(-LN(2)/2))/(LN(2)/2)*BL200*BO200*VLOOKUP('Données projet'!$B$11,Paramètres!$A$1:$I$89,3,0)*0.475*44/12</f>
        <v>1.6676344867785792E-25</v>
      </c>
      <c r="BS200" s="22">
        <f t="shared" si="169"/>
        <v>9.0781848852354602E-2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5.6843418860808015E-14</v>
      </c>
      <c r="BZ200" s="13">
        <f>BY200*VLOOKUP('Données projet'!$B$12,Paramètres!$A$1:$I$89,3,0)*VLOOKUP('Données projet'!$B$12,Paramètres!$A$1:$I$89,5,0)</f>
        <v>3.3992364478763198E-14</v>
      </c>
      <c r="CA200" s="13">
        <f t="shared" si="170"/>
        <v>5.790027782444094E-13</v>
      </c>
      <c r="CB200" s="20">
        <f t="shared" si="171"/>
        <v>1.0676332069095257E-12</v>
      </c>
      <c r="CC200" s="59">
        <f t="shared" si="195"/>
        <v>293.33333333333439</v>
      </c>
      <c r="CD200" s="59">
        <f ca="1">AVERAGE(OFFSET($CC$3,0,0,'Données projet'!$E$12+1,1))-AVERAGE(OFFSET($H$3,0,0,'Données projet'!$E$12+1,1))</f>
        <v>165.39579887388538</v>
      </c>
      <c r="CE200" s="59">
        <f t="shared" si="207"/>
        <v>155.89639262545802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</v>
      </c>
      <c r="CL200" s="21">
        <f>EXP(-LN(2)/25)*CL199+(1-EXP(-LN(2)/25))/(LN(2)/25)*Calculateur!CG200*Calculateur!CI200*VLOOKUP('Données projet'!$B$12,Paramètres!$A$1:$I$89,3,0)*0.475*44/12</f>
        <v>7.1088964147707559E-2</v>
      </c>
      <c r="CM200" s="21">
        <f>EXP(-LN(2)/2)*CM199+(1-EXP(-LN(2)/2))/(LN(2)/2)*CG200*CJ200*VLOOKUP('Données projet'!$B$12,Paramètres!$A$1:$I$89,3,0)*0.475*44/12</f>
        <v>1.0148128231231429E-24</v>
      </c>
      <c r="CN200" s="22">
        <f t="shared" si="172"/>
        <v>7.1088964147707559E-2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3.4106051316484809E-13</v>
      </c>
      <c r="CU200" s="17">
        <f>CT200*VLOOKUP('Données projet'!$B$13,Paramètres!$A$1:$I$89,3,0)*VLOOKUP('Données projet'!$B$13,Paramètres!$A$1:$I$89,5,0)</f>
        <v>2.6602720026858149E-13</v>
      </c>
      <c r="CV200" s="13">
        <f t="shared" si="173"/>
        <v>3.5662905043956649E-12</v>
      </c>
      <c r="CW200" s="20">
        <f t="shared" si="174"/>
        <v>6.6746200022902298E-12</v>
      </c>
      <c r="CX200" s="59">
        <f t="shared" si="196"/>
        <v>293.33333333333997</v>
      </c>
      <c r="CY200" s="59">
        <f ca="1">AVERAGE(OFFSET($CX$3,0,0,'Données projet'!$E$13+1,1))-AVERAGE(OFFSET($H$3,0,0,'Données projet'!$E$13+1,1))</f>
        <v>190.06335940156185</v>
      </c>
      <c r="CZ200" s="59">
        <f t="shared" si="208"/>
        <v>166.43663896839928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</v>
      </c>
      <c r="DG200" s="21">
        <f>EXP(-LN(2)/25)*DG199+(1-EXP(-LN(2)/25))/(LN(2)/25)*Calculateur!DB200*Calculateur!DD200*VLOOKUP('Données projet'!$B$13,Paramètres!$A$1:$I$89,3,0)*0.475*44/12</f>
        <v>4.3559326761834584E-2</v>
      </c>
      <c r="DH200" s="21">
        <f>EXP(-LN(2)/2)*DH199+(1-EXP(-LN(2)/2))/(LN(2)/2)*DB200*DE200*VLOOKUP('Données projet'!$B$13,Paramètres!$A$1:$I$89,3,0)*0.475*44/12</f>
        <v>3.8942967864546162E-25</v>
      </c>
      <c r="DI200" s="22">
        <f t="shared" si="175"/>
        <v>4.3559326761834584E-2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-1.1368683772161603E-13</v>
      </c>
      <c r="DP200" s="17">
        <f>DO200*VLOOKUP('Données projet'!$B$14,Paramètres!$A$1:$I$89,3,0)*VLOOKUP('Données projet'!$B$14,Paramètres!$A$1:$I$89,5,0)</f>
        <v>-1.0995790944434703E-13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261.22357949323879</v>
      </c>
      <c r="DU200" s="59">
        <f t="shared" si="209"/>
        <v>163.41029152029387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0</v>
      </c>
      <c r="EB200" s="21">
        <f>EXP(-LN(2)/25)*EB199+(1-EXP(-LN(2)/25))/(LN(2)/25)*Calculateur!DW200*Calculateur!DY200*VLOOKUP('Données projet'!$B$14,Paramètres!$A$1:$I$89,3,0)*0.475*44/12</f>
        <v>3.2379946825237843E-2</v>
      </c>
      <c r="EC200" s="21">
        <f>EXP(-LN(2)/2)*EC199+(1-EXP(-LN(2)/2))/(LN(2)/2)*DW200*DZ200*VLOOKUP('Données projet'!$B$14,Paramètres!$A$1:$I$89,3,0)*0.475*44/12</f>
        <v>4.8373103286728798E-25</v>
      </c>
      <c r="ED200" s="22">
        <f t="shared" si="178"/>
        <v>3.2379946825237843E-2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-1.1368683772161603E-13</v>
      </c>
      <c r="EK200" s="17">
        <f>EJ200*VLOOKUP('Données projet'!$B$15,Paramètres!$A$1:$I$89,3,0)*VLOOKUP('Données projet'!$B$15,Paramètres!$A$1:$I$89,5,0)</f>
        <v>-5.3205440053716299E-14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123.60520571614535</v>
      </c>
      <c r="EP200" s="59">
        <f t="shared" si="210"/>
        <v>119.00926870519527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3.1756124319343548E-2</v>
      </c>
      <c r="EW200" s="21">
        <f>EXP(-LN(2)/25)*EW199+(1-EXP(-LN(2)/25))/(LN(2)/25)*Calculateur!ER200*Calculateur!ET200*VLOOKUP('Données projet'!$B$15,Paramètres!$A$1:$I$89,3,0)*0.475*44/12</f>
        <v>4.65857280454509E-2</v>
      </c>
      <c r="EX200" s="21">
        <f>EXP(-LN(2)/2)*EX199+(1-EXP(-LN(2)/2))/(LN(2)/2)*ER200*EU200*VLOOKUP('Données projet'!$B$15,Paramètres!$A$1:$I$89,3,0)*0.475*44/12</f>
        <v>4.4699249494003987E-25</v>
      </c>
      <c r="EY200" s="22">
        <f t="shared" si="181"/>
        <v>7.8341852364794448E-2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-8.5265128291212022E-14</v>
      </c>
      <c r="FF200" s="17">
        <f>FE200*VLOOKUP('Données projet'!$B$16,Paramètres!$A$1:$I$89,3,0)*VLOOKUP('Données projet'!$B$16,Paramètres!$A$1:$I$89,5,0)</f>
        <v>-6.2516392063116648E-14</v>
      </c>
      <c r="FG200" s="13" t="e">
        <f t="shared" si="182"/>
        <v>#NUM!</v>
      </c>
      <c r="FH200" s="20" t="e">
        <f t="shared" si="183"/>
        <v>#NUM!</v>
      </c>
      <c r="FI200" s="59" t="e">
        <f t="shared" si="199"/>
        <v>#NUM!</v>
      </c>
      <c r="FJ200" s="59">
        <f ca="1">AVERAGE(OFFSET($FI$3,0,0,'Données projet'!$E$16+1,1))-AVERAGE(OFFSET($H$3,0,0,'Données projet'!$E$16+1,1))</f>
        <v>124.15919323713428</v>
      </c>
      <c r="FK200" s="59">
        <f t="shared" si="211"/>
        <v>157.85954678210715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0</v>
      </c>
      <c r="FR200" s="21">
        <f>EXP(-LN(2)/25)*FR199+(1-EXP(-LN(2)/25))/(LN(2)/25)*Calculateur!FM200*Calculateur!FO200*VLOOKUP('Données projet'!$B$16,Paramètres!$A$1:$I$89,3,0)*0.475*44/12</f>
        <v>4.90202522825482E-2</v>
      </c>
      <c r="FS200" s="21">
        <f>EXP(-LN(2)/2)*FS199+(1-EXP(-LN(2)/2))/(LN(2)/2)*FM200*FP200*VLOOKUP('Données projet'!$B$16,Paramètres!$A$1:$I$89,3,0)*0.475*44/12</f>
        <v>5.3937994322860234E-25</v>
      </c>
      <c r="FT200" s="22">
        <f t="shared" si="184"/>
        <v>4.90202522825482E-2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-1.1368683772161603E-13</v>
      </c>
      <c r="O201" s="13">
        <f>N201*VLOOKUP('Données projet'!$B$9,Paramètres!$A$1:$I$89,3,0)*VLOOKUP('Données projet'!$B$9,Paramètres!$A$1:$I$89,5,0)</f>
        <v>-1.0286385077051818E-13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237.22177246688199</v>
      </c>
      <c r="T201" s="59">
        <f t="shared" si="204"/>
        <v>149.27472147904302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</v>
      </c>
      <c r="AA201" s="21">
        <f>EXP(-LN(2)/25)*AA200+(1-EXP(-LN(2)/25))/(LN(2)/25)*Calculateur!V201*Calculateur!X201*VLOOKUP('Données projet'!$B$9,Paramètres!$A$1:$I$89,3,0)*0.475*44/12</f>
        <v>2.946261125222311E-2</v>
      </c>
      <c r="AB201" s="21">
        <f>EXP(-LN(2)/2)*AB200+(1-EXP(-LN(2)/2))/(LN(2)/2)*V201*Y201*VLOOKUP('Données projet'!$B$9,Paramètres!$A$1:$I$89,3,0)*0.475*44/12</f>
        <v>3.1998178434561713E-25</v>
      </c>
      <c r="AC201" s="22">
        <f t="shared" si="163"/>
        <v>2.946261125222311E-2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-8.5265128291212022E-14</v>
      </c>
      <c r="AJ201" s="13">
        <f>AI201*VLOOKUP('Données projet'!$B$10,Paramètres!$A$1:$I$89,3,0)*VLOOKUP('Données projet'!$B$10,Paramètres!$A$1:$I$89,5,0)</f>
        <v>-7.4487616075202836E-14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191.94797389630673</v>
      </c>
      <c r="AO201" s="59">
        <f t="shared" si="205"/>
        <v>273.52540822767878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9.2422114764311919E-2</v>
      </c>
      <c r="AV201" s="21">
        <f>EXP(-LN(2)/25)*AV200+(1-EXP(-LN(2)/25))/(LN(2)/25)*Calculateur!AQ201*Calculateur!AS201*VLOOKUP('Données projet'!$B$10,Paramètres!$A$1:$I$89,3,0)*0.475*44/12</f>
        <v>0.13325932139174085</v>
      </c>
      <c r="AW201" s="21">
        <f>EXP(-LN(2)/2)*AW200+(1-EXP(-LN(2)/2))/(LN(2)/2)*AQ201*AT201*VLOOKUP('Données projet'!$B$10,Paramètres!$A$1:$I$89,3,0)*0.475*44/12</f>
        <v>1.1995702374374097E-24</v>
      </c>
      <c r="AX201" s="21">
        <f t="shared" si="166"/>
        <v>0.22568143615605277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72.647148358003676</v>
      </c>
      <c r="BJ201" s="59">
        <f t="shared" si="206"/>
        <v>87.231299224620898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4.5678016274399255E-2</v>
      </c>
      <c r="BQ201" s="21">
        <f>EXP(-LN(2)/25)*BQ200+(1-EXP(-LN(2)/25))/(LN(2)/25)*Calculateur!BL201*Calculateur!BN201*VLOOKUP('Données projet'!$B$11,Paramètres!$A$1:$I$89,3,0)*0.475*44/12</f>
        <v>4.2981815428966633E-2</v>
      </c>
      <c r="BR201" s="21">
        <f>EXP(-LN(2)/2)*BR200+(1-EXP(-LN(2)/2))/(LN(2)/2)*BL201*BO201*VLOOKUP('Données projet'!$B$11,Paramètres!$A$1:$I$89,3,0)*0.475*44/12</f>
        <v>1.1791956541416812E-25</v>
      </c>
      <c r="BS201" s="22">
        <f t="shared" si="169"/>
        <v>8.8659831703365888E-2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5.6843418860808015E-14</v>
      </c>
      <c r="BZ201" s="13">
        <f>BY201*VLOOKUP('Données projet'!$B$12,Paramètres!$A$1:$I$89,3,0)*VLOOKUP('Données projet'!$B$12,Paramètres!$A$1:$I$89,5,0)</f>
        <v>3.3992364478763198E-14</v>
      </c>
      <c r="CA201" s="13">
        <f t="shared" si="170"/>
        <v>5.790027782444094E-13</v>
      </c>
      <c r="CB201" s="20">
        <f t="shared" si="171"/>
        <v>1.0676332069095257E-12</v>
      </c>
      <c r="CC201" s="59">
        <f t="shared" si="195"/>
        <v>293.33333333333439</v>
      </c>
      <c r="CD201" s="59">
        <f ca="1">AVERAGE(OFFSET($CC$3,0,0,'Données projet'!$E$12+1,1))-AVERAGE(OFFSET($H$3,0,0,'Données projet'!$E$12+1,1))</f>
        <v>165.39579887388538</v>
      </c>
      <c r="CE201" s="59">
        <f t="shared" si="207"/>
        <v>155.89639262545802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</v>
      </c>
      <c r="CL201" s="21">
        <f>EXP(-LN(2)/25)*CL200+(1-EXP(-LN(2)/25))/(LN(2)/25)*Calculateur!CG201*Calculateur!CI201*VLOOKUP('Données projet'!$B$12,Paramètres!$A$1:$I$89,3,0)*0.475*44/12</f>
        <v>6.9145032684682348E-2</v>
      </c>
      <c r="CM201" s="21">
        <f>EXP(-LN(2)/2)*CM200+(1-EXP(-LN(2)/2))/(LN(2)/2)*CG201*CJ201*VLOOKUP('Données projet'!$B$12,Paramètres!$A$1:$I$89,3,0)*0.475*44/12</f>
        <v>7.175810288654388E-25</v>
      </c>
      <c r="CN201" s="22">
        <f t="shared" si="172"/>
        <v>6.9145032684682348E-2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3.4106051316484809E-13</v>
      </c>
      <c r="CU201" s="17">
        <f>CT201*VLOOKUP('Données projet'!$B$13,Paramètres!$A$1:$I$89,3,0)*VLOOKUP('Données projet'!$B$13,Paramètres!$A$1:$I$89,5,0)</f>
        <v>2.6602720026858149E-13</v>
      </c>
      <c r="CV201" s="13">
        <f t="shared" si="173"/>
        <v>3.5662905043956649E-12</v>
      </c>
      <c r="CW201" s="20">
        <f t="shared" si="174"/>
        <v>6.6746200022902298E-12</v>
      </c>
      <c r="CX201" s="59">
        <f t="shared" si="196"/>
        <v>293.33333333333997</v>
      </c>
      <c r="CY201" s="59">
        <f ca="1">AVERAGE(OFFSET($CX$3,0,0,'Données projet'!$E$13+1,1))-AVERAGE(OFFSET($H$3,0,0,'Données projet'!$E$13+1,1))</f>
        <v>190.06335940156185</v>
      </c>
      <c r="CZ201" s="59">
        <f t="shared" si="208"/>
        <v>166.43663896839928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</v>
      </c>
      <c r="DG201" s="21">
        <f>EXP(-LN(2)/25)*DG200+(1-EXP(-LN(2)/25))/(LN(2)/25)*Calculateur!DB201*Calculateur!DD201*VLOOKUP('Données projet'!$B$13,Paramètres!$A$1:$I$89,3,0)*0.475*44/12</f>
        <v>4.236819468084678E-2</v>
      </c>
      <c r="DH201" s="21">
        <f>EXP(-LN(2)/2)*DH200+(1-EXP(-LN(2)/2))/(LN(2)/2)*DB201*DE201*VLOOKUP('Données projet'!$B$13,Paramètres!$A$1:$I$89,3,0)*0.475*44/12</f>
        <v>2.7536836656550395E-25</v>
      </c>
      <c r="DI201" s="22">
        <f t="shared" si="175"/>
        <v>4.236819468084678E-2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-1.1368683772161603E-13</v>
      </c>
      <c r="DP201" s="17">
        <f>DO201*VLOOKUP('Données projet'!$B$14,Paramètres!$A$1:$I$89,3,0)*VLOOKUP('Données projet'!$B$14,Paramètres!$A$1:$I$89,5,0)</f>
        <v>-1.0995790944434703E-13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261.22357949323879</v>
      </c>
      <c r="DU201" s="59">
        <f t="shared" si="209"/>
        <v>163.41029152029387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0</v>
      </c>
      <c r="EB201" s="21">
        <f>EXP(-LN(2)/25)*EB200+(1-EXP(-LN(2)/25))/(LN(2)/25)*Calculateur!DW201*Calculateur!DY201*VLOOKUP('Données projet'!$B$14,Paramètres!$A$1:$I$89,3,0)*0.475*44/12</f>
        <v>3.1494515476514315E-2</v>
      </c>
      <c r="EC201" s="21">
        <f>EXP(-LN(2)/2)*EC200+(1-EXP(-LN(2)/2))/(LN(2)/2)*DW201*DZ201*VLOOKUP('Données projet'!$B$14,Paramètres!$A$1:$I$89,3,0)*0.475*44/12</f>
        <v>3.4204949361083204E-25</v>
      </c>
      <c r="ED201" s="22">
        <f t="shared" si="178"/>
        <v>3.1494515476514315E-2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-1.1368683772161603E-13</v>
      </c>
      <c r="EK201" s="17">
        <f>EJ201*VLOOKUP('Données projet'!$B$15,Paramètres!$A$1:$I$89,3,0)*VLOOKUP('Données projet'!$B$15,Paramètres!$A$1:$I$89,5,0)</f>
        <v>-5.3205440053716299E-14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123.60520571614535</v>
      </c>
      <c r="EP201" s="59">
        <f t="shared" si="210"/>
        <v>119.00926870519527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3.1133406090764495E-2</v>
      </c>
      <c r="EW201" s="21">
        <f>EXP(-LN(2)/25)*EW200+(1-EXP(-LN(2)/25))/(LN(2)/25)*Calculateur!ER201*Calculateur!ET201*VLOOKUP('Données projet'!$B$15,Paramètres!$A$1:$I$89,3,0)*0.475*44/12</f>
        <v>4.531183886221108E-2</v>
      </c>
      <c r="EX201" s="21">
        <f>EXP(-LN(2)/2)*EX200+(1-EXP(-LN(2)/2))/(LN(2)/2)*ER201*EU201*VLOOKUP('Données projet'!$B$15,Paramètres!$A$1:$I$89,3,0)*0.475*44/12</f>
        <v>3.1607142431159573E-25</v>
      </c>
      <c r="EY201" s="22">
        <f t="shared" si="181"/>
        <v>7.6445244952975583E-2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-8.5265128291212022E-14</v>
      </c>
      <c r="FF201" s="17">
        <f>FE201*VLOOKUP('Données projet'!$B$16,Paramètres!$A$1:$I$89,3,0)*VLOOKUP('Données projet'!$B$16,Paramètres!$A$1:$I$89,5,0)</f>
        <v>-6.2516392063116648E-14</v>
      </c>
      <c r="FG201" s="13" t="e">
        <f t="shared" si="182"/>
        <v>#NUM!</v>
      </c>
      <c r="FH201" s="20" t="e">
        <f t="shared" si="183"/>
        <v>#NUM!</v>
      </c>
      <c r="FI201" s="59" t="e">
        <f t="shared" si="199"/>
        <v>#NUM!</v>
      </c>
      <c r="FJ201" s="59">
        <f ca="1">AVERAGE(OFFSET($FI$3,0,0,'Données projet'!$E$16+1,1))-AVERAGE(OFFSET($H$3,0,0,'Données projet'!$E$16+1,1))</f>
        <v>124.15919323713428</v>
      </c>
      <c r="FK201" s="59">
        <f t="shared" si="211"/>
        <v>157.85954678210715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0</v>
      </c>
      <c r="FR201" s="21">
        <f>EXP(-LN(2)/25)*FR200+(1-EXP(-LN(2)/25))/(LN(2)/25)*Calculateur!FM201*Calculateur!FO201*VLOOKUP('Données projet'!$B$16,Paramètres!$A$1:$I$89,3,0)*0.475*44/12</f>
        <v>4.7679790906018892E-2</v>
      </c>
      <c r="FS201" s="21">
        <f>EXP(-LN(2)/2)*FS200+(1-EXP(-LN(2)/2))/(LN(2)/2)*FM201*FP201*VLOOKUP('Données projet'!$B$16,Paramètres!$A$1:$I$89,3,0)*0.475*44/12</f>
        <v>3.8139921549295975E-25</v>
      </c>
      <c r="FT201" s="22">
        <f t="shared" si="184"/>
        <v>4.7679790906018892E-2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-1.1368683772161603E-13</v>
      </c>
      <c r="O202" s="13">
        <f>N202*VLOOKUP('Données projet'!$B$9,Paramètres!$A$1:$I$89,3,0)*VLOOKUP('Données projet'!$B$9,Paramètres!$A$1:$I$89,5,0)</f>
        <v>-1.0286385077051818E-13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237.22177246688199</v>
      </c>
      <c r="T202" s="59">
        <f t="shared" si="204"/>
        <v>149.27472147904302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</v>
      </c>
      <c r="AA202" s="21">
        <f>EXP(-LN(2)/25)*AA201+(1-EXP(-LN(2)/25))/(LN(2)/25)*Calculateur!V202*Calculateur!X202*VLOOKUP('Données projet'!$B$9,Paramètres!$A$1:$I$89,3,0)*0.475*44/12</f>
        <v>2.865695459815968E-2</v>
      </c>
      <c r="AB202" s="21">
        <f>EXP(-LN(2)/2)*AB201+(1-EXP(-LN(2)/2))/(LN(2)/2)*V202*Y202*VLOOKUP('Données projet'!$B$9,Paramètres!$A$1:$I$89,3,0)*0.475*44/12</f>
        <v>2.2626128956695732E-25</v>
      </c>
      <c r="AC202" s="22">
        <f t="shared" si="163"/>
        <v>2.865695459815968E-2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-8.5265128291212022E-14</v>
      </c>
      <c r="AJ202" s="13">
        <f>AI202*VLOOKUP('Données projet'!$B$10,Paramètres!$A$1:$I$89,3,0)*VLOOKUP('Données projet'!$B$10,Paramètres!$A$1:$I$89,5,0)</f>
        <v>-7.4487616075202836E-14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191.94797389630673</v>
      </c>
      <c r="AO202" s="59">
        <f t="shared" si="205"/>
        <v>273.52540822767878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9.0609773465707505E-2</v>
      </c>
      <c r="AV202" s="21">
        <f>EXP(-LN(2)/25)*AV201+(1-EXP(-LN(2)/25))/(LN(2)/25)*Calculateur!AQ202*Calculateur!AS202*VLOOKUP('Données projet'!$B$10,Paramètres!$A$1:$I$89,3,0)*0.475*44/12</f>
        <v>0.12961533824048055</v>
      </c>
      <c r="AW202" s="21">
        <f>EXP(-LN(2)/2)*AW201+(1-EXP(-LN(2)/2))/(LN(2)/2)*AQ202*AT202*VLOOKUP('Données projet'!$B$10,Paramètres!$A$1:$I$89,3,0)*0.475*44/12</f>
        <v>8.4822424940154932E-25</v>
      </c>
      <c r="AX202" s="21">
        <f t="shared" si="166"/>
        <v>0.22022511170618805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72.647148358003676</v>
      </c>
      <c r="BJ202" s="59">
        <f t="shared" si="206"/>
        <v>87.231299224620898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4.4782298236097182E-2</v>
      </c>
      <c r="BQ202" s="21">
        <f>EXP(-LN(2)/25)*BQ201+(1-EXP(-LN(2)/25))/(LN(2)/25)*Calculateur!BL202*Calculateur!BN202*VLOOKUP('Données projet'!$B$11,Paramètres!$A$1:$I$89,3,0)*0.475*44/12</f>
        <v>4.1806475425746101E-2</v>
      </c>
      <c r="BR202" s="21">
        <f>EXP(-LN(2)/2)*BR201+(1-EXP(-LN(2)/2))/(LN(2)/2)*BL202*BO202*VLOOKUP('Données projet'!$B$11,Paramètres!$A$1:$I$89,3,0)*0.475*44/12</f>
        <v>8.3381724338928958E-26</v>
      </c>
      <c r="BS202" s="22">
        <f t="shared" si="169"/>
        <v>8.6588773661843282E-2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5.6843418860808015E-14</v>
      </c>
      <c r="BZ202" s="13">
        <f>BY202*VLOOKUP('Données projet'!$B$12,Paramètres!$A$1:$I$89,3,0)*VLOOKUP('Données projet'!$B$12,Paramètres!$A$1:$I$89,5,0)</f>
        <v>3.3992364478763198E-14</v>
      </c>
      <c r="CA202" s="13">
        <f t="shared" si="170"/>
        <v>5.790027782444094E-13</v>
      </c>
      <c r="CB202" s="20">
        <f t="shared" si="171"/>
        <v>1.0676332069095257E-12</v>
      </c>
      <c r="CC202" s="59">
        <f t="shared" si="195"/>
        <v>293.33333333333439</v>
      </c>
      <c r="CD202" s="59">
        <f ca="1">AVERAGE(OFFSET($CC$3,0,0,'Données projet'!$E$12+1,1))-AVERAGE(OFFSET($H$3,0,0,'Données projet'!$E$12+1,1))</f>
        <v>165.39579887388538</v>
      </c>
      <c r="CE202" s="59">
        <f t="shared" si="207"/>
        <v>155.89639262545802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</v>
      </c>
      <c r="CL202" s="21">
        <f>EXP(-LN(2)/25)*CL201+(1-EXP(-LN(2)/25))/(LN(2)/25)*Calculateur!CG202*Calculateur!CI202*VLOOKUP('Données projet'!$B$12,Paramètres!$A$1:$I$89,3,0)*0.475*44/12</f>
        <v>6.725425812974048E-2</v>
      </c>
      <c r="CM202" s="21">
        <f>EXP(-LN(2)/2)*CM201+(1-EXP(-LN(2)/2))/(LN(2)/2)*CG202*CJ202*VLOOKUP('Données projet'!$B$12,Paramètres!$A$1:$I$89,3,0)*0.475*44/12</f>
        <v>5.0740641156157147E-25</v>
      </c>
      <c r="CN202" s="22">
        <f t="shared" si="172"/>
        <v>6.725425812974048E-2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3.4106051316484809E-13</v>
      </c>
      <c r="CU202" s="17">
        <f>CT202*VLOOKUP('Données projet'!$B$13,Paramètres!$A$1:$I$89,3,0)*VLOOKUP('Données projet'!$B$13,Paramètres!$A$1:$I$89,5,0)</f>
        <v>2.6602720026858149E-13</v>
      </c>
      <c r="CV202" s="13">
        <f t="shared" si="173"/>
        <v>3.5662905043956649E-12</v>
      </c>
      <c r="CW202" s="20">
        <f t="shared" si="174"/>
        <v>6.6746200022902298E-12</v>
      </c>
      <c r="CX202" s="59">
        <f t="shared" si="196"/>
        <v>293.33333333333997</v>
      </c>
      <c r="CY202" s="59">
        <f ca="1">AVERAGE(OFFSET($CX$3,0,0,'Données projet'!$E$13+1,1))-AVERAGE(OFFSET($H$3,0,0,'Données projet'!$E$13+1,1))</f>
        <v>190.06335940156185</v>
      </c>
      <c r="CZ202" s="59">
        <f t="shared" si="208"/>
        <v>166.43663896839928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</v>
      </c>
      <c r="DG202" s="21">
        <f>EXP(-LN(2)/25)*DG201+(1-EXP(-LN(2)/25))/(LN(2)/25)*Calculateur!DB202*Calculateur!DD202*VLOOKUP('Données projet'!$B$13,Paramètres!$A$1:$I$89,3,0)*0.475*44/12</f>
        <v>4.1209634169252503E-2</v>
      </c>
      <c r="DH202" s="21">
        <f>EXP(-LN(2)/2)*DH201+(1-EXP(-LN(2)/2))/(LN(2)/2)*DB202*DE202*VLOOKUP('Données projet'!$B$13,Paramètres!$A$1:$I$89,3,0)*0.475*44/12</f>
        <v>1.9471483932273081E-25</v>
      </c>
      <c r="DI202" s="22">
        <f t="shared" si="175"/>
        <v>4.1209634169252503E-2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-1.1368683772161603E-13</v>
      </c>
      <c r="DP202" s="17">
        <f>DO202*VLOOKUP('Données projet'!$B$14,Paramètres!$A$1:$I$89,3,0)*VLOOKUP('Données projet'!$B$14,Paramètres!$A$1:$I$89,5,0)</f>
        <v>-1.0995790944434703E-13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261.22357949323879</v>
      </c>
      <c r="DU202" s="59">
        <f t="shared" si="209"/>
        <v>163.41029152029387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0</v>
      </c>
      <c r="EB202" s="21">
        <f>EXP(-LN(2)/25)*EB201+(1-EXP(-LN(2)/25))/(LN(2)/25)*Calculateur!DW202*Calculateur!DY202*VLOOKUP('Données projet'!$B$14,Paramètres!$A$1:$I$89,3,0)*0.475*44/12</f>
        <v>3.0633296294584444E-2</v>
      </c>
      <c r="EC202" s="21">
        <f>EXP(-LN(2)/2)*EC201+(1-EXP(-LN(2)/2))/(LN(2)/2)*DW202*DZ202*VLOOKUP('Données projet'!$B$14,Paramètres!$A$1:$I$89,3,0)*0.475*44/12</f>
        <v>2.4186551643364399E-25</v>
      </c>
      <c r="ED202" s="22">
        <f t="shared" si="178"/>
        <v>3.0633296294584444E-2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-1.1368683772161603E-13</v>
      </c>
      <c r="EK202" s="17">
        <f>EJ202*VLOOKUP('Données projet'!$B$15,Paramètres!$A$1:$I$89,3,0)*VLOOKUP('Données projet'!$B$15,Paramètres!$A$1:$I$89,5,0)</f>
        <v>-5.3205440053716299E-14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123.60520571614535</v>
      </c>
      <c r="EP202" s="59">
        <f t="shared" si="210"/>
        <v>119.00926870519527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3.0522898986827262E-2</v>
      </c>
      <c r="EW202" s="21">
        <f>EXP(-LN(2)/25)*EW201+(1-EXP(-LN(2)/25))/(LN(2)/25)*Calculateur!ER202*Calculateur!ET202*VLOOKUP('Données projet'!$B$15,Paramètres!$A$1:$I$89,3,0)*0.475*44/12</f>
        <v>4.4072784245677878E-2</v>
      </c>
      <c r="EX202" s="21">
        <f>EXP(-LN(2)/2)*EX201+(1-EXP(-LN(2)/2))/(LN(2)/2)*ER202*EU202*VLOOKUP('Données projet'!$B$15,Paramètres!$A$1:$I$89,3,0)*0.475*44/12</f>
        <v>2.2349624747001993E-25</v>
      </c>
      <c r="EY202" s="22">
        <f t="shared" si="181"/>
        <v>7.4595683232505136E-2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-8.5265128291212022E-14</v>
      </c>
      <c r="FF202" s="17">
        <f>FE202*VLOOKUP('Données projet'!$B$16,Paramètres!$A$1:$I$89,3,0)*VLOOKUP('Données projet'!$B$16,Paramètres!$A$1:$I$89,5,0)</f>
        <v>-6.2516392063116648E-14</v>
      </c>
      <c r="FG202" s="13" t="e">
        <f t="shared" si="182"/>
        <v>#NUM!</v>
      </c>
      <c r="FH202" s="20" t="e">
        <f t="shared" si="183"/>
        <v>#NUM!</v>
      </c>
      <c r="FI202" s="59" t="e">
        <f t="shared" si="199"/>
        <v>#NUM!</v>
      </c>
      <c r="FJ202" s="59">
        <f ca="1">AVERAGE(OFFSET($FI$3,0,0,'Données projet'!$E$16+1,1))-AVERAGE(OFFSET($H$3,0,0,'Données projet'!$E$16+1,1))</f>
        <v>124.15919323713428</v>
      </c>
      <c r="FK202" s="59">
        <f t="shared" si="211"/>
        <v>157.85954678210715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0</v>
      </c>
      <c r="FR202" s="21">
        <f>EXP(-LN(2)/25)*FR201+(1-EXP(-LN(2)/25))/(LN(2)/25)*Calculateur!FM202*Calculateur!FO202*VLOOKUP('Données projet'!$B$16,Paramètres!$A$1:$I$89,3,0)*0.475*44/12</f>
        <v>4.6375984516322577E-2</v>
      </c>
      <c r="FS202" s="21">
        <f>EXP(-LN(2)/2)*FS201+(1-EXP(-LN(2)/2))/(LN(2)/2)*FM202*FP202*VLOOKUP('Données projet'!$B$16,Paramètres!$A$1:$I$89,3,0)*0.475*44/12</f>
        <v>2.6968997161430117E-25</v>
      </c>
      <c r="FT202" s="22">
        <f t="shared" si="184"/>
        <v>4.6375984516322577E-2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-1.1368683772161603E-13</v>
      </c>
      <c r="O203" s="13">
        <f>N203*VLOOKUP('Données projet'!$B$9,Paramètres!$A$1:$I$89,3,0)*VLOOKUP('Données projet'!$B$9,Paramètres!$A$1:$I$89,5,0)</f>
        <v>-1.0286385077051818E-13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237.22177246688199</v>
      </c>
      <c r="T203" s="59">
        <f t="shared" si="204"/>
        <v>149.27472147904302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</v>
      </c>
      <c r="AA203" s="21">
        <f>EXP(-LN(2)/25)*AA202+(1-EXP(-LN(2)/25))/(LN(2)/25)*Calculateur!V203*Calculateur!X203*VLOOKUP('Données projet'!$B$9,Paramètres!$A$1:$I$89,3,0)*0.475*44/12</f>
        <v>2.7873328667669256E-2</v>
      </c>
      <c r="AB203" s="21">
        <f>EXP(-LN(2)/2)*AB202+(1-EXP(-LN(2)/2))/(LN(2)/2)*V203*Y203*VLOOKUP('Données projet'!$B$9,Paramètres!$A$1:$I$89,3,0)*0.475*44/12</f>
        <v>1.5999089217280856E-25</v>
      </c>
      <c r="AC203" s="22">
        <f t="shared" si="163"/>
        <v>2.7873328667669256E-2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-8.5265128291212022E-14</v>
      </c>
      <c r="AJ203" s="13">
        <f>AI203*VLOOKUP('Données projet'!$B$10,Paramètres!$A$1:$I$89,3,0)*VLOOKUP('Données projet'!$B$10,Paramètres!$A$1:$I$89,5,0)</f>
        <v>-7.4487616075202836E-14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191.94797389630673</v>
      </c>
      <c r="AO203" s="59">
        <f t="shared" si="205"/>
        <v>273.52540822767878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8.8832971074549683E-2</v>
      </c>
      <c r="AV203" s="21">
        <f>EXP(-LN(2)/25)*AV202+(1-EXP(-LN(2)/25))/(LN(2)/25)*Calculateur!AQ203*Calculateur!AS203*VLOOKUP('Données projet'!$B$10,Paramètres!$A$1:$I$89,3,0)*0.475*44/12</f>
        <v>0.1260710000001202</v>
      </c>
      <c r="AW203" s="21">
        <f>EXP(-LN(2)/2)*AW202+(1-EXP(-LN(2)/2))/(LN(2)/2)*AQ203*AT203*VLOOKUP('Données projet'!$B$10,Paramètres!$A$1:$I$89,3,0)*0.475*44/12</f>
        <v>5.9978511871870487E-25</v>
      </c>
      <c r="AX203" s="21">
        <f t="shared" si="166"/>
        <v>0.21490397107466988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72.647148358003676</v>
      </c>
      <c r="BJ203" s="59">
        <f t="shared" si="206"/>
        <v>87.231299224620898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4.3904144682192156E-2</v>
      </c>
      <c r="BQ203" s="21">
        <f>EXP(-LN(2)/25)*BQ202+(1-EXP(-LN(2)/25))/(LN(2)/25)*Calculateur!BL203*Calculateur!BN203*VLOOKUP('Données projet'!$B$11,Paramètres!$A$1:$I$89,3,0)*0.475*44/12</f>
        <v>4.0663275156722078E-2</v>
      </c>
      <c r="BR203" s="21">
        <f>EXP(-LN(2)/2)*BR202+(1-EXP(-LN(2)/2))/(LN(2)/2)*BL203*BO203*VLOOKUP('Données projet'!$B$11,Paramètres!$A$1:$I$89,3,0)*0.475*44/12</f>
        <v>5.8959782707084062E-26</v>
      </c>
      <c r="BS203" s="22">
        <f t="shared" si="169"/>
        <v>8.4567419838914235E-2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5.6843418860808015E-14</v>
      </c>
      <c r="BZ203" s="13">
        <f>BY203*VLOOKUP('Données projet'!$B$12,Paramètres!$A$1:$I$89,3,0)*VLOOKUP('Données projet'!$B$12,Paramètres!$A$1:$I$89,5,0)</f>
        <v>3.3992364478763198E-14</v>
      </c>
      <c r="CA203" s="13">
        <f t="shared" si="170"/>
        <v>5.790027782444094E-13</v>
      </c>
      <c r="CB203" s="20">
        <f t="shared" si="171"/>
        <v>1.0676332069095257E-12</v>
      </c>
      <c r="CC203" s="59">
        <f t="shared" si="195"/>
        <v>293.33333333333439</v>
      </c>
      <c r="CD203" s="59">
        <f ca="1">AVERAGE(OFFSET($CC$3,0,0,'Données projet'!$E$12+1,1))-AVERAGE(OFFSET($H$3,0,0,'Données projet'!$E$12+1,1))</f>
        <v>165.39579887388538</v>
      </c>
      <c r="CE203" s="59">
        <f t="shared" si="207"/>
        <v>155.89639262545802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</v>
      </c>
      <c r="CL203" s="21">
        <f>EXP(-LN(2)/25)*CL202+(1-EXP(-LN(2)/25))/(LN(2)/25)*Calculateur!CG203*Calculateur!CI203*VLOOKUP('Données projet'!$B$12,Paramètres!$A$1:$I$89,3,0)*0.475*44/12</f>
        <v>6.5415186904434999E-2</v>
      </c>
      <c r="CM203" s="21">
        <f>EXP(-LN(2)/2)*CM202+(1-EXP(-LN(2)/2))/(LN(2)/2)*CG203*CJ203*VLOOKUP('Données projet'!$B$12,Paramètres!$A$1:$I$89,3,0)*0.475*44/12</f>
        <v>3.587905144327194E-25</v>
      </c>
      <c r="CN203" s="22">
        <f t="shared" si="172"/>
        <v>6.5415186904434999E-2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3.4106051316484809E-13</v>
      </c>
      <c r="CU203" s="17">
        <f>CT203*VLOOKUP('Données projet'!$B$13,Paramètres!$A$1:$I$89,3,0)*VLOOKUP('Données projet'!$B$13,Paramètres!$A$1:$I$89,5,0)</f>
        <v>2.6602720026858149E-13</v>
      </c>
      <c r="CV203" s="13">
        <f t="shared" si="173"/>
        <v>3.5662905043956649E-12</v>
      </c>
      <c r="CW203" s="20">
        <f t="shared" si="174"/>
        <v>6.6746200022902298E-12</v>
      </c>
      <c r="CX203" s="59">
        <f t="shared" si="196"/>
        <v>293.33333333333997</v>
      </c>
      <c r="CY203" s="59">
        <f ca="1">AVERAGE(OFFSET($CX$3,0,0,'Données projet'!$E$13+1,1))-AVERAGE(OFFSET($H$3,0,0,'Données projet'!$E$13+1,1))</f>
        <v>190.06335940156185</v>
      </c>
      <c r="CZ203" s="59">
        <f t="shared" si="208"/>
        <v>166.43663896839928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</v>
      </c>
      <c r="DG203" s="21">
        <f>EXP(-LN(2)/25)*DG202+(1-EXP(-LN(2)/25))/(LN(2)/25)*Calculateur!DB203*Calculateur!DD203*VLOOKUP('Données projet'!$B$13,Paramètres!$A$1:$I$89,3,0)*0.475*44/12</f>
        <v>4.0082754555773821E-2</v>
      </c>
      <c r="DH203" s="21">
        <f>EXP(-LN(2)/2)*DH202+(1-EXP(-LN(2)/2))/(LN(2)/2)*DB203*DE203*VLOOKUP('Données projet'!$B$13,Paramètres!$A$1:$I$89,3,0)*0.475*44/12</f>
        <v>1.3768418328275197E-25</v>
      </c>
      <c r="DI203" s="22">
        <f t="shared" si="175"/>
        <v>4.0082754555773821E-2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-1.1368683772161603E-13</v>
      </c>
      <c r="DP203" s="17">
        <f>DO203*VLOOKUP('Données projet'!$B$14,Paramètres!$A$1:$I$89,3,0)*VLOOKUP('Données projet'!$B$14,Paramètres!$A$1:$I$89,5,0)</f>
        <v>-1.0995790944434703E-13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261.22357949323879</v>
      </c>
      <c r="DU203" s="59">
        <f t="shared" si="209"/>
        <v>163.41029152029387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0</v>
      </c>
      <c r="EB203" s="21">
        <f>EXP(-LN(2)/25)*EB202+(1-EXP(-LN(2)/25))/(LN(2)/25)*Calculateur!DW203*Calculateur!DY203*VLOOKUP('Données projet'!$B$14,Paramètres!$A$1:$I$89,3,0)*0.475*44/12</f>
        <v>2.9795627196473995E-2</v>
      </c>
      <c r="EC203" s="21">
        <f>EXP(-LN(2)/2)*EC202+(1-EXP(-LN(2)/2))/(LN(2)/2)*DW203*DZ203*VLOOKUP('Données projet'!$B$14,Paramètres!$A$1:$I$89,3,0)*0.475*44/12</f>
        <v>1.7102474680541602E-25</v>
      </c>
      <c r="ED203" s="22">
        <f t="shared" si="178"/>
        <v>2.9795627196473995E-2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-1.1368683772161603E-13</v>
      </c>
      <c r="EK203" s="17">
        <f>EJ203*VLOOKUP('Données projet'!$B$15,Paramètres!$A$1:$I$89,3,0)*VLOOKUP('Données projet'!$B$15,Paramètres!$A$1:$I$89,5,0)</f>
        <v>-5.3205440053716299E-14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123.60520571614535</v>
      </c>
      <c r="EP203" s="59">
        <f t="shared" si="210"/>
        <v>119.00926870519527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2.9924363554825674E-2</v>
      </c>
      <c r="EW203" s="21">
        <f>EXP(-LN(2)/25)*EW202+(1-EXP(-LN(2)/25))/(LN(2)/25)*Calculateur!ER203*Calculateur!ET203*VLOOKUP('Données projet'!$B$15,Paramètres!$A$1:$I$89,3,0)*0.475*44/12</f>
        <v>4.2867611642792819E-2</v>
      </c>
      <c r="EX203" s="21">
        <f>EXP(-LN(2)/2)*EX202+(1-EXP(-LN(2)/2))/(LN(2)/2)*ER203*EU203*VLOOKUP('Données projet'!$B$15,Paramètres!$A$1:$I$89,3,0)*0.475*44/12</f>
        <v>1.5803571215579786E-25</v>
      </c>
      <c r="EY203" s="22">
        <f t="shared" si="181"/>
        <v>7.2791975197618486E-2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-8.5265128291212022E-14</v>
      </c>
      <c r="FF203" s="17">
        <f>FE203*VLOOKUP('Données projet'!$B$16,Paramètres!$A$1:$I$89,3,0)*VLOOKUP('Données projet'!$B$16,Paramètres!$A$1:$I$89,5,0)</f>
        <v>-6.2516392063116648E-14</v>
      </c>
      <c r="FG203" s="13" t="e">
        <f t="shared" si="182"/>
        <v>#NUM!</v>
      </c>
      <c r="FH203" s="20" t="e">
        <f t="shared" si="183"/>
        <v>#NUM!</v>
      </c>
      <c r="FI203" s="59" t="e">
        <f t="shared" si="199"/>
        <v>#NUM!</v>
      </c>
      <c r="FJ203" s="59">
        <f ca="1">AVERAGE(OFFSET($FI$3,0,0,'Données projet'!$E$16+1,1))-AVERAGE(OFFSET($H$3,0,0,'Données projet'!$E$16+1,1))</f>
        <v>124.15919323713428</v>
      </c>
      <c r="FK203" s="59">
        <f t="shared" si="211"/>
        <v>157.85954678210715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0</v>
      </c>
      <c r="FR203" s="21">
        <f>EXP(-LN(2)/25)*FR202+(1-EXP(-LN(2)/25))/(LN(2)/25)*Calculateur!FM203*Calculateur!FO203*VLOOKUP('Données projet'!$B$16,Paramètres!$A$1:$I$89,3,0)*0.475*44/12</f>
        <v>4.5107830780916701E-2</v>
      </c>
      <c r="FS203" s="21">
        <f>EXP(-LN(2)/2)*FS202+(1-EXP(-LN(2)/2))/(LN(2)/2)*FM203*FP203*VLOOKUP('Données projet'!$B$16,Paramètres!$A$1:$I$89,3,0)*0.475*44/12</f>
        <v>1.9069960774647987E-25</v>
      </c>
      <c r="FT203" s="22">
        <f t="shared" si="184"/>
        <v>4.5107830780916701E-2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1.2054868146447177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1.2620003197767753</v>
      </c>
      <c r="BA205" s="82">
        <f>EXP(LN('Données projet'!B88)/'Données projet'!A88)</f>
        <v>1.2599210498948732</v>
      </c>
      <c r="BV205" s="82">
        <f>EXP(LN('Données projet'!B114)/'Données projet'!A114)</f>
        <v>1.2291916021073213</v>
      </c>
      <c r="CQ205" s="82">
        <f>EXP(LN('Données projet'!B140)/'Données projet'!A140)</f>
        <v>1.1966732973638288</v>
      </c>
      <c r="DL205" s="82">
        <f>EXP(LN('Données projet'!B166)/'Données projet'!A166)</f>
        <v>1.2054868146447177</v>
      </c>
      <c r="EG205" s="82">
        <f>EXP(LN('Données projet'!B192)/'Données projet'!A192)</f>
        <v>1.2677537154322802</v>
      </c>
      <c r="FB205" s="82">
        <f>EXP(LN('Données projet'!B218)/'Données projet'!A218)</f>
        <v>1.2240347367580502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M23" sqref="M23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Chêne sessile</v>
      </c>
      <c r="B6" s="146">
        <f>'Données projet'!D9</f>
        <v>36.989563967684475</v>
      </c>
      <c r="C6" s="147">
        <f ca="1">IF(OR('Données projet'!B9="",'Données projet'!C9="",'Données projet'!C9=0%),0,Calculateur!S3)</f>
        <v>237.22177246688199</v>
      </c>
      <c r="D6" s="147">
        <f>IF(OR('Données projet'!B9="",'Données projet'!C9="",'Données projet'!C9=0%),0,Calculateur!T3)</f>
        <v>149.27472147904302</v>
      </c>
      <c r="E6" s="147">
        <f ca="1">MIN(C6,D6)</f>
        <v>149.27472147904302</v>
      </c>
      <c r="F6" s="147">
        <f ca="1">E6*B6</f>
        <v>5521.6068589073457</v>
      </c>
      <c r="G6" s="147">
        <f ca="1">F6*(100%-'Données projet'!$C$24)*(100%-'Données projet'!$C$25)*(100%-'Données projet'!$C$26)*(100%-'Données projet'!$C$27)</f>
        <v>4969.4461730166113</v>
      </c>
      <c r="H6" s="148">
        <f>IF(OR('Données projet'!B9="",'Données projet'!C9="",'Données projet'!C9=0%),0,AVERAGE(Calculateur!$AC$3:$AC$33)*B6)</f>
        <v>11.091244422278043</v>
      </c>
      <c r="I6" s="149">
        <f>H6*(100%-'Données projet'!$C$24)*(100%-'Données projet'!$C$25)*(100%-'Données projet'!$C$26)*(100%-'Données projet'!$C$27)</f>
        <v>9.9821199800502391</v>
      </c>
      <c r="J6" s="150">
        <f>IF(OR('Données projet'!B9="",'Données projet'!C9="",'Données projet'!C9=0%),0,SUM(Calculateur!$V$3:$V$33)*VLOOKUP('Données projet'!$B$9,Paramètres!$A$1:$I$89,9,0)*B6)</f>
        <v>268.17433876571243</v>
      </c>
      <c r="K6" s="151">
        <f>J6*(100%-'Données projet'!$C$24)*(100%-'Données projet'!$C$25)*(100%-'Données projet'!$C$26)*(100%-'Données projet'!$C$27)</f>
        <v>241.35690488914119</v>
      </c>
      <c r="L6" s="152">
        <f ca="1">G6+I6+K6</f>
        <v>5220.7851978858025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Chêne rouge d'Amérique</v>
      </c>
      <c r="B7" s="154">
        <f>'Données projet'!D10</f>
        <v>5.0191452691347349</v>
      </c>
      <c r="C7" s="147">
        <f ca="1">IF(OR('Données projet'!B10="",'Données projet'!C10="",'Données projet'!C10=0%),0,Calculateur!AN3)</f>
        <v>191.94797389630673</v>
      </c>
      <c r="D7" s="147">
        <f>IF(OR('Données projet'!B10="",'Données projet'!C10="",'Données projet'!C10=0%),0,Calculateur!AO3)</f>
        <v>273.52540822767878</v>
      </c>
      <c r="E7" s="147">
        <f t="shared" ref="E7:E15" ca="1" si="0">MIN(C7,D7)</f>
        <v>191.94797389630673</v>
      </c>
      <c r="F7" s="147">
        <f t="shared" ref="F7:F15" ca="1" si="1">E7*B7</f>
        <v>963.41476510164557</v>
      </c>
      <c r="G7" s="147">
        <f ca="1">F7*(100%-'Données projet'!$C$24)*(100%-'Données projet'!$C$25)*(100%-'Données projet'!$C$26)*(100%-'Données projet'!$C$27)</f>
        <v>867.07328859148106</v>
      </c>
      <c r="H7" s="155">
        <f>IF(OR('Données projet'!B10="",'Données projet'!C10="",'Données projet'!C10=0%),0,AVERAGE(Calculateur!$AX$3:$AX$33)*B7)</f>
        <v>14.723573503481864</v>
      </c>
      <c r="I7" s="149">
        <f>H7*(100%-'Données projet'!$C$24)*(100%-'Données projet'!$C$25)*(100%-'Données projet'!$C$26)*(100%-'Données projet'!$C$27)</f>
        <v>13.251216153133678</v>
      </c>
      <c r="J7" s="150">
        <f>IF(OR('Données projet'!B10="",'Données projet'!C10="",'Données projet'!C10=0%),0,SUM(Calculateur!$AQ$3:$AQ$33)*VLOOKUP('Données projet'!$B$10,Paramètres!$A$1:$I$89,9,0)*B7)</f>
        <v>117.94991382466627</v>
      </c>
      <c r="K7" s="151">
        <f>J7*(100%-'Données projet'!$C$24)*(100%-'Données projet'!$C$25)*(100%-'Données projet'!$C$26)*(100%-'Données projet'!$C$27)</f>
        <v>106.15492244219965</v>
      </c>
      <c r="L7" s="152">
        <f t="shared" ref="L7:L15" ca="1" si="2">G7+I7+K7</f>
        <v>986.47942718681441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Pin maritime</v>
      </c>
      <c r="B8" s="154">
        <f>'Données projet'!D11</f>
        <v>10.12515457983484</v>
      </c>
      <c r="C8" s="147">
        <f ca="1">IF(OR('Données projet'!B11="",'Données projet'!C11="",'Données projet'!C11=0%),0,Calculateur!BI3)</f>
        <v>72.647148358003676</v>
      </c>
      <c r="D8" s="147">
        <f>IF(OR('Données projet'!B11="",'Données projet'!C11="",'Données projet'!C11=0%),0,Calculateur!BJ3)</f>
        <v>87.231299224620898</v>
      </c>
      <c r="E8" s="147">
        <f t="shared" ca="1" si="0"/>
        <v>72.647148358003676</v>
      </c>
      <c r="F8" s="147">
        <f t="shared" ca="1" si="1"/>
        <v>735.56360690898202</v>
      </c>
      <c r="G8" s="147">
        <f ca="1">F8*(100%-'Données projet'!$C$24)*(100%-'Données projet'!$C$25)*(100%-'Données projet'!$C$26)*(100%-'Données projet'!$C$27)</f>
        <v>662.00724621808388</v>
      </c>
      <c r="H8" s="155">
        <f>IF(OR('Données projet'!B11="",'Données projet'!C11="",'Données projet'!C11=0%),0,AVERAGE(Calculateur!$BS$3:$BS$33)*B8)</f>
        <v>22.907414349226013</v>
      </c>
      <c r="I8" s="149">
        <f>H8*(100%-'Données projet'!$C$24)*(100%-'Données projet'!$C$25)*(100%-'Données projet'!$C$26)*(100%-'Données projet'!$C$27)</f>
        <v>20.616672914303411</v>
      </c>
      <c r="J8" s="150">
        <f>IF(OR('Données projet'!B11="",'Données projet'!C11="",'Données projet'!C11=0%),0,SUM(Calculateur!$BL$3:$BL$33)*VLOOKUP('Données projet'!$B$11,Paramètres!$A$1:$I$89,9,0)*B8)</f>
        <v>203.11060087148687</v>
      </c>
      <c r="K8" s="151">
        <f>J8*(100%-'Données projet'!$C$24)*(100%-'Données projet'!$C$25)*(100%-'Données projet'!$C$26)*(100%-'Données projet'!$C$27)</f>
        <v>182.79954078433818</v>
      </c>
      <c r="L8" s="152">
        <f t="shared" ca="1" si="2"/>
        <v>865.42345991672551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Pin laricio</v>
      </c>
      <c r="B9" s="154">
        <f>'Données projet'!D12</f>
        <v>14.245038418182137</v>
      </c>
      <c r="C9" s="147">
        <f ca="1">IF(OR('Données projet'!B12="",'Données projet'!C12="",'Données projet'!C12=0%),0,Calculateur!CD3)</f>
        <v>165.39579887388538</v>
      </c>
      <c r="D9" s="147">
        <f>IF(OR('Données projet'!B12="",'Données projet'!C12="",'Données projet'!C12=0%),0,Calculateur!CE3)</f>
        <v>155.89639262545802</v>
      </c>
      <c r="E9" s="147">
        <f t="shared" ca="1" si="0"/>
        <v>155.89639262545802</v>
      </c>
      <c r="F9" s="147">
        <f t="shared" ca="1" si="1"/>
        <v>2220.7501022056558</v>
      </c>
      <c r="G9" s="147">
        <f ca="1">F9*(100%-'Données projet'!$C$24)*(100%-'Données projet'!$C$25)*(100%-'Données projet'!$C$26)*(100%-'Données projet'!$C$27)</f>
        <v>1998.6750919850904</v>
      </c>
      <c r="H9" s="155">
        <f>IF(OR('Données projet'!B12="",'Données projet'!C12="",'Données projet'!C12=0%),0,AVERAGE(Calculateur!$CN$3:$CN$33)*B9)</f>
        <v>9.7276522461716848</v>
      </c>
      <c r="I9" s="149">
        <f>H9*(100%-'Données projet'!$C$24)*(100%-'Données projet'!$C$25)*(100%-'Données projet'!$C$26)*(100%-'Données projet'!$C$27)</f>
        <v>8.7548870215545165</v>
      </c>
      <c r="J9" s="150">
        <f>IF(OR('Données projet'!B12="",'Données projet'!C12="",'Données projet'!C12=0%),0,SUM(Calculateur!$CG$3:$CG$33)*VLOOKUP('Données projet'!$B$12,Paramètres!$A$1:$I$89,9,0)*B9)</f>
        <v>251.14002731255107</v>
      </c>
      <c r="K9" s="151">
        <f>J9*(100%-'Données projet'!$C$24)*(100%-'Données projet'!$C$25)*(100%-'Données projet'!$C$26)*(100%-'Données projet'!$C$27)</f>
        <v>226.02602458129596</v>
      </c>
      <c r="L9" s="152">
        <f t="shared" ca="1" si="2"/>
        <v>2233.4560035879408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>Merisier</v>
      </c>
      <c r="B10" s="154">
        <f>'Données projet'!D13</f>
        <v>0.37614080834419822</v>
      </c>
      <c r="C10" s="147">
        <f ca="1">IF(OR('Données projet'!B13="",'Données projet'!C13="",'Données projet'!C13=0%),0,Calculateur!CY3)</f>
        <v>190.06335940156185</v>
      </c>
      <c r="D10" s="147">
        <f>IF(OR('Données projet'!B13="",'Données projet'!C13="",'Données projet'!C13=0%),0,Calculateur!CZ3)</f>
        <v>166.43663896839928</v>
      </c>
      <c r="E10" s="147">
        <f t="shared" ca="1" si="0"/>
        <v>166.43663896839928</v>
      </c>
      <c r="F10" s="147">
        <f t="shared" ca="1" si="1"/>
        <v>62.603611919665184</v>
      </c>
      <c r="G10" s="147">
        <f ca="1">F10*(100%-'Données projet'!$C$24)*(100%-'Données projet'!$C$25)*(100%-'Données projet'!$C$26)*(100%-'Données projet'!$C$27)</f>
        <v>56.343250727698667</v>
      </c>
      <c r="H10" s="155">
        <f>IF(OR('Données projet'!B13="",'Données projet'!C13="",'Données projet'!C13=0%),0,AVERAGE(Calculateur!$DI$3:$DI$33)*B10)</f>
        <v>0.4430035945274417</v>
      </c>
      <c r="I10" s="149">
        <f>H10*(100%-'Données projet'!$C$24)*(100%-'Données projet'!$C$25)*(100%-'Données projet'!$C$26)*(100%-'Données projet'!$C$27)</f>
        <v>0.39870323507469752</v>
      </c>
      <c r="J10" s="150">
        <f>IF(OR('Données projet'!B13="",'Données projet'!C13="",'Données projet'!C13=0%),0,SUM(Calculateur!$DB$3:$DB$33)*VLOOKUP('Données projet'!$B$13,Paramètres!$A$1:$I$89,9,0)*B10)</f>
        <v>4.889830508474577</v>
      </c>
      <c r="K10" s="151">
        <f>J10*(100%-'Données projet'!$C$24)*(100%-'Données projet'!$C$25)*(100%-'Données projet'!$C$26)*(100%-'Données projet'!$C$27)</f>
        <v>4.400847457627119</v>
      </c>
      <c r="L10" s="152">
        <f t="shared" ca="1" si="2"/>
        <v>61.142801420400488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>Alisier torminal</v>
      </c>
      <c r="B11" s="154">
        <f>'Données projet'!D14</f>
        <v>0.37614080834419822</v>
      </c>
      <c r="C11" s="147">
        <f ca="1">IF(OR('Données projet'!B14="",'Données projet'!C14="",'Données projet'!C14=0%),0,Calculateur!DT3)</f>
        <v>261.22357949323879</v>
      </c>
      <c r="D11" s="147">
        <f>IF(OR('Données projet'!B14="",'Données projet'!C14="",'Données projet'!C14=0%),0,Calculateur!DU3)</f>
        <v>163.41029152029387</v>
      </c>
      <c r="E11" s="147">
        <f t="shared" ca="1" si="0"/>
        <v>163.41029152029387</v>
      </c>
      <c r="F11" s="147">
        <f t="shared" ca="1" si="1"/>
        <v>61.465279144204416</v>
      </c>
      <c r="G11" s="147">
        <f ca="1">F11*(100%-'Données projet'!$C$24)*(100%-'Données projet'!$C$25)*(100%-'Données projet'!$C$26)*(100%-'Données projet'!$C$27)</f>
        <v>55.318751229783977</v>
      </c>
      <c r="H11" s="155">
        <f>IF(OR('Données projet'!B14="",'Données projet'!C14="",'Données projet'!C14=0%),0,AVERAGE(Calculateur!$ED$3:$ED$33)*B11)</f>
        <v>0.12056332413639974</v>
      </c>
      <c r="I11" s="149">
        <f>H11*(100%-'Données projet'!$C$24)*(100%-'Données projet'!$C$25)*(100%-'Données projet'!$C$26)*(100%-'Données projet'!$C$27)</f>
        <v>0.10850699172275977</v>
      </c>
      <c r="J11" s="150">
        <f>IF(OR('Données projet'!B14="",'Données projet'!C14="",'Données projet'!C14=0%),0,SUM(Calculateur!$DW$3:$DW$33)*VLOOKUP('Données projet'!$B$14,Paramètres!$A$1:$I$89,9,0)*B11)</f>
        <v>2.7270208604954371</v>
      </c>
      <c r="K11" s="151">
        <f>J11*(100%-'Données projet'!$C$24)*(100%-'Données projet'!$C$25)*(100%-'Données projet'!$C$26)*(100%-'Données projet'!$C$27)</f>
        <v>2.4543187744458934</v>
      </c>
      <c r="L11" s="152">
        <f t="shared" ca="1" si="2"/>
        <v>57.881576995952635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>Cèdre de l'Atlas</v>
      </c>
      <c r="B12" s="154">
        <f>'Données projet'!D15</f>
        <v>0.70200000000000018</v>
      </c>
      <c r="C12" s="147">
        <f ca="1">IF(OR('Données projet'!B15="",'Données projet'!C15="",'Données projet'!C15=0%),0,Calculateur!EO3)</f>
        <v>123.60520571614535</v>
      </c>
      <c r="D12" s="147">
        <f>IF(OR('Données projet'!B15="",'Données projet'!C15="",'Données projet'!C15=0%),0,Calculateur!EP3)</f>
        <v>119.00926870519527</v>
      </c>
      <c r="E12" s="147">
        <f t="shared" ca="1" si="0"/>
        <v>119.00926870519527</v>
      </c>
      <c r="F12" s="147">
        <f t="shared" ca="1" si="1"/>
        <v>83.544506631047099</v>
      </c>
      <c r="G12" s="147">
        <f ca="1">F12*(100%-'Données projet'!$C$24)*(100%-'Données projet'!$C$25)*(100%-'Données projet'!$C$26)*(100%-'Données projet'!$C$27)</f>
        <v>75.190055967942385</v>
      </c>
      <c r="H12" s="155">
        <f>IF(OR('Données projet'!B15="",'Données projet'!C15="",'Données projet'!C15=0%),0,AVERAGE(Calculateur!$EY$3:$EY$33)*B12)</f>
        <v>0.63847317099332657</v>
      </c>
      <c r="I12" s="149">
        <f>H12*(100%-'Données projet'!$C$24)*(100%-'Données projet'!$C$25)*(100%-'Données projet'!$C$26)*(100%-'Données projet'!$C$27)</f>
        <v>0.5746258538939939</v>
      </c>
      <c r="J12" s="150">
        <f>IF(OR('Données projet'!B15="",'Données projet'!C15="",'Données projet'!C15=0%),0,SUM(Calculateur!$ER$3:$ER$33)*VLOOKUP('Données projet'!$B$15,Paramètres!$A$1:$I$89,9,0)*B12)</f>
        <v>9.750078000000002</v>
      </c>
      <c r="K12" s="151">
        <f>J12*(100%-'Données projet'!$C$24)*(100%-'Données projet'!$C$25)*(100%-'Données projet'!$C$26)*(100%-'Données projet'!$C$27)</f>
        <v>8.7750702000000018</v>
      </c>
      <c r="L12" s="152">
        <f t="shared" ca="1" si="2"/>
        <v>84.539752021836378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>Châtaignier</v>
      </c>
      <c r="B13" s="154">
        <f>'Données projet'!D16</f>
        <v>0.48022678951098519</v>
      </c>
      <c r="C13" s="147">
        <f ca="1">IF(OR('Données projet'!B16="",'Données projet'!C16="",'Données projet'!C16=0%),0,Calculateur!FJ3)</f>
        <v>124.15919323713428</v>
      </c>
      <c r="D13" s="147">
        <f>IF(OR('Données projet'!B16="",'Données projet'!C16="",'Données projet'!C16=0%),0,Calculateur!FK3)</f>
        <v>157.85954678210715</v>
      </c>
      <c r="E13" s="147">
        <f t="shared" ca="1" si="0"/>
        <v>124.15919323713428</v>
      </c>
      <c r="F13" s="147">
        <f t="shared" ca="1" si="1"/>
        <v>59.624570756543015</v>
      </c>
      <c r="G13" s="147">
        <f ca="1">F13*(100%-'Données projet'!$C$24)*(100%-'Données projet'!$C$25)*(100%-'Données projet'!$C$26)*(100%-'Données projet'!$C$27)</f>
        <v>53.662113680888716</v>
      </c>
      <c r="H13" s="155">
        <f>IF(OR('Données projet'!B16="",'Données projet'!C16="",'Données projet'!C16=0%),0,AVERAGE(Calculateur!$FT$3:$FT$33)*B13)</f>
        <v>0.62824962486833358</v>
      </c>
      <c r="I13" s="149">
        <f>H13*(100%-'Données projet'!$C$24)*(100%-'Données projet'!$C$25)*(100%-'Données projet'!$C$26)*(100%-'Données projet'!$C$27)</f>
        <v>0.56542466238150024</v>
      </c>
      <c r="J13" s="150">
        <f>IF(OR('Données projet'!C16="",'Données projet'!C16=0%),0,SUM(Calculateur!$FM$3:$FM$33)*VLOOKUP('Données projet'!$B$16,Paramètres!$A$1:$I$89,9,0)*B13)</f>
        <v>7.5635719347980164</v>
      </c>
      <c r="K13" s="151">
        <f>J13*(100%-'Données projet'!$C$24)*(100%-'Données projet'!$C$25)*(100%-'Données projet'!$C$26)*(100%-'Données projet'!$C$27)</f>
        <v>6.8072147413182149</v>
      </c>
      <c r="L13" s="152">
        <f t="shared" ca="1" si="2"/>
        <v>61.034753084588431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9708.5733015750884</v>
      </c>
      <c r="G16" s="166">
        <f t="shared" ca="1" si="3"/>
        <v>8737.7159714175814</v>
      </c>
      <c r="H16" s="167">
        <f t="shared" si="3"/>
        <v>60.280174235683106</v>
      </c>
      <c r="I16" s="167">
        <f t="shared" si="3"/>
        <v>54.252156812114805</v>
      </c>
      <c r="J16" s="168">
        <f t="shared" si="3"/>
        <v>865.30538207818472</v>
      </c>
      <c r="K16" s="168">
        <f t="shared" si="3"/>
        <v>778.77484387036623</v>
      </c>
      <c r="L16" s="169">
        <f t="shared" ca="1" si="3"/>
        <v>9570.7429721000608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Chêne rouge d'Amérique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Pin maritime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Pin laricio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>Merisier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>Alisier torminal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>Cèdre de l'Atlas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>Châtaignier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K1" zoomScale="80" zoomScaleNormal="80" workbookViewId="0">
      <selection activeCell="T25" sqref="T25:V2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-1262.2631989261222</v>
      </c>
      <c r="U10" s="178">
        <f>'Données projet'!D9</f>
        <v>36.989563967684475</v>
      </c>
      <c r="V10" s="177">
        <f>U10*T10</f>
        <v>-46690.565340731831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rouge d'Amérique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-1650.6452608717552</v>
      </c>
      <c r="U11" s="178">
        <f>'Données projet'!D10</f>
        <v>5.0191452691347349</v>
      </c>
      <c r="V11" s="177">
        <f t="shared" ref="V11" si="0">U11*T11</f>
        <v>-8284.828352124141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Pin maritime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-635.22036247461529</v>
      </c>
      <c r="U12" s="178">
        <f>'Données projet'!D11</f>
        <v>10.12515457983484</v>
      </c>
      <c r="V12" s="177">
        <f t="shared" ref="V12:V19" si="1">U12*T12</f>
        <v>-6431.7043623141981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Pin laricio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367.47739453634284</v>
      </c>
      <c r="U13" s="178">
        <f>'Données projet'!D12</f>
        <v>14.245038418182137</v>
      </c>
      <c r="V13" s="177">
        <f t="shared" si="1"/>
        <v>5234.729602983678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Merisier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-1432.9665768949567</v>
      </c>
      <c r="U14" s="178">
        <f>'Données projet'!D13</f>
        <v>0.37614080834419822</v>
      </c>
      <c r="V14" s="177">
        <f t="shared" si="1"/>
        <v>-538.99720656348768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Alisier torminal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-2811.2631989261222</v>
      </c>
      <c r="U15" s="178">
        <f>'Données projet'!D14</f>
        <v>0.37614080834419822</v>
      </c>
      <c r="V15" s="177">
        <f t="shared" si="1"/>
        <v>-1057.4308121123681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62</v>
      </c>
      <c r="O16" s="23"/>
      <c r="P16" s="23"/>
      <c r="Q16" s="234"/>
      <c r="R16" s="23"/>
      <c r="S16" s="36" t="str">
        <f>B200</f>
        <v>Cèdre de l'Atlas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-1564.040677229013</v>
      </c>
      <c r="U16" s="178">
        <f>'Données projet'!D15</f>
        <v>0.70200000000000018</v>
      </c>
      <c r="V16" s="177">
        <f t="shared" si="1"/>
        <v>-1097.9565554147673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f>1335+571+180</f>
        <v>2086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62.000000000000064</v>
      </c>
      <c r="O17" s="23"/>
      <c r="P17" s="23"/>
      <c r="Q17" s="234"/>
      <c r="R17" s="23"/>
      <c r="S17" s="36" t="str">
        <f>B231</f>
        <v>Châtaignier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-1648.402638664312</v>
      </c>
      <c r="U17" s="178">
        <f>'Données projet'!D16</f>
        <v>0.48022678951098519</v>
      </c>
      <c r="V17" s="177">
        <f t="shared" si="1"/>
        <v>-791.60710698719913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20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1240.0000000000014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0</v>
      </c>
      <c r="I20" s="191">
        <f>840+650</f>
        <v>1490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f>300+60</f>
        <v>360</v>
      </c>
      <c r="J21" s="1" t="s">
        <v>324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360</v>
      </c>
      <c r="J22" s="1" t="s">
        <v>325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20</v>
      </c>
      <c r="B23" s="181">
        <f>'Données projet'!D36</f>
        <v>0</v>
      </c>
      <c r="C23" s="193">
        <v>8</v>
      </c>
      <c r="D23" s="182">
        <f>B23*C23</f>
        <v>0</v>
      </c>
      <c r="E23" s="193"/>
      <c r="F23" s="230"/>
      <c r="H23" s="190">
        <v>3</v>
      </c>
      <c r="I23" s="191">
        <f>450+60</f>
        <v>510</v>
      </c>
      <c r="J23" s="1" t="s">
        <v>328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-319424.81624278141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30</v>
      </c>
      <c r="B24" s="181">
        <f>'Données projet'!D37</f>
        <v>29</v>
      </c>
      <c r="C24" s="193">
        <v>12</v>
      </c>
      <c r="D24" s="182">
        <f t="shared" ref="D24:D42" si="2">B24*C24</f>
        <v>348</v>
      </c>
      <c r="E24" s="193"/>
      <c r="F24" s="233"/>
      <c r="H24" s="190">
        <v>4</v>
      </c>
      <c r="I24" s="191">
        <v>60</v>
      </c>
      <c r="J24" s="1" t="s">
        <v>326</v>
      </c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5779.7611200692227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40</v>
      </c>
      <c r="B25" s="181">
        <f>'Données projet'!D38</f>
        <v>42</v>
      </c>
      <c r="C25" s="193">
        <v>15</v>
      </c>
      <c r="D25" s="182">
        <f t="shared" si="2"/>
        <v>630</v>
      </c>
      <c r="E25" s="193"/>
      <c r="F25" s="233"/>
      <c r="H25" s="190">
        <v>5</v>
      </c>
      <c r="I25" s="191">
        <v>60</v>
      </c>
      <c r="J25" s="1" t="s">
        <v>327</v>
      </c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-325204.57736285066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50</v>
      </c>
      <c r="B26" s="181">
        <f>'Données projet'!D39</f>
        <v>42</v>
      </c>
      <c r="C26" s="193">
        <v>20</v>
      </c>
      <c r="D26" s="182">
        <f t="shared" si="2"/>
        <v>840</v>
      </c>
      <c r="E26" s="193"/>
      <c r="F26" s="233"/>
      <c r="G26" s="229"/>
      <c r="H26" s="190">
        <v>6</v>
      </c>
      <c r="I26" s="191">
        <v>60</v>
      </c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60</v>
      </c>
      <c r="B27" s="181">
        <f>'Données projet'!D40</f>
        <v>42</v>
      </c>
      <c r="C27" s="193">
        <v>25</v>
      </c>
      <c r="D27" s="182">
        <f t="shared" si="2"/>
        <v>1050</v>
      </c>
      <c r="E27" s="193"/>
      <c r="F27" s="233"/>
      <c r="G27" s="229"/>
      <c r="H27" s="190">
        <v>7</v>
      </c>
      <c r="I27" s="191">
        <v>60</v>
      </c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70</v>
      </c>
      <c r="B28" s="181">
        <f>'Données projet'!D41</f>
        <v>42</v>
      </c>
      <c r="C28" s="193">
        <v>30</v>
      </c>
      <c r="D28" s="182">
        <f t="shared" si="2"/>
        <v>1260</v>
      </c>
      <c r="E28" s="193"/>
      <c r="F28" s="233"/>
      <c r="G28" s="205"/>
      <c r="H28" s="190">
        <v>8</v>
      </c>
      <c r="I28" s="191">
        <v>60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80</v>
      </c>
      <c r="B29" s="181">
        <f>'Données projet'!D42</f>
        <v>42</v>
      </c>
      <c r="C29" s="193">
        <v>35</v>
      </c>
      <c r="D29" s="182">
        <f t="shared" si="2"/>
        <v>1470</v>
      </c>
      <c r="E29" s="193"/>
      <c r="F29" s="233"/>
      <c r="G29" s="203"/>
      <c r="H29" s="190">
        <v>9</v>
      </c>
      <c r="I29" s="191">
        <v>60</v>
      </c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90</v>
      </c>
      <c r="B30" s="181">
        <f>'Données projet'!D43</f>
        <v>42</v>
      </c>
      <c r="C30" s="193">
        <v>40</v>
      </c>
      <c r="D30" s="182">
        <f t="shared" si="2"/>
        <v>1680</v>
      </c>
      <c r="E30" s="193"/>
      <c r="F30" s="233"/>
      <c r="G30" s="203"/>
      <c r="H30" s="190">
        <v>10</v>
      </c>
      <c r="I30" s="191">
        <v>60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100</v>
      </c>
      <c r="B31" s="181">
        <f>'Données projet'!D44</f>
        <v>42</v>
      </c>
      <c r="C31" s="193">
        <v>50</v>
      </c>
      <c r="D31" s="182">
        <f t="shared" si="2"/>
        <v>2100</v>
      </c>
      <c r="E31" s="193"/>
      <c r="F31" s="233"/>
      <c r="G31" s="203"/>
      <c r="H31" s="190">
        <v>11</v>
      </c>
      <c r="I31" s="191">
        <v>60</v>
      </c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110</v>
      </c>
      <c r="B32" s="181">
        <f>'Données projet'!D45</f>
        <v>39</v>
      </c>
      <c r="C32" s="193">
        <v>60</v>
      </c>
      <c r="D32" s="182">
        <f t="shared" si="2"/>
        <v>2340</v>
      </c>
      <c r="E32" s="193"/>
      <c r="F32" s="233"/>
      <c r="G32" s="203"/>
      <c r="H32" s="190">
        <v>12</v>
      </c>
      <c r="I32" s="191">
        <v>60</v>
      </c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120</v>
      </c>
      <c r="B33" s="181">
        <f>'Données projet'!D46</f>
        <v>303</v>
      </c>
      <c r="C33" s="193">
        <v>180</v>
      </c>
      <c r="D33" s="182">
        <f t="shared" si="2"/>
        <v>54540</v>
      </c>
      <c r="E33" s="193"/>
      <c r="F33" s="233"/>
      <c r="G33" s="203"/>
      <c r="H33" s="190">
        <v>13</v>
      </c>
      <c r="I33" s="191">
        <v>60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14</v>
      </c>
      <c r="I34" s="191">
        <v>60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15</v>
      </c>
      <c r="I35" s="191">
        <v>60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16</v>
      </c>
      <c r="I36" s="191">
        <v>60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17</v>
      </c>
      <c r="I37" s="191">
        <v>60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18</v>
      </c>
      <c r="I38" s="191">
        <v>60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19</v>
      </c>
      <c r="I39" s="191">
        <v>60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20</v>
      </c>
      <c r="I40" s="191">
        <v>60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21</v>
      </c>
      <c r="I41" s="191">
        <v>60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22</v>
      </c>
      <c r="I42" s="191">
        <v>60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>
        <v>23</v>
      </c>
      <c r="I43" s="191">
        <v>60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>
        <v>24</v>
      </c>
      <c r="I44" s="191">
        <v>60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Chêne rouge d'Amérique</v>
      </c>
      <c r="C45" s="4"/>
      <c r="D45" s="4"/>
      <c r="E45" s="4"/>
      <c r="F45" s="230"/>
      <c r="G45" s="203"/>
      <c r="H45" s="190">
        <v>25</v>
      </c>
      <c r="I45" s="191">
        <v>60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>
        <v>26</v>
      </c>
      <c r="I46" s="191">
        <v>60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27</v>
      </c>
      <c r="I47" s="191">
        <v>60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f>1900+570+180</f>
        <v>2650</v>
      </c>
      <c r="F48" s="231"/>
      <c r="G48" s="203"/>
      <c r="H48" s="190">
        <v>28</v>
      </c>
      <c r="I48" s="191">
        <v>60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>
        <v>29</v>
      </c>
      <c r="I49" s="191">
        <v>60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>
        <v>30</v>
      </c>
      <c r="I50" s="191">
        <v>60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>
        <v>31</v>
      </c>
      <c r="I51" s="191">
        <v>60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32</v>
      </c>
      <c r="I52" s="191">
        <v>60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33</v>
      </c>
      <c r="I53" s="191">
        <v>60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20</v>
      </c>
      <c r="B54" s="181">
        <f>'Données projet'!D62</f>
        <v>32</v>
      </c>
      <c r="C54" s="191">
        <v>10</v>
      </c>
      <c r="D54" s="179">
        <f>B54*C54</f>
        <v>320</v>
      </c>
      <c r="E54" s="193"/>
      <c r="F54" s="232"/>
      <c r="G54" s="205"/>
      <c r="H54" s="190">
        <v>34</v>
      </c>
      <c r="I54" s="191">
        <v>60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30</v>
      </c>
      <c r="B55" s="181">
        <f>'Données projet'!D63</f>
        <v>62</v>
      </c>
      <c r="C55" s="191">
        <v>15</v>
      </c>
      <c r="D55" s="179">
        <f t="shared" ref="D55:D73" si="4">B55*C55</f>
        <v>930</v>
      </c>
      <c r="E55" s="193"/>
      <c r="F55" s="232"/>
      <c r="G55" s="205"/>
      <c r="H55" s="190">
        <v>35</v>
      </c>
      <c r="I55" s="191">
        <v>60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40</v>
      </c>
      <c r="B56" s="181">
        <f>'Données projet'!D64</f>
        <v>58</v>
      </c>
      <c r="C56" s="191">
        <v>20</v>
      </c>
      <c r="D56" s="179">
        <f t="shared" si="4"/>
        <v>1160</v>
      </c>
      <c r="E56" s="193"/>
      <c r="F56" s="232"/>
      <c r="G56" s="205"/>
      <c r="H56" s="190">
        <v>36</v>
      </c>
      <c r="I56" s="191">
        <v>60</v>
      </c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50</v>
      </c>
      <c r="B57" s="181">
        <f>'Données projet'!D65</f>
        <v>50</v>
      </c>
      <c r="C57" s="191">
        <v>30</v>
      </c>
      <c r="D57" s="179">
        <f t="shared" si="4"/>
        <v>1500</v>
      </c>
      <c r="E57" s="193"/>
      <c r="F57" s="232"/>
      <c r="G57" s="205"/>
      <c r="H57" s="190">
        <v>37</v>
      </c>
      <c r="I57" s="191">
        <v>60</v>
      </c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60</v>
      </c>
      <c r="B58" s="181">
        <f>'Données projet'!D66</f>
        <v>40</v>
      </c>
      <c r="C58" s="191">
        <v>35</v>
      </c>
      <c r="D58" s="179">
        <f t="shared" si="4"/>
        <v>1400</v>
      </c>
      <c r="E58" s="193"/>
      <c r="F58" s="232"/>
      <c r="G58" s="205"/>
      <c r="H58" s="190">
        <v>38</v>
      </c>
      <c r="I58" s="191">
        <v>60</v>
      </c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70</v>
      </c>
      <c r="B59" s="181">
        <f>'Données projet'!D67</f>
        <v>32</v>
      </c>
      <c r="C59" s="191">
        <v>45</v>
      </c>
      <c r="D59" s="179">
        <f t="shared" si="4"/>
        <v>1440</v>
      </c>
      <c r="E59" s="193"/>
      <c r="F59" s="232"/>
      <c r="G59" s="205"/>
      <c r="H59" s="190">
        <v>39</v>
      </c>
      <c r="I59" s="191">
        <v>60</v>
      </c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80</v>
      </c>
      <c r="B60" s="181">
        <f>'Données projet'!D68</f>
        <v>24</v>
      </c>
      <c r="C60" s="191">
        <v>50</v>
      </c>
      <c r="D60" s="179">
        <f t="shared" si="4"/>
        <v>1200</v>
      </c>
      <c r="E60" s="193"/>
      <c r="F60" s="232"/>
      <c r="G60" s="206"/>
      <c r="H60" s="190">
        <v>40</v>
      </c>
      <c r="I60" s="191">
        <v>60</v>
      </c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90</v>
      </c>
      <c r="B61" s="181">
        <f>'Données projet'!D69</f>
        <v>225</v>
      </c>
      <c r="C61" s="191">
        <v>70</v>
      </c>
      <c r="D61" s="179">
        <f t="shared" si="4"/>
        <v>15750</v>
      </c>
      <c r="E61" s="193"/>
      <c r="F61" s="232"/>
      <c r="G61" s="206"/>
      <c r="H61" s="190">
        <v>41</v>
      </c>
      <c r="I61" s="191">
        <v>60</v>
      </c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>
        <v>42</v>
      </c>
      <c r="I62" s="191">
        <v>60</v>
      </c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>
        <v>43</v>
      </c>
      <c r="I63" s="191">
        <v>60</v>
      </c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>
        <v>44</v>
      </c>
      <c r="I64" s="191">
        <v>60</v>
      </c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>
        <v>45</v>
      </c>
      <c r="I65" s="191">
        <v>60</v>
      </c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>
        <v>46</v>
      </c>
      <c r="I66" s="191">
        <v>60</v>
      </c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>
        <v>47</v>
      </c>
      <c r="I67" s="191">
        <v>60</v>
      </c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>
        <v>48</v>
      </c>
      <c r="I68" s="191">
        <v>60</v>
      </c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>
        <v>49</v>
      </c>
      <c r="I69" s="191">
        <v>60</v>
      </c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>
        <v>50</v>
      </c>
      <c r="I70" s="191">
        <v>60</v>
      </c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>
        <v>51</v>
      </c>
      <c r="I71" s="191">
        <v>60</v>
      </c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>
        <v>52</v>
      </c>
      <c r="I72" s="191">
        <v>60</v>
      </c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>
        <v>53</v>
      </c>
      <c r="I73" s="191">
        <v>60</v>
      </c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>
        <v>54</v>
      </c>
      <c r="I74" s="191">
        <v>60</v>
      </c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>
        <v>55</v>
      </c>
      <c r="I75" s="191">
        <v>60</v>
      </c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Pin maritime</v>
      </c>
      <c r="C76" s="4"/>
      <c r="D76" s="4"/>
      <c r="E76" s="4"/>
      <c r="F76" s="230"/>
      <c r="G76" s="206"/>
      <c r="H76" s="190">
        <v>56</v>
      </c>
      <c r="I76" s="191">
        <v>60</v>
      </c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>
        <v>57</v>
      </c>
      <c r="I77" s="191">
        <v>60</v>
      </c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>
        <v>58</v>
      </c>
      <c r="I78" s="191">
        <v>60</v>
      </c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f>800+570+180</f>
        <v>1550</v>
      </c>
      <c r="F79" s="231"/>
      <c r="G79" s="206"/>
      <c r="H79" s="190">
        <v>59</v>
      </c>
      <c r="I79" s="191">
        <v>60</v>
      </c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>
        <v>60</v>
      </c>
      <c r="I80" s="191">
        <v>60</v>
      </c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>
        <v>61</v>
      </c>
      <c r="I81" s="191">
        <v>60</v>
      </c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>
        <v>62</v>
      </c>
      <c r="I82" s="191">
        <v>60</v>
      </c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>
        <v>63</v>
      </c>
      <c r="I83" s="191">
        <v>60</v>
      </c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>
        <v>64</v>
      </c>
      <c r="I84" s="191">
        <v>60</v>
      </c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12</v>
      </c>
      <c r="B85" s="181">
        <f>'Données projet'!D88</f>
        <v>0</v>
      </c>
      <c r="C85" s="191">
        <v>0</v>
      </c>
      <c r="D85" s="179">
        <f>B85*C85</f>
        <v>0</v>
      </c>
      <c r="E85" s="193"/>
      <c r="F85" s="232"/>
      <c r="G85" s="205"/>
      <c r="H85" s="190">
        <v>65</v>
      </c>
      <c r="I85" s="191">
        <v>60</v>
      </c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16</v>
      </c>
      <c r="B86" s="181">
        <f>'Données projet'!D89</f>
        <v>4</v>
      </c>
      <c r="C86" s="191">
        <v>8</v>
      </c>
      <c r="D86" s="179">
        <f t="shared" ref="D86:D104" si="6">B86*C86</f>
        <v>32</v>
      </c>
      <c r="E86" s="193"/>
      <c r="F86" s="232"/>
      <c r="G86" s="205"/>
      <c r="H86" s="190">
        <v>66</v>
      </c>
      <c r="I86" s="191">
        <v>60</v>
      </c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20</v>
      </c>
      <c r="B87" s="181">
        <f>'Données projet'!D90</f>
        <v>5</v>
      </c>
      <c r="C87" s="191">
        <v>8</v>
      </c>
      <c r="D87" s="179">
        <f t="shared" si="6"/>
        <v>40</v>
      </c>
      <c r="E87" s="193"/>
      <c r="F87" s="232"/>
      <c r="G87" s="205"/>
      <c r="H87" s="190">
        <v>67</v>
      </c>
      <c r="I87" s="191">
        <v>60</v>
      </c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24</v>
      </c>
      <c r="B88" s="181">
        <f>'Données projet'!D91</f>
        <v>12</v>
      </c>
      <c r="C88" s="191">
        <v>15</v>
      </c>
      <c r="D88" s="179">
        <f t="shared" si="6"/>
        <v>180</v>
      </c>
      <c r="E88" s="193"/>
      <c r="F88" s="232"/>
      <c r="G88" s="205"/>
      <c r="H88" s="190">
        <v>68</v>
      </c>
      <c r="I88" s="191">
        <v>60</v>
      </c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28</v>
      </c>
      <c r="B89" s="181">
        <f>'Données projet'!D92</f>
        <v>13</v>
      </c>
      <c r="C89" s="191">
        <v>15</v>
      </c>
      <c r="D89" s="179">
        <f t="shared" si="6"/>
        <v>195</v>
      </c>
      <c r="E89" s="193"/>
      <c r="F89" s="232"/>
      <c r="G89" s="205"/>
      <c r="H89" s="190">
        <v>69</v>
      </c>
      <c r="I89" s="191">
        <v>60</v>
      </c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34</v>
      </c>
      <c r="B90" s="181">
        <f>'Données projet'!D93</f>
        <v>25</v>
      </c>
      <c r="C90" s="191">
        <v>15</v>
      </c>
      <c r="D90" s="179">
        <f t="shared" si="6"/>
        <v>375</v>
      </c>
      <c r="E90" s="193"/>
      <c r="F90" s="232"/>
      <c r="G90" s="205"/>
      <c r="H90" s="190">
        <v>70</v>
      </c>
      <c r="I90" s="191">
        <v>60</v>
      </c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40</v>
      </c>
      <c r="B91" s="181">
        <f>'Données projet'!D94</f>
        <v>23</v>
      </c>
      <c r="C91" s="191">
        <v>20</v>
      </c>
      <c r="D91" s="179">
        <f t="shared" si="6"/>
        <v>460</v>
      </c>
      <c r="E91" s="193"/>
      <c r="F91" s="232"/>
      <c r="G91" s="206"/>
      <c r="H91" s="190">
        <v>71</v>
      </c>
      <c r="I91" s="191">
        <v>60</v>
      </c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46</v>
      </c>
      <c r="B92" s="181">
        <f>'Données projet'!D95</f>
        <v>19</v>
      </c>
      <c r="C92" s="191">
        <v>30</v>
      </c>
      <c r="D92" s="179">
        <f t="shared" si="6"/>
        <v>570</v>
      </c>
      <c r="E92" s="193"/>
      <c r="F92" s="232"/>
      <c r="G92" s="206"/>
      <c r="H92" s="190">
        <v>72</v>
      </c>
      <c r="I92" s="191">
        <v>60</v>
      </c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54</v>
      </c>
      <c r="B93" s="181">
        <f>'Données projet'!D96</f>
        <v>16</v>
      </c>
      <c r="C93" s="191">
        <v>35</v>
      </c>
      <c r="D93" s="179">
        <f t="shared" si="6"/>
        <v>560</v>
      </c>
      <c r="E93" s="193"/>
      <c r="F93" s="232"/>
      <c r="G93" s="206"/>
      <c r="H93" s="190">
        <v>73</v>
      </c>
      <c r="I93" s="191">
        <v>60</v>
      </c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62</v>
      </c>
      <c r="B94" s="181">
        <f>'Données projet'!D97</f>
        <v>181</v>
      </c>
      <c r="C94" s="191">
        <v>40</v>
      </c>
      <c r="D94" s="179">
        <f t="shared" si="6"/>
        <v>7240</v>
      </c>
      <c r="E94" s="193"/>
      <c r="F94" s="232"/>
      <c r="G94" s="206"/>
      <c r="H94" s="190">
        <v>74</v>
      </c>
      <c r="I94" s="191">
        <v>60</v>
      </c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>
        <v>75</v>
      </c>
      <c r="I95" s="191">
        <v>60</v>
      </c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>
        <v>76</v>
      </c>
      <c r="I96" s="191">
        <v>60</v>
      </c>
      <c r="J96" s="4"/>
      <c r="K96" s="173"/>
      <c r="L96" s="4"/>
      <c r="M96" s="4"/>
      <c r="N96" s="4"/>
      <c r="O96" s="194" t="str">
        <f>IF(O95+1&lt;=MIN('Données projet'!$E$9:$E$18),O95+1,"STOP")</f>
        <v>STOP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>
        <v>77</v>
      </c>
      <c r="I97" s="191">
        <v>60</v>
      </c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>
        <v>78</v>
      </c>
      <c r="I98" s="191">
        <v>60</v>
      </c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>
        <v>79</v>
      </c>
      <c r="I99" s="191">
        <v>60</v>
      </c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>
        <v>80</v>
      </c>
      <c r="I100" s="191">
        <v>60</v>
      </c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>
        <v>81</v>
      </c>
      <c r="I101" s="191">
        <v>60</v>
      </c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>
        <v>82</v>
      </c>
      <c r="I102" s="191">
        <v>60</v>
      </c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>
        <v>83</v>
      </c>
      <c r="I103" s="191">
        <v>60</v>
      </c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>
        <v>84</v>
      </c>
      <c r="I104" s="191">
        <v>60</v>
      </c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>
        <v>85</v>
      </c>
      <c r="I105" s="191">
        <v>60</v>
      </c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>
        <v>86</v>
      </c>
      <c r="I106" s="191">
        <v>60</v>
      </c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Pin laricio</v>
      </c>
      <c r="C107" s="4"/>
      <c r="D107" s="4"/>
      <c r="E107" s="4"/>
      <c r="F107" s="230"/>
      <c r="G107" s="206"/>
      <c r="H107" s="190">
        <v>87</v>
      </c>
      <c r="I107" s="191">
        <v>60</v>
      </c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>
        <v>88</v>
      </c>
      <c r="I108" s="191">
        <v>60</v>
      </c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>
        <v>89</v>
      </c>
      <c r="I109" s="191">
        <v>60</v>
      </c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f>400+570+180</f>
        <v>1150</v>
      </c>
      <c r="F110" s="231"/>
      <c r="G110" s="206"/>
      <c r="H110" s="190">
        <v>90</v>
      </c>
      <c r="I110" s="191">
        <v>60</v>
      </c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>
        <v>91</v>
      </c>
      <c r="I111" s="191">
        <v>60</v>
      </c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>
        <v>92</v>
      </c>
      <c r="I112" s="191">
        <v>60</v>
      </c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>
        <v>93</v>
      </c>
      <c r="I113" s="191">
        <v>60</v>
      </c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>
        <v>94</v>
      </c>
      <c r="I114" s="191">
        <v>60</v>
      </c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>
        <v>95</v>
      </c>
      <c r="I115" s="191">
        <v>60</v>
      </c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20</v>
      </c>
      <c r="B116" s="181">
        <f>'Données projet'!D114</f>
        <v>0</v>
      </c>
      <c r="C116" s="191">
        <v>10</v>
      </c>
      <c r="D116" s="179">
        <f>B116*C116</f>
        <v>0</v>
      </c>
      <c r="E116" s="193"/>
      <c r="F116" s="232"/>
      <c r="G116" s="205"/>
      <c r="H116" s="190">
        <v>96</v>
      </c>
      <c r="I116" s="191">
        <v>60</v>
      </c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30</v>
      </c>
      <c r="B117" s="181">
        <f>'Données projet'!D115</f>
        <v>41</v>
      </c>
      <c r="C117" s="191">
        <v>15</v>
      </c>
      <c r="D117" s="179">
        <f t="shared" ref="D117:D135" si="8">B117*C117</f>
        <v>615</v>
      </c>
      <c r="E117" s="193"/>
      <c r="F117" s="232"/>
      <c r="G117" s="205"/>
      <c r="H117" s="190">
        <v>97</v>
      </c>
      <c r="I117" s="191">
        <v>60</v>
      </c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40</v>
      </c>
      <c r="B118" s="181">
        <f>'Données projet'!D116</f>
        <v>56</v>
      </c>
      <c r="C118" s="191">
        <v>25</v>
      </c>
      <c r="D118" s="179">
        <f t="shared" si="8"/>
        <v>1400</v>
      </c>
      <c r="E118" s="193"/>
      <c r="F118" s="232"/>
      <c r="G118" s="205"/>
      <c r="H118" s="190">
        <v>98</v>
      </c>
      <c r="I118" s="191">
        <v>60</v>
      </c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50</v>
      </c>
      <c r="B119" s="181">
        <f>'Données projet'!D117</f>
        <v>56</v>
      </c>
      <c r="C119" s="191">
        <v>35</v>
      </c>
      <c r="D119" s="179">
        <f t="shared" si="8"/>
        <v>1960</v>
      </c>
      <c r="E119" s="193"/>
      <c r="F119" s="232"/>
      <c r="G119" s="205"/>
      <c r="H119" s="190">
        <v>99</v>
      </c>
      <c r="I119" s="191">
        <v>60</v>
      </c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60</v>
      </c>
      <c r="B120" s="181">
        <f>'Données projet'!D118</f>
        <v>49</v>
      </c>
      <c r="C120" s="191">
        <v>40</v>
      </c>
      <c r="D120" s="179">
        <f t="shared" si="8"/>
        <v>1960</v>
      </c>
      <c r="E120" s="193"/>
      <c r="F120" s="232"/>
      <c r="G120" s="205"/>
      <c r="H120" s="190">
        <v>100</v>
      </c>
      <c r="I120" s="191">
        <v>60</v>
      </c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70</v>
      </c>
      <c r="B121" s="181">
        <f>'Données projet'!D119</f>
        <v>38</v>
      </c>
      <c r="C121" s="191">
        <v>50</v>
      </c>
      <c r="D121" s="179">
        <f t="shared" si="8"/>
        <v>1900</v>
      </c>
      <c r="E121" s="193"/>
      <c r="F121" s="232"/>
      <c r="G121" s="205"/>
      <c r="H121" s="190">
        <v>101</v>
      </c>
      <c r="I121" s="191">
        <v>60</v>
      </c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80</v>
      </c>
      <c r="B122" s="181">
        <f>'Données projet'!D120</f>
        <v>377</v>
      </c>
      <c r="C122" s="191">
        <v>60</v>
      </c>
      <c r="D122" s="179">
        <f t="shared" si="8"/>
        <v>22620</v>
      </c>
      <c r="E122" s="193"/>
      <c r="F122" s="232"/>
      <c r="G122" s="206"/>
      <c r="H122" s="190">
        <v>102</v>
      </c>
      <c r="I122" s="191">
        <v>60</v>
      </c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>
        <v>103</v>
      </c>
      <c r="I123" s="191">
        <v>60</v>
      </c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>
        <v>104</v>
      </c>
      <c r="I124" s="191">
        <v>60</v>
      </c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>
        <v>105</v>
      </c>
      <c r="I125" s="191">
        <v>60</v>
      </c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>
        <v>106</v>
      </c>
      <c r="I126" s="191">
        <v>60</v>
      </c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>
        <v>107</v>
      </c>
      <c r="I127" s="191">
        <v>60</v>
      </c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>
        <v>108</v>
      </c>
      <c r="I128" s="191">
        <v>60</v>
      </c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>
        <v>109</v>
      </c>
      <c r="I129" s="191">
        <v>60</v>
      </c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>
        <v>110</v>
      </c>
      <c r="I130" s="191">
        <v>60</v>
      </c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>
        <v>111</v>
      </c>
      <c r="I131" s="191">
        <v>60</v>
      </c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>
        <v>112</v>
      </c>
      <c r="I132" s="191">
        <v>60</v>
      </c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>
        <v>113</v>
      </c>
      <c r="I133" s="191">
        <v>60</v>
      </c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>
        <v>114</v>
      </c>
      <c r="I134" s="191">
        <v>60</v>
      </c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>
        <v>115</v>
      </c>
      <c r="I135" s="191">
        <v>60</v>
      </c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>
        <v>116</v>
      </c>
      <c r="I136" s="191">
        <v>60</v>
      </c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>
        <v>117</v>
      </c>
      <c r="I137" s="191">
        <v>60</v>
      </c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>Merisier</v>
      </c>
      <c r="C138" s="4"/>
      <c r="D138" s="4"/>
      <c r="E138" s="4"/>
      <c r="F138" s="230"/>
      <c r="G138" s="206"/>
      <c r="H138" s="190">
        <v>118</v>
      </c>
      <c r="I138" s="191">
        <v>60</v>
      </c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>
        <v>119</v>
      </c>
      <c r="I139" s="191">
        <v>60</v>
      </c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>
        <v>120</v>
      </c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f>1950+570+180</f>
        <v>2700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25</v>
      </c>
      <c r="B147" s="175">
        <f>'Données projet'!D140</f>
        <v>28</v>
      </c>
      <c r="C147" s="191">
        <v>0</v>
      </c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30</v>
      </c>
      <c r="B148" s="175">
        <f>'Données projet'!D141</f>
        <v>24</v>
      </c>
      <c r="C148" s="191">
        <v>10</v>
      </c>
      <c r="D148" s="182">
        <f t="shared" ref="D148:D166" si="10">B148*C148</f>
        <v>240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35</v>
      </c>
      <c r="B149" s="175">
        <f>'Données projet'!D142</f>
        <v>27</v>
      </c>
      <c r="C149" s="191">
        <v>15</v>
      </c>
      <c r="D149" s="182">
        <f t="shared" si="10"/>
        <v>405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45</v>
      </c>
      <c r="B150" s="175">
        <f>'Données projet'!D143</f>
        <v>63</v>
      </c>
      <c r="C150" s="191">
        <v>20</v>
      </c>
      <c r="D150" s="182">
        <f t="shared" si="10"/>
        <v>1260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55</v>
      </c>
      <c r="B151" s="175">
        <f>'Données projet'!D144</f>
        <v>60</v>
      </c>
      <c r="C151" s="191">
        <v>30</v>
      </c>
      <c r="D151" s="182">
        <f t="shared" si="10"/>
        <v>1800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65</v>
      </c>
      <c r="B152" s="175">
        <f>'Données projet'!D145</f>
        <v>53</v>
      </c>
      <c r="C152" s="191">
        <v>35</v>
      </c>
      <c r="D152" s="182">
        <f t="shared" si="10"/>
        <v>1855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75</v>
      </c>
      <c r="B153" s="175">
        <f>'Données projet'!D146</f>
        <v>306</v>
      </c>
      <c r="C153" s="191">
        <v>60</v>
      </c>
      <c r="D153" s="182">
        <f t="shared" si="10"/>
        <v>18360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>Alisier torminal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f>2885+570+180</f>
        <v>3635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20</v>
      </c>
      <c r="B178" s="181">
        <f>'Données projet'!D166</f>
        <v>0</v>
      </c>
      <c r="C178" s="193">
        <v>8</v>
      </c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30</v>
      </c>
      <c r="B179" s="181">
        <f>'Données projet'!D167</f>
        <v>29</v>
      </c>
      <c r="C179" s="193">
        <v>12</v>
      </c>
      <c r="D179" s="179">
        <f t="shared" ref="D179:D197" si="11">B179*C179</f>
        <v>348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40</v>
      </c>
      <c r="B180" s="181">
        <f>'Données projet'!D168</f>
        <v>42</v>
      </c>
      <c r="C180" s="193">
        <v>15</v>
      </c>
      <c r="D180" s="179">
        <f t="shared" si="11"/>
        <v>630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50</v>
      </c>
      <c r="B181" s="181">
        <f>'Données projet'!D169</f>
        <v>42</v>
      </c>
      <c r="C181" s="193">
        <v>20</v>
      </c>
      <c r="D181" s="179">
        <f t="shared" si="11"/>
        <v>840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60</v>
      </c>
      <c r="B182" s="181">
        <f>'Données projet'!D170</f>
        <v>42</v>
      </c>
      <c r="C182" s="193">
        <v>25</v>
      </c>
      <c r="D182" s="179">
        <f t="shared" si="11"/>
        <v>1050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70</v>
      </c>
      <c r="B183" s="181">
        <f>'Données projet'!D171</f>
        <v>42</v>
      </c>
      <c r="C183" s="193">
        <v>30</v>
      </c>
      <c r="D183" s="179">
        <f t="shared" si="11"/>
        <v>1260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80</v>
      </c>
      <c r="B184" s="181">
        <f>'Données projet'!D172</f>
        <v>42</v>
      </c>
      <c r="C184" s="193">
        <v>35</v>
      </c>
      <c r="D184" s="179">
        <f t="shared" si="11"/>
        <v>1470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90</v>
      </c>
      <c r="B185" s="181">
        <f>'Données projet'!D173</f>
        <v>42</v>
      </c>
      <c r="C185" s="193">
        <v>40</v>
      </c>
      <c r="D185" s="179">
        <f t="shared" si="11"/>
        <v>1680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100</v>
      </c>
      <c r="B186" s="181">
        <f>'Données projet'!D174</f>
        <v>42</v>
      </c>
      <c r="C186" s="193">
        <v>50</v>
      </c>
      <c r="D186" s="179">
        <f t="shared" si="11"/>
        <v>2100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110</v>
      </c>
      <c r="B187" s="181">
        <f>'Données projet'!D175</f>
        <v>39</v>
      </c>
      <c r="C187" s="193">
        <v>60</v>
      </c>
      <c r="D187" s="179">
        <f t="shared" si="11"/>
        <v>2340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120</v>
      </c>
      <c r="B188" s="181">
        <f>'Données projet'!D176</f>
        <v>303</v>
      </c>
      <c r="C188" s="193">
        <v>180</v>
      </c>
      <c r="D188" s="179">
        <f t="shared" si="11"/>
        <v>54540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>Cèdre de l'Atlas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>
        <f>1690+570+180</f>
        <v>2440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20</v>
      </c>
      <c r="B209" s="181">
        <f>'Données projet'!D192</f>
        <v>6.9</v>
      </c>
      <c r="C209" s="193">
        <v>8</v>
      </c>
      <c r="D209" s="179">
        <f>B209*C209</f>
        <v>55.2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30</v>
      </c>
      <c r="B210" s="181">
        <f>'Données projet'!D193</f>
        <v>25.4</v>
      </c>
      <c r="C210" s="193">
        <v>8</v>
      </c>
      <c r="D210" s="179">
        <f t="shared" ref="D210:D228" si="12">B210*C210</f>
        <v>203.2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40</v>
      </c>
      <c r="B211" s="181">
        <f>'Données projet'!D194</f>
        <v>46.3</v>
      </c>
      <c r="C211" s="193">
        <v>15</v>
      </c>
      <c r="D211" s="179">
        <f t="shared" si="12"/>
        <v>694.5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50</v>
      </c>
      <c r="B212" s="181">
        <f>'Données projet'!D195</f>
        <v>46.3</v>
      </c>
      <c r="C212" s="193">
        <v>25</v>
      </c>
      <c r="D212" s="179">
        <f t="shared" si="12"/>
        <v>1157.5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60</v>
      </c>
      <c r="B213" s="181">
        <f>'Données projet'!D196</f>
        <v>46.3</v>
      </c>
      <c r="C213" s="193">
        <v>30</v>
      </c>
      <c r="D213" s="179">
        <f t="shared" si="12"/>
        <v>1389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70</v>
      </c>
      <c r="B214" s="181">
        <f>'Données projet'!D197</f>
        <v>46.3</v>
      </c>
      <c r="C214" s="193">
        <v>35</v>
      </c>
      <c r="D214" s="179">
        <f t="shared" si="12"/>
        <v>1620.5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80</v>
      </c>
      <c r="B215" s="181">
        <f>'Données projet'!D198</f>
        <v>46.3</v>
      </c>
      <c r="C215" s="193">
        <v>40</v>
      </c>
      <c r="D215" s="179">
        <f t="shared" si="12"/>
        <v>1852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90</v>
      </c>
      <c r="B216" s="181">
        <f>'Données projet'!D199</f>
        <v>46.3</v>
      </c>
      <c r="C216" s="193">
        <v>50</v>
      </c>
      <c r="D216" s="179">
        <f t="shared" si="12"/>
        <v>2315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100</v>
      </c>
      <c r="B217" s="181">
        <f>'Données projet'!D200</f>
        <v>46.3</v>
      </c>
      <c r="C217" s="193">
        <v>55</v>
      </c>
      <c r="D217" s="179">
        <f t="shared" si="12"/>
        <v>2546.5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110</v>
      </c>
      <c r="B218" s="181">
        <f>'Données projet'!D201</f>
        <v>448.6</v>
      </c>
      <c r="C218" s="193">
        <v>70</v>
      </c>
      <c r="D218" s="179">
        <f t="shared" si="12"/>
        <v>31402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>Châtaignier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>
        <f>1590+570+180</f>
        <v>2340</v>
      </c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20</v>
      </c>
      <c r="B240" s="181">
        <f>'Données projet'!D218</f>
        <v>21</v>
      </c>
      <c r="C240" s="193">
        <v>0</v>
      </c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30</v>
      </c>
      <c r="B241" s="181">
        <f>'Données projet'!D219</f>
        <v>42</v>
      </c>
      <c r="C241" s="193">
        <v>10</v>
      </c>
      <c r="D241" s="179">
        <f t="shared" ref="D241:D259" si="13">B241*C241</f>
        <v>420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40</v>
      </c>
      <c r="B242" s="181">
        <f>'Données projet'!D220</f>
        <v>42</v>
      </c>
      <c r="C242" s="193">
        <v>15</v>
      </c>
      <c r="D242" s="179">
        <f t="shared" si="13"/>
        <v>630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50</v>
      </c>
      <c r="B243" s="181">
        <f>'Données projet'!D221</f>
        <v>31</v>
      </c>
      <c r="C243" s="193">
        <v>20</v>
      </c>
      <c r="D243" s="179">
        <f t="shared" si="13"/>
        <v>620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60</v>
      </c>
      <c r="B244" s="181">
        <f>'Données projet'!D222</f>
        <v>20</v>
      </c>
      <c r="C244" s="193">
        <v>30</v>
      </c>
      <c r="D244" s="179">
        <f t="shared" si="13"/>
        <v>600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70</v>
      </c>
      <c r="B245" s="181">
        <f>'Données projet'!D223</f>
        <v>16</v>
      </c>
      <c r="C245" s="193">
        <v>35</v>
      </c>
      <c r="D245" s="179">
        <f t="shared" si="13"/>
        <v>560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80</v>
      </c>
      <c r="B246" s="181">
        <f>'Données projet'!D224</f>
        <v>226</v>
      </c>
      <c r="C246" s="193">
        <v>50</v>
      </c>
      <c r="D246" s="179">
        <f t="shared" si="13"/>
        <v>11300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Kevin Brice</cp:lastModifiedBy>
  <dcterms:created xsi:type="dcterms:W3CDTF">2021-02-01T08:22:39Z</dcterms:created>
  <dcterms:modified xsi:type="dcterms:W3CDTF">2023-02-20T13:18:33Z</dcterms:modified>
</cp:coreProperties>
</file>