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14"/>
  <workbookPr codeName="ThisWorkbook"/>
  <mc:AlternateContent xmlns:mc="http://schemas.openxmlformats.org/markup-compatibility/2006">
    <mc:Choice Requires="x15">
      <x15ac:absPath xmlns:x15ac="http://schemas.microsoft.com/office/spreadsheetml/2010/11/ac" url="/Users/a.l-l/Library/CloudStorage/GoogleDrive-alabergere@stock-co2.fr/Drive partagés/STOCK CO2/5 - STOCKEURS/02-FORET-VERGERS/2-NOTIFIE/227-R-LANCELIN-BFC(89)-MERRY-EpicureAM-GFIepiforet-BleignyLeCarreau/"/>
    </mc:Choice>
  </mc:AlternateContent>
  <xr:revisionPtr revIDLastSave="0" documentId="13_ncr:1_{9A885319-759D-E64B-BC8B-8B771087D3F5}" xr6:coauthVersionLast="47" xr6:coauthVersionMax="47" xr10:uidLastSave="{00000000-0000-0000-0000-000000000000}"/>
  <bookViews>
    <workbookView xWindow="-10680" yWindow="-21980" windowWidth="51200" windowHeight="21980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5" i="6" l="1"/>
  <c r="I23" i="6"/>
  <c r="I24" i="6"/>
  <c r="I22" i="6"/>
  <c r="I21" i="6"/>
  <c r="C54" i="6"/>
  <c r="C58" i="6"/>
  <c r="C55" i="6"/>
  <c r="C56" i="6"/>
  <c r="C57" i="6"/>
  <c r="C24" i="6"/>
  <c r="C25" i="6"/>
  <c r="C26" i="6"/>
  <c r="C27" i="6"/>
  <c r="C28" i="6"/>
  <c r="C29" i="6"/>
  <c r="C30" i="6"/>
  <c r="C31" i="6"/>
  <c r="C32" i="6"/>
  <c r="C33" i="6"/>
  <c r="C34" i="6"/>
  <c r="C35" i="6"/>
  <c r="C36" i="6"/>
  <c r="C37" i="6"/>
  <c r="C38" i="6"/>
  <c r="C39" i="6"/>
  <c r="C40" i="6"/>
  <c r="C41" i="6"/>
  <c r="C23" i="6"/>
  <c r="C179" i="6"/>
  <c r="C180" i="6"/>
  <c r="C181" i="6"/>
  <c r="C182" i="6"/>
  <c r="C183" i="6"/>
  <c r="C184" i="6"/>
  <c r="C185" i="6"/>
  <c r="C186" i="6"/>
  <c r="C187" i="6"/>
  <c r="C188" i="6"/>
  <c r="C189" i="6"/>
  <c r="C190" i="6"/>
  <c r="C191" i="6"/>
  <c r="C192" i="6"/>
  <c r="C193" i="6"/>
  <c r="C194" i="6"/>
  <c r="C195" i="6"/>
  <c r="C196" i="6"/>
  <c r="C197" i="6"/>
  <c r="C178" i="6"/>
  <c r="C303" i="6"/>
  <c r="C304" i="6"/>
  <c r="C305" i="6"/>
  <c r="C306" i="6"/>
  <c r="C307" i="6"/>
  <c r="C308" i="6"/>
  <c r="C309" i="6"/>
  <c r="C310" i="6"/>
  <c r="C311" i="6"/>
  <c r="C312" i="6"/>
  <c r="C313" i="6"/>
  <c r="C314" i="6"/>
  <c r="C315" i="6"/>
  <c r="C316" i="6"/>
  <c r="C317" i="6"/>
  <c r="C318" i="6"/>
  <c r="C319" i="6"/>
  <c r="C320" i="6"/>
  <c r="C321" i="6"/>
  <c r="C302" i="6"/>
  <c r="C272" i="6"/>
  <c r="C273" i="6"/>
  <c r="C274" i="6"/>
  <c r="C275" i="6"/>
  <c r="C276" i="6"/>
  <c r="C277" i="6"/>
  <c r="C278" i="6"/>
  <c r="C279" i="6"/>
  <c r="C280" i="6"/>
  <c r="C281" i="6"/>
  <c r="C282" i="6"/>
  <c r="C283" i="6"/>
  <c r="C284" i="6"/>
  <c r="C285" i="6"/>
  <c r="C286" i="6"/>
  <c r="C287" i="6"/>
  <c r="C288" i="6"/>
  <c r="C289" i="6"/>
  <c r="C290" i="6"/>
  <c r="C271" i="6"/>
  <c r="C241" i="6"/>
  <c r="C242" i="6"/>
  <c r="C243" i="6"/>
  <c r="C244" i="6"/>
  <c r="C245" i="6"/>
  <c r="C246" i="6"/>
  <c r="C247" i="6"/>
  <c r="C248" i="6"/>
  <c r="C249" i="6"/>
  <c r="C250" i="6"/>
  <c r="C251" i="6"/>
  <c r="C252" i="6"/>
  <c r="C253" i="6"/>
  <c r="C254" i="6"/>
  <c r="C255" i="6"/>
  <c r="C256" i="6"/>
  <c r="C257" i="6"/>
  <c r="C258" i="6"/>
  <c r="C259" i="6"/>
  <c r="C240" i="6"/>
  <c r="C210" i="6"/>
  <c r="C211" i="6"/>
  <c r="C212" i="6"/>
  <c r="C213" i="6"/>
  <c r="C214" i="6"/>
  <c r="C215" i="6"/>
  <c r="C216" i="6"/>
  <c r="C217" i="6"/>
  <c r="C218" i="6"/>
  <c r="C219" i="6"/>
  <c r="C220" i="6"/>
  <c r="C221" i="6"/>
  <c r="C222" i="6"/>
  <c r="C223" i="6"/>
  <c r="C224" i="6"/>
  <c r="C225" i="6"/>
  <c r="C226" i="6"/>
  <c r="C227" i="6"/>
  <c r="C228" i="6"/>
  <c r="C209" i="6"/>
  <c r="C148" i="6"/>
  <c r="C149" i="6"/>
  <c r="C150" i="6"/>
  <c r="C151" i="6"/>
  <c r="C152" i="6"/>
  <c r="C153" i="6"/>
  <c r="C154" i="6"/>
  <c r="C155" i="6"/>
  <c r="C156" i="6"/>
  <c r="C157" i="6"/>
  <c r="C158" i="6"/>
  <c r="C159" i="6"/>
  <c r="C160" i="6"/>
  <c r="C161" i="6"/>
  <c r="C162" i="6"/>
  <c r="C163" i="6"/>
  <c r="C164" i="6"/>
  <c r="C165" i="6"/>
  <c r="C166" i="6"/>
  <c r="C147" i="6"/>
  <c r="C117" i="6"/>
  <c r="C118" i="6"/>
  <c r="C119" i="6"/>
  <c r="C120" i="6"/>
  <c r="C121" i="6"/>
  <c r="C122" i="6"/>
  <c r="C123" i="6"/>
  <c r="C124" i="6"/>
  <c r="C125" i="6"/>
  <c r="C126" i="6"/>
  <c r="C127" i="6"/>
  <c r="C128" i="6"/>
  <c r="C129" i="6"/>
  <c r="C130" i="6"/>
  <c r="C131" i="6"/>
  <c r="C132" i="6"/>
  <c r="C133" i="6"/>
  <c r="C134" i="6"/>
  <c r="C135" i="6"/>
  <c r="C116" i="6"/>
  <c r="C86" i="6"/>
  <c r="C87" i="6"/>
  <c r="C88" i="6"/>
  <c r="C89" i="6"/>
  <c r="C90" i="6"/>
  <c r="C91" i="6"/>
  <c r="C92" i="6"/>
  <c r="C93" i="6"/>
  <c r="C94" i="6"/>
  <c r="C95" i="6"/>
  <c r="C96" i="6"/>
  <c r="C97" i="6"/>
  <c r="C98" i="6"/>
  <c r="C99" i="6"/>
  <c r="C100" i="6"/>
  <c r="C101" i="6"/>
  <c r="C102" i="6"/>
  <c r="C103" i="6"/>
  <c r="C104" i="6"/>
  <c r="C85" i="6"/>
  <c r="C59" i="6"/>
  <c r="C60" i="6"/>
  <c r="C61" i="6"/>
  <c r="C62" i="6"/>
  <c r="C63" i="6"/>
  <c r="C64" i="6"/>
  <c r="C65" i="6"/>
  <c r="C66" i="6"/>
  <c r="C67" i="6"/>
  <c r="C68" i="6"/>
  <c r="C69" i="6"/>
  <c r="C70" i="6"/>
  <c r="C71" i="6"/>
  <c r="C72" i="6"/>
  <c r="C73" i="6"/>
  <c r="C42" i="6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EC4" i="2"/>
  <c r="GL4" i="2"/>
  <c r="F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C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FO7" i="2"/>
  <c r="FN7" i="2"/>
  <c r="DY7" i="2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X7" i="2"/>
  <c r="EB7" i="2"/>
  <c r="EW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HH10" i="2" s="1"/>
  <c r="GI10" i="2"/>
  <c r="GJ10" i="2"/>
  <c r="ET10" i="2"/>
  <c r="FN10" i="2"/>
  <c r="FO10" i="2"/>
  <c r="BN10" i="2"/>
  <c r="ES10" i="2"/>
  <c r="DX10" i="2"/>
  <c r="EA10" i="2" s="1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G10" i="2" l="1"/>
  <c r="FS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EV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HH14" i="2" s="1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G14" i="2" l="1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V15" i="2" s="1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EV18" i="2" s="1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HG18" i="2" l="1"/>
  <c r="FS18" i="2"/>
  <c r="EW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FS20" i="2"/>
  <c r="EC20" i="2"/>
  <c r="HG20" i="2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HH21" i="2" s="1"/>
  <c r="GJ21" i="2"/>
  <c r="HD21" i="2"/>
  <c r="GI21" i="2"/>
  <c r="FO21" i="2"/>
  <c r="FN21" i="2"/>
  <c r="DY21" i="2"/>
  <c r="ET21" i="2"/>
  <c r="ES21" i="2"/>
  <c r="EV21" i="2" s="1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HI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EW22" i="2" s="1"/>
  <c r="FO22" i="2"/>
  <c r="FN22" i="2"/>
  <c r="DY22" i="2"/>
  <c r="ES22" i="2"/>
  <c r="BN22" i="2"/>
  <c r="CH22" i="2"/>
  <c r="AS22" i="2"/>
  <c r="W22" i="2"/>
  <c r="DX22" i="2"/>
  <c r="EA22" i="2" s="1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C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HG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EB28" i="2"/>
  <c r="FS28" i="2"/>
  <c r="HI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EV30" i="2" s="1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HI30" i="2" l="1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EB33" i="2" s="1"/>
  <c r="DD33" i="2"/>
  <c r="ET33" i="2"/>
  <c r="EW33" i="2" s="1"/>
  <c r="CH33" i="2"/>
  <c r="AS33" i="2"/>
  <c r="CI33" i="2"/>
  <c r="BM33" i="2"/>
  <c r="X33" i="2"/>
  <c r="ES33" i="2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V33" i="2" l="1"/>
  <c r="HG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EW34" i="2" s="1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CM34" i="2" l="1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HH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B37" i="2" s="1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EW38" i="2" s="1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G38" i="2" l="1"/>
  <c r="FS38" i="2"/>
  <c r="HH38" i="2"/>
  <c r="HI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EC44" i="2"/>
  <c r="HG44" i="2"/>
  <c r="EW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HI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EW46" i="2" s="1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G46" i="2" l="1"/>
  <c r="HI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EA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I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EB51" i="2" s="1"/>
  <c r="DX51" i="2"/>
  <c r="EA51" i="2" s="1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HI51" i="2" l="1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EX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EB57" i="2"/>
  <c r="EV57" i="2"/>
  <c r="FS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EA58" i="2" s="1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X58" i="2" l="1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HH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HH60" i="2" s="1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HG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A61" i="2" l="1"/>
  <c r="EX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C64" i="2"/>
  <c r="EA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HH66" i="2"/>
  <c r="FS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EA71" i="2" s="1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H71" i="2" l="1"/>
  <c r="EW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HG74" i="2"/>
  <c r="FR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EB75" i="2" s="1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A75" i="2" l="1"/>
  <c r="FS75" i="2"/>
  <c r="HH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W77" i="2" s="1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B77" i="2" l="1"/>
  <c r="EA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V78" i="2"/>
  <c r="EC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G85" i="2" l="1"/>
  <c r="HH85" i="2"/>
  <c r="EV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EB86" i="2" s="1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G87" i="2" l="1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FQ95" i="2" s="1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G95" i="2" l="1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A105" i="2"/>
  <c r="FS105" i="2"/>
  <c r="EV105" i="2"/>
  <c r="EB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G110" i="2" l="1"/>
  <c r="EB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HI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EW113" i="2" s="1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G113" i="2" l="1"/>
  <c r="EB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EW114" i="2" s="1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HH114" i="2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V116" i="2"/>
  <c r="EC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HG117" i="2"/>
  <c r="EA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EC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G119" i="2" l="1"/>
  <c r="EX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HH120" i="2" s="1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R120" i="2" l="1"/>
  <c r="FQ120" i="2"/>
  <c r="HI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EB121" i="2" s="1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FR121" i="2" l="1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HH123" i="2" s="1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FS123" i="2" l="1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EX124" i="2" s="1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FS124" i="2" l="1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EB128" i="2"/>
  <c r="FS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EW130" i="2" s="1"/>
  <c r="FN130" i="2"/>
  <c r="DD130" i="2"/>
  <c r="BN130" i="2"/>
  <c r="CH130" i="2"/>
  <c r="AS130" i="2"/>
  <c r="DY130" i="2"/>
  <c r="EB130" i="2" s="1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H130" i="2" l="1"/>
  <c r="HI130" i="2"/>
  <c r="HG130" i="2"/>
  <c r="FS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EC132" i="2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EW134" i="2" s="1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HG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EB138" i="2" s="1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A139" i="2"/>
  <c r="HH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HH140" i="2" s="1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FS140" i="2"/>
  <c r="FR140" i="2"/>
  <c r="EC140" i="2"/>
  <c r="EB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B141" i="2" l="1"/>
  <c r="HH141" i="2"/>
  <c r="FS141" i="2"/>
  <c r="EA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C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EA144" i="2" s="1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X144" i="2"/>
  <c r="EB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FR145" i="2" l="1"/>
  <c r="HG145" i="2"/>
  <c r="HH145" i="2"/>
  <c r="EA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HH146" i="2" s="1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HI146" i="2"/>
  <c r="HG146" i="2"/>
  <c r="FS146" i="2"/>
  <c r="FR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HH150" i="2" s="1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HI150" i="2"/>
  <c r="HG150" i="2"/>
  <c r="EC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EB152" i="2" s="1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EA153" i="2" s="1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B154" i="2"/>
  <c r="HH154" i="2"/>
  <c r="EX154" i="2"/>
  <c r="AA154" i="2"/>
  <c r="EV154" i="2"/>
  <c r="EY154" i="2" s="1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A155" i="2"/>
  <c r="EW155" i="2"/>
  <c r="HH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DH156" i="2" l="1"/>
  <c r="AB156" i="2"/>
  <c r="HG156" i="2"/>
  <c r="EX156" i="2"/>
  <c r="HH156" i="2"/>
  <c r="EB156" i="2"/>
  <c r="FS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B157" i="2" s="1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X157" i="2" l="1"/>
  <c r="EC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C158" i="2" l="1"/>
  <c r="EV158" i="2"/>
  <c r="EW158" i="2"/>
  <c r="HH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I159" i="2" l="1"/>
  <c r="EC159" i="2"/>
  <c r="EA159" i="2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G160" i="2" l="1"/>
  <c r="EC160" i="2"/>
  <c r="DG160" i="2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HH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B162" i="2" s="1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C162" i="2" l="1"/>
  <c r="EW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I163" i="2" l="1"/>
  <c r="EB163" i="2"/>
  <c r="EV163" i="2"/>
  <c r="EA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EV164" i="2" s="1"/>
  <c r="DX164" i="2"/>
  <c r="EA164" i="2" s="1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EX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A165" i="2" l="1"/>
  <c r="EB165" i="2"/>
  <c r="HH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HI167" i="2" s="1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A167" i="2"/>
  <c r="EB167" i="2"/>
  <c r="FR167" i="2"/>
  <c r="EC167" i="2"/>
  <c r="HH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EV168" i="2" s="1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W168" i="2" l="1"/>
  <c r="HI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W172" i="2" l="1"/>
  <c r="HG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EB173" i="2" s="1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H173" i="2" l="1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H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W175" i="2"/>
  <c r="HI175" i="2"/>
  <c r="EA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Q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FQ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V179" i="2" s="1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DF179" i="2" l="1"/>
  <c r="EB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X182" i="2" l="1"/>
  <c r="DG182" i="2"/>
  <c r="FS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B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A185" i="2" l="1"/>
  <c r="HG185" i="2"/>
  <c r="EB185" i="2"/>
  <c r="EW185" i="2"/>
  <c r="EV185" i="2"/>
  <c r="HI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W186" i="2" l="1"/>
  <c r="HH186" i="2"/>
  <c r="HG186" i="2"/>
  <c r="ED185" i="2"/>
  <c r="FS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C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FS188" i="2" l="1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HH189" i="2"/>
  <c r="EB189" i="2"/>
  <c r="EV189" i="2"/>
  <c r="EY189" i="2" s="1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AX187" i="2"/>
  <c r="EW190" i="2" l="1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I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B192" i="2" l="1"/>
  <c r="EA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EX193" i="2" s="1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EC197" i="2" s="1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EW197" i="2" l="1"/>
  <c r="EA197" i="2"/>
  <c r="AA197" i="2"/>
  <c r="HH197" i="2"/>
  <c r="FS197" i="2"/>
  <c r="HG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EA199" i="2"/>
  <c r="EB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T4" i="2" s="1" a="1"/>
  <c r="GT4" i="2" s="1"/>
  <c r="GU4" i="2" s="1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I200" i="2" s="1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BC5" i="2" s="1" a="1"/>
  <c r="BC5" i="2" s="1"/>
  <c r="BD5" i="2" s="1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AH4" i="2" a="1"/>
  <c r="AH4" i="2" s="1"/>
  <c r="AI4" i="2" s="1"/>
  <c r="AH5" i="2" a="1"/>
  <c r="AH5" i="2" s="1"/>
  <c r="EI4" i="2" a="1"/>
  <c r="EI4" i="2" s="1"/>
  <c r="EJ4" i="2" s="1"/>
  <c r="AX198" i="2"/>
  <c r="HG201" i="2" l="1"/>
  <c r="EA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HI202" i="2" l="1"/>
  <c r="EX202" i="2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CS66" i="2" a="1"/>
  <c r="CS66" i="2" s="1"/>
  <c r="CS52" i="2" a="1"/>
  <c r="CS52" i="2" s="1"/>
  <c r="CS129" i="2" a="1"/>
  <c r="CS129" i="2" s="1"/>
  <c r="DN41" i="2" a="1"/>
  <c r="DN41" i="2" s="1"/>
  <c r="DN29" i="2" a="1"/>
  <c r="DN29" i="2" s="1"/>
  <c r="DN115" i="2" a="1"/>
  <c r="DN115" i="2" s="1"/>
  <c r="DN177" i="2" a="1"/>
  <c r="DN177" i="2" s="1"/>
  <c r="CS116" i="2" a="1"/>
  <c r="CS116" i="2" s="1"/>
  <c r="EI195" i="2" a="1"/>
  <c r="EI195" i="2" s="1"/>
  <c r="CS137" i="2" a="1"/>
  <c r="CS137" i="2" s="1"/>
  <c r="CS77" i="2" a="1"/>
  <c r="CS77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66" i="2" l="1" a="1"/>
  <c r="AH166" i="2" s="1"/>
  <c r="AH163" i="2" a="1"/>
  <c r="AH163" i="2" s="1"/>
  <c r="AH151" i="2" a="1"/>
  <c r="AH151" i="2" s="1"/>
  <c r="AH62" i="2" a="1"/>
  <c r="AH62" i="2" s="1"/>
  <c r="DN103" i="2" a="1"/>
  <c r="DN103" i="2" s="1"/>
  <c r="DN86" i="2" a="1"/>
  <c r="DN86" i="2" s="1"/>
  <c r="DN152" i="2" a="1"/>
  <c r="DN152" i="2" s="1"/>
  <c r="DN155" i="2" a="1"/>
  <c r="DN155" i="2" s="1"/>
  <c r="HH203" i="2"/>
  <c r="DN123" i="2" a="1"/>
  <c r="DN123" i="2" s="1"/>
  <c r="DN153" i="2" a="1"/>
  <c r="DN153" i="2" s="1"/>
  <c r="DN43" i="2" a="1"/>
  <c r="DN43" i="2" s="1"/>
  <c r="AH199" i="2" a="1"/>
  <c r="AH199" i="2" s="1"/>
  <c r="DN170" i="2" a="1"/>
  <c r="DN170" i="2" s="1"/>
  <c r="DN186" i="2" a="1"/>
  <c r="DN186" i="2" s="1"/>
  <c r="DN56" i="2" a="1"/>
  <c r="DN56" i="2" s="1"/>
  <c r="DN129" i="2" a="1"/>
  <c r="DN129" i="2" s="1"/>
  <c r="DN137" i="2" a="1"/>
  <c r="DN137" i="2" s="1"/>
  <c r="AH19" i="2" a="1"/>
  <c r="AH19" i="2" s="1"/>
  <c r="DN150" i="2" a="1"/>
  <c r="DN150" i="2" s="1"/>
  <c r="DN50" i="2" a="1"/>
  <c r="DN50" i="2" s="1"/>
  <c r="AH90" i="2" a="1"/>
  <c r="AH90" i="2" s="1"/>
  <c r="DN192" i="2" a="1"/>
  <c r="DN192" i="2" s="1"/>
  <c r="DN113" i="2" a="1"/>
  <c r="DN113" i="2" s="1"/>
  <c r="DN66" i="2" a="1"/>
  <c r="DN66" i="2" s="1"/>
  <c r="DN25" i="2" a="1"/>
  <c r="DN25" i="2" s="1"/>
  <c r="DN124" i="2" a="1"/>
  <c r="DN124" i="2" s="1"/>
  <c r="DN110" i="2" a="1"/>
  <c r="DN110" i="2" s="1"/>
  <c r="DN114" i="2" a="1"/>
  <c r="DN114" i="2" s="1"/>
  <c r="DN188" i="2" a="1"/>
  <c r="DN188" i="2" s="1"/>
  <c r="DN184" i="2" a="1"/>
  <c r="DN184" i="2" s="1"/>
  <c r="AH92" i="2" a="1"/>
  <c r="AH92" i="2" s="1"/>
  <c r="FR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9" i="2" l="1"/>
  <c r="FZ10" i="2" s="1"/>
  <c r="FZ11" i="2" s="1"/>
  <c r="FZ12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<sst xmlns="http://schemas.openxmlformats.org/spreadsheetml/2006/main" count="1171" uniqueCount="324">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</sst>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2.7663252338256172</c:v>
                </c:pt>
                <c:pt idx="2">
                  <c:v>3.3122877098209038</c:v>
                </c:pt>
                <c:pt idx="3">
                  <c:v>3.966401906447405</c:v>
                </c:pt>
                <c:pt idx="4">
                  <c:v>4.7501668593059909</c:v>
                </c:pt>
                <c:pt idx="5">
                  <c:v>5.6893692517736758</c:v>
                </c:pt>
                <c:pt idx="6">
                  <c:v>6.8149411073641248</c:v>
                </c:pt>
                <c:pt idx="7">
                  <c:v>8.1639895318585136</c:v>
                </c:pt>
                <c:pt idx="8">
                  <c:v>9.7810331060211926</c:v>
                </c:pt>
                <c:pt idx="9">
                  <c:v>11.719486504501022</c:v>
                </c:pt>
                <c:pt idx="10">
                  <c:v>14.043443300253207</c:v>
                </c:pt>
                <c:pt idx="11">
                  <c:v>16.829816991658799</c:v>
                </c:pt>
                <c:pt idx="12">
                  <c:v>20.170912404444739</c:v>
                </c:pt>
                <c:pt idx="13">
                  <c:v>24.177514185044988</c:v>
                </c:pt>
                <c:pt idx="14">
                  <c:v>28.982596612402116</c:v>
                </c:pt>
                <c:pt idx="15">
                  <c:v>34.745780008276633</c:v>
                </c:pt>
                <c:pt idx="16">
                  <c:v>41.658684339935689</c:v>
                </c:pt>
                <c:pt idx="17">
                  <c:v>49.951361047417038</c:v>
                </c:pt>
                <c:pt idx="18">
                  <c:v>59.900020729580547</c:v>
                </c:pt>
                <c:pt idx="19">
                  <c:v>71.836318339091292</c:v>
                </c:pt>
                <c:pt idx="20">
                  <c:v>86.158510470515978</c:v>
                </c:pt>
                <c:pt idx="21">
                  <c:v>97.318927922969635</c:v>
                </c:pt>
                <c:pt idx="22">
                  <c:v>108.4475019129206</c:v>
                </c:pt>
                <c:pt idx="23">
                  <c:v>119.54796628555846</c:v>
                </c:pt>
                <c:pt idx="24">
                  <c:v>130.62330272297189</c:v>
                </c:pt>
                <c:pt idx="25">
                  <c:v>141.67594470663133</c:v>
                </c:pt>
                <c:pt idx="26">
                  <c:v>152.31425123991514</c:v>
                </c:pt>
                <c:pt idx="27">
                  <c:v>162.93487032621877</c:v>
                </c:pt>
                <c:pt idx="28">
                  <c:v>173.53911854728722</c:v>
                </c:pt>
                <c:pt idx="29">
                  <c:v>184.12813820679631</c:v>
                </c:pt>
                <c:pt idx="30">
                  <c:v>194.7029293179402</c:v>
                </c:pt>
                <c:pt idx="31">
                  <c:v>169.2207687360675</c:v>
                </c:pt>
                <c:pt idx="32">
                  <c:v>184.91193253803272</c:v>
                </c:pt>
                <c:pt idx="33">
                  <c:v>200.57199414028261</c:v>
                </c:pt>
                <c:pt idx="34">
                  <c:v>216.20372460175977</c:v>
                </c:pt>
                <c:pt idx="35">
                  <c:v>231.80946116582979</c:v>
                </c:pt>
                <c:pt idx="36">
                  <c:v>207.21879690654123</c:v>
                </c:pt>
                <c:pt idx="37">
                  <c:v>223.61956111075651</c:v>
                </c:pt>
                <c:pt idx="38">
                  <c:v>239.99275146392401</c:v>
                </c:pt>
                <c:pt idx="39">
                  <c:v>256.3405141117878</c:v>
                </c:pt>
                <c:pt idx="40">
                  <c:v>272.66469897663586</c:v>
                </c:pt>
                <c:pt idx="41">
                  <c:v>248.16968942779499</c:v>
                </c:pt>
                <c:pt idx="42">
                  <c:v>264.50544806917623</c:v>
                </c:pt>
                <c:pt idx="43">
                  <c:v>280.81846105391622</c:v>
                </c:pt>
                <c:pt idx="44">
                  <c:v>297.11023564036338</c:v>
                </c:pt>
                <c:pt idx="45">
                  <c:v>313.38210026249641</c:v>
                </c:pt>
                <c:pt idx="46">
                  <c:v>288.57901240448905</c:v>
                </c:pt>
                <c:pt idx="47">
                  <c:v>304.47370954373434</c:v>
                </c:pt>
                <c:pt idx="48">
                  <c:v>320.34995854628943</c:v>
                </c:pt>
                <c:pt idx="49">
                  <c:v>336.20880231759622</c:v>
                </c:pt>
                <c:pt idx="50">
                  <c:v>352.05117734371061</c:v>
                </c:pt>
                <c:pt idx="51">
                  <c:v>326.92763310831185</c:v>
                </c:pt>
                <c:pt idx="52">
                  <c:v>342.39310348379212</c:v>
                </c:pt>
                <c:pt idx="53">
                  <c:v>357.84322260194625</c:v>
                </c:pt>
                <c:pt idx="54">
                  <c:v>373.27874650728057</c:v>
                </c:pt>
                <c:pt idx="55">
                  <c:v>388.70036362009404</c:v>
                </c:pt>
                <c:pt idx="56">
                  <c:v>362.86133414806545</c:v>
                </c:pt>
                <c:pt idx="57">
                  <c:v>377.52104986809331</c:v>
                </c:pt>
                <c:pt idx="58">
                  <c:v>392.16837634017293</c:v>
                </c:pt>
                <c:pt idx="59">
                  <c:v>406.80384141548689</c:v>
                </c:pt>
                <c:pt idx="60">
                  <c:v>421.42793186976093</c:v>
                </c:pt>
                <c:pt idx="61">
                  <c:v>394.86525935006398</c:v>
                </c:pt>
                <c:pt idx="62">
                  <c:v>408.72870365690937</c:v>
                </c:pt>
                <c:pt idx="63">
                  <c:v>422.5819944009279</c:v>
                </c:pt>
                <c:pt idx="64">
                  <c:v>436.42551129808612</c:v>
                </c:pt>
                <c:pt idx="65">
                  <c:v>450.25960801246742</c:v>
                </c:pt>
                <c:pt idx="66">
                  <c:v>422.96666682108594</c:v>
                </c:pt>
                <c:pt idx="67">
                  <c:v>436.04109794385857</c:v>
                </c:pt>
                <c:pt idx="68">
                  <c:v>449.10711821530072</c:v>
                </c:pt>
                <c:pt idx="69">
                  <c:v>462.16500679362116</c:v>
                </c:pt>
                <c:pt idx="70">
                  <c:v>475.21502577729035</c:v>
                </c:pt>
                <c:pt idx="71">
                  <c:v>446.80194854061978</c:v>
                </c:pt>
                <c:pt idx="72">
                  <c:v>458.70928319621322</c:v>
                </c:pt>
                <c:pt idx="73">
                  <c:v>470.61001955868886</c:v>
                </c:pt>
                <c:pt idx="74">
                  <c:v>482.50434799892838</c:v>
                </c:pt>
                <c:pt idx="75">
                  <c:v>494.3924487367961</c:v>
                </c:pt>
                <c:pt idx="76">
                  <c:v>465.62017905920675</c:v>
                </c:pt>
                <c:pt idx="77">
                  <c:v>477.13349754486762</c:v>
                </c:pt>
                <c:pt idx="78">
                  <c:v>488.64090858857691</c:v>
                </c:pt>
                <c:pt idx="79">
                  <c:v>500.14257091604276</c:v>
                </c:pt>
                <c:pt idx="80">
                  <c:v>511.63863535742718</c:v>
                </c:pt>
                <c:pt idx="81">
                  <c:v>482.50434799892838</c:v>
                </c:pt>
                <c:pt idx="82">
                  <c:v>493.6256590558267</c:v>
                </c:pt>
                <c:pt idx="83">
                  <c:v>504.74166024448414</c:v>
                </c:pt>
                <c:pt idx="84">
                  <c:v>515.85248498703129</c:v>
                </c:pt>
                <c:pt idx="85">
                  <c:v>526.95826048952063</c:v>
                </c:pt>
                <c:pt idx="86">
                  <c:v>497.07601440225949</c:v>
                </c:pt>
                <c:pt idx="87">
                  <c:v>507.42405248193245</c:v>
                </c:pt>
                <c:pt idx="88">
                  <c:v>517.76763064124975</c:v>
                </c:pt>
                <c:pt idx="89">
                  <c:v>528.10685054075043</c:v>
                </c:pt>
                <c:pt idx="90">
                  <c:v>538.44180953565819</c:v>
                </c:pt>
                <c:pt idx="91">
                  <c:v>503.59197136026643</c:v>
                </c:pt>
                <c:pt idx="92">
                  <c:v>508.95671334809748</c:v>
                </c:pt>
                <c:pt idx="93">
                  <c:v>514.32026043494204</c:v>
                </c:pt>
                <c:pt idx="94">
                  <c:v>519.68262684712829</c:v>
                </c:pt>
                <c:pt idx="95">
                  <c:v>525.04382649327351</c:v>
                </c:pt>
                <c:pt idx="96">
                  <c:v>530.40387297462303</c:v>
                </c:pt>
                <c:pt idx="97">
                  <c:v>535.76277959494894</c:v>
                </c:pt>
                <c:pt idx="98">
                  <c:v>541.12055937003322</c:v>
                </c:pt>
                <c:pt idx="99">
                  <c:v>546.47722503675357</c:v>
                </c:pt>
                <c:pt idx="100">
                  <c:v>551.83278906179726</c:v>
                </c:pt>
                <c:pt idx="101">
                  <c:v>516.23552610410331</c:v>
                </c:pt>
                <c:pt idx="102">
                  <c:v>520.83155309732103</c:v>
                </c:pt>
                <c:pt idx="103">
                  <c:v>525.42672503969106</c:v>
                </c:pt>
                <c:pt idx="104">
                  <c:v>530.02105046908639</c:v>
                </c:pt>
                <c:pt idx="105">
                  <c:v>534.61453776319524</c:v>
                </c:pt>
                <c:pt idx="106">
                  <c:v>539.20719514390601</c:v>
                </c:pt>
                <c:pt idx="107">
                  <c:v>543.79903068153772</c:v>
                </c:pt>
                <c:pt idx="108">
                  <c:v>548.39005229891825</c:v>
                </c:pt>
                <c:pt idx="109">
                  <c:v>552.98026777532004</c:v>
                </c:pt>
                <c:pt idx="110">
                  <c:v>557.56968475025758</c:v>
                </c:pt>
                <c:pt idx="111">
                  <c:v>524.85237501410768</c:v>
                </c:pt>
                <c:pt idx="112">
                  <c:v>528.48970219589648</c:v>
                </c:pt>
                <c:pt idx="113">
                  <c:v>532.12650235188346</c:v>
                </c:pt>
                <c:pt idx="114">
                  <c:v>535.76277959494848</c:v>
                </c:pt>
                <c:pt idx="115">
                  <c:v>539.39853797754643</c:v>
                </c:pt>
                <c:pt idx="116">
                  <c:v>543.03378149300579</c:v>
                </c:pt>
                <c:pt idx="117">
                  <c:v>546.66851407678973</c:v>
                </c:pt>
                <c:pt idx="118">
                  <c:v>550.3027396077224</c:v>
                </c:pt>
                <c:pt idx="119">
                  <c:v>553.9364619091815</c:v>
                </c:pt>
                <c:pt idx="120">
                  <c:v>557.5696847502569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3.1707548346542</c:v>
                </c:pt>
                <c:pt idx="2">
                  <c:v>3.8994070069335893</c:v>
                </c:pt>
                <c:pt idx="3">
                  <c:v>4.7961395743139903</c:v>
                </c:pt>
                <c:pt idx="4">
                  <c:v>5.8998617479716442</c:v>
                </c:pt>
                <c:pt idx="5">
                  <c:v>7.2585196858425398</c:v>
                </c:pt>
                <c:pt idx="6">
                  <c:v>8.9312018151497536</c:v>
                </c:pt>
                <c:pt idx="7">
                  <c:v>10.990736010102614</c:v>
                </c:pt>
                <c:pt idx="8">
                  <c:v>13.526893830411311</c:v>
                </c:pt>
                <c:pt idx="9">
                  <c:v>16.650344073811482</c:v>
                </c:pt>
                <c:pt idx="10">
                  <c:v>20.497531306964643</c:v>
                </c:pt>
                <c:pt idx="11">
                  <c:v>25.23669631396508</c:v>
                </c:pt>
                <c:pt idx="12">
                  <c:v>31.075306394532003</c:v>
                </c:pt>
                <c:pt idx="13">
                  <c:v>38.269226447074438</c:v>
                </c:pt>
                <c:pt idx="14">
                  <c:v>47.134039619059727</c:v>
                </c:pt>
                <c:pt idx="15">
                  <c:v>58.059022502120392</c:v>
                </c:pt>
                <c:pt idx="16">
                  <c:v>71.524398723990075</c:v>
                </c:pt>
                <c:pt idx="17">
                  <c:v>88.122641699910204</c:v>
                </c:pt>
                <c:pt idx="18">
                  <c:v>108.58477887574996</c:v>
                </c:pt>
                <c:pt idx="19">
                  <c:v>133.81287421387319</c:v>
                </c:pt>
                <c:pt idx="20">
                  <c:v>164.92014306911736</c:v>
                </c:pt>
                <c:pt idx="21">
                  <c:v>178.11868194628323</c:v>
                </c:pt>
                <c:pt idx="22">
                  <c:v>191.29429384952866</c:v>
                </c:pt>
                <c:pt idx="23">
                  <c:v>204.4487812295192</c:v>
                </c:pt>
                <c:pt idx="24">
                  <c:v>217.58369540679928</c:v>
                </c:pt>
                <c:pt idx="25">
                  <c:v>230.70038494007625</c:v>
                </c:pt>
                <c:pt idx="26">
                  <c:v>238.56214878630877</c:v>
                </c:pt>
                <c:pt idx="27">
                  <c:v>246.4180109567441</c:v>
                </c:pt>
                <c:pt idx="28">
                  <c:v>254.26818635687155</c:v>
                </c:pt>
                <c:pt idx="29">
                  <c:v>262.11287552319567</c:v>
                </c:pt>
                <c:pt idx="30">
                  <c:v>269.95226599479992</c:v>
                </c:pt>
                <c:pt idx="31">
                  <c:v>232.44796515158791</c:v>
                </c:pt>
                <c:pt idx="32">
                  <c:v>256.01191793762843</c:v>
                </c:pt>
                <c:pt idx="33">
                  <c:v>279.52680294324551</c:v>
                </c:pt>
                <c:pt idx="34">
                  <c:v>302.9973265846117</c:v>
                </c:pt>
                <c:pt idx="35">
                  <c:v>326.42740643086165</c:v>
                </c:pt>
                <c:pt idx="36">
                  <c:v>289.96337472940411</c:v>
                </c:pt>
                <c:pt idx="37">
                  <c:v>314.28330815365291</c:v>
                </c:pt>
                <c:pt idx="38">
                  <c:v>338.56152844098648</c:v>
                </c:pt>
                <c:pt idx="39">
                  <c:v>362.80144525672222</c:v>
                </c:pt>
                <c:pt idx="40">
                  <c:v>387.00597559413154</c:v>
                </c:pt>
                <c:pt idx="41">
                  <c:v>351.11892985232754</c:v>
                </c:pt>
                <c:pt idx="42">
                  <c:v>375.77238986983872</c:v>
                </c:pt>
                <c:pt idx="43">
                  <c:v>400.39063273702004</c:v>
                </c:pt>
                <c:pt idx="44">
                  <c:v>424.97612632602932</c:v>
                </c:pt>
                <c:pt idx="45">
                  <c:v>449.53102985794368</c:v>
                </c:pt>
                <c:pt idx="46">
                  <c:v>412.90299192267588</c:v>
                </c:pt>
                <c:pt idx="47">
                  <c:v>436.61108755732994</c:v>
                </c:pt>
                <c:pt idx="48">
                  <c:v>460.29157019967289</c:v>
                </c:pt>
                <c:pt idx="49">
                  <c:v>483.94605890429244</c:v>
                </c:pt>
                <c:pt idx="50">
                  <c:v>507.5760016743593</c:v>
                </c:pt>
                <c:pt idx="51">
                  <c:v>469.32626959947999</c:v>
                </c:pt>
                <c:pt idx="52">
                  <c:v>491.25241699045142</c:v>
                </c:pt>
                <c:pt idx="53">
                  <c:v>513.15781891487734</c:v>
                </c:pt>
                <c:pt idx="54">
                  <c:v>535.04348473955281</c:v>
                </c:pt>
                <c:pt idx="55">
                  <c:v>556.91033459423932</c:v>
                </c:pt>
                <c:pt idx="56">
                  <c:v>517.02140203717238</c:v>
                </c:pt>
                <c:pt idx="57">
                  <c:v>537.18811127897277</c:v>
                </c:pt>
                <c:pt idx="58">
                  <c:v>557.33891405416773</c:v>
                </c:pt>
                <c:pt idx="59">
                  <c:v>577.47446592353504</c:v>
                </c:pt>
                <c:pt idx="60">
                  <c:v>597.59537304263756</c:v>
                </c:pt>
                <c:pt idx="61">
                  <c:v>556.48174822611566</c:v>
                </c:pt>
                <c:pt idx="62">
                  <c:v>575.333092286274</c:v>
                </c:pt>
                <c:pt idx="63">
                  <c:v>594.17154727265404</c:v>
                </c:pt>
                <c:pt idx="64">
                  <c:v>612.99757903900309</c:v>
                </c:pt>
                <c:pt idx="65">
                  <c:v>631.81162251582634</c:v>
                </c:pt>
                <c:pt idx="66">
                  <c:v>589.46311584770126</c:v>
                </c:pt>
                <c:pt idx="67">
                  <c:v>607.00879854794744</c:v>
                </c:pt>
                <c:pt idx="68">
                  <c:v>624.54395486132705</c:v>
                </c:pt>
                <c:pt idx="69">
                  <c:v>642.06892172602966</c:v>
                </c:pt>
                <c:pt idx="70">
                  <c:v>659.58401620212533</c:v>
                </c:pt>
                <c:pt idx="71">
                  <c:v>615.99151338618651</c:v>
                </c:pt>
                <c:pt idx="72">
                  <c:v>632.23907832556165</c:v>
                </c:pt>
                <c:pt idx="73">
                  <c:v>648.47801217956487</c:v>
                </c:pt>
                <c:pt idx="74">
                  <c:v>664.70856137271744</c:v>
                </c:pt>
                <c:pt idx="75">
                  <c:v>680.93095932318113</c:v>
                </c:pt>
                <c:pt idx="76">
                  <c:v>636.51330847982445</c:v>
                </c:pt>
                <c:pt idx="77">
                  <c:v>651.89565867529109</c:v>
                </c:pt>
                <c:pt idx="78">
                  <c:v>667.27052872062904</c:v>
                </c:pt>
                <c:pt idx="79">
                  <c:v>682.63811513058749</c:v>
                </c:pt>
                <c:pt idx="80">
                  <c:v>697.99860485695478</c:v>
                </c:pt>
                <c:pt idx="81">
                  <c:v>652.32283847201813</c:v>
                </c:pt>
                <c:pt idx="82">
                  <c:v>666.41656212645091</c:v>
                </c:pt>
                <c:pt idx="83">
                  <c:v>680.50415665378762</c:v>
                </c:pt>
                <c:pt idx="84">
                  <c:v>694.58576673681353</c:v>
                </c:pt>
                <c:pt idx="85">
                  <c:v>708.661530717353</c:v>
                </c:pt>
                <c:pt idx="86">
                  <c:v>722.73158099720615</c:v>
                </c:pt>
                <c:pt idx="87">
                  <c:v>736.79604440626429</c:v>
                </c:pt>
                <c:pt idx="88">
                  <c:v>750.85504254107491</c:v>
                </c:pt>
                <c:pt idx="89">
                  <c:v>764.90869207675416</c:v>
                </c:pt>
                <c:pt idx="90">
                  <c:v>778.95710505480326</c:v>
                </c:pt>
                <c:pt idx="91">
                  <c:v>672.39385739452064</c:v>
                </c:pt>
                <c:pt idx="92">
                  <c:v>685.19868466155049</c:v>
                </c:pt>
                <c:pt idx="93">
                  <c:v>697.99860485695535</c:v>
                </c:pt>
                <c:pt idx="94">
                  <c:v>710.79372059813147</c:v>
                </c:pt>
                <c:pt idx="95">
                  <c:v>723.58413050891011</c:v>
                </c:pt>
                <c:pt idx="96">
                  <c:v>736.36992944429039</c:v>
                </c:pt>
                <c:pt idx="97">
                  <c:v>749.15120869876171</c:v>
                </c:pt>
                <c:pt idx="98">
                  <c:v>761.92805619968021</c:v>
                </c:pt>
                <c:pt idx="99">
                  <c:v>774.70055668701161</c:v>
                </c:pt>
                <c:pt idx="100">
                  <c:v>787.4687918806103</c:v>
                </c:pt>
                <c:pt idx="101">
                  <c:v>679.22371566061418</c:v>
                </c:pt>
                <c:pt idx="102">
                  <c:v>690.31923574953782</c:v>
                </c:pt>
                <c:pt idx="103">
                  <c:v>701.41110134898815</c:v>
                </c:pt>
                <c:pt idx="104">
                  <c:v>712.49937837079142</c:v>
                </c:pt>
                <c:pt idx="105">
                  <c:v>723.58413050891011</c:v>
                </c:pt>
                <c:pt idx="106">
                  <c:v>734.66541934761642</c:v>
                </c:pt>
                <c:pt idx="107">
                  <c:v>745.74330446280726</c:v>
                </c:pt>
                <c:pt idx="108">
                  <c:v>756.81784351698741</c:v>
                </c:pt>
                <c:pt idx="109">
                  <c:v>767.88909234840855</c:v>
                </c:pt>
                <c:pt idx="110">
                  <c:v>778.95710505480292</c:v>
                </c:pt>
                <c:pt idx="111">
                  <c:v>679.86394234558054</c:v>
                </c:pt>
                <c:pt idx="112">
                  <c:v>689.46586480458461</c:v>
                </c:pt>
                <c:pt idx="113">
                  <c:v>699.06504661949918</c:v>
                </c:pt>
                <c:pt idx="114">
                  <c:v>708.661530717353</c:v>
                </c:pt>
                <c:pt idx="115">
                  <c:v>718.25535876813422</c:v>
                </c:pt>
                <c:pt idx="116">
                  <c:v>727.84657123825627</c:v>
                </c:pt>
                <c:pt idx="117">
                  <c:v>737.43520744105774</c:v>
                </c:pt>
                <c:pt idx="118">
                  <c:v>747.02130558454337</c:v>
                </c:pt>
                <c:pt idx="119">
                  <c:v>756.60490281654677</c:v>
                </c:pt>
                <c:pt idx="120">
                  <c:v>766.18603526748632</c:v>
                </c:pt>
                <c:pt idx="121">
                  <c:v>1.708394296311803E-12</c:v>
                </c:pt>
                <c:pt idx="122">
                  <c:v>1.708394296311803E-12</c:v>
                </c:pt>
                <c:pt idx="123">
                  <c:v>1.708394296311803E-12</c:v>
                </c:pt>
                <c:pt idx="124">
                  <c:v>1.708394296311803E-12</c:v>
                </c:pt>
                <c:pt idx="125">
                  <c:v>1.708394296311803E-12</c:v>
                </c:pt>
                <c:pt idx="126">
                  <c:v>1.708394296311803E-12</c:v>
                </c:pt>
                <c:pt idx="127">
                  <c:v>1.708394296311803E-12</c:v>
                </c:pt>
                <c:pt idx="128">
                  <c:v>1.708394296311803E-12</c:v>
                </c:pt>
                <c:pt idx="129">
                  <c:v>1.708394296311803E-12</c:v>
                </c:pt>
                <c:pt idx="130">
                  <c:v>1.708394296311803E-12</c:v>
                </c:pt>
                <c:pt idx="131">
                  <c:v>1.708394296311803E-12</c:v>
                </c:pt>
                <c:pt idx="132">
                  <c:v>1.708394296311803E-12</c:v>
                </c:pt>
                <c:pt idx="133">
                  <c:v>1.708394296311803E-12</c:v>
                </c:pt>
                <c:pt idx="134">
                  <c:v>1.708394296311803E-12</c:v>
                </c:pt>
                <c:pt idx="135">
                  <c:v>1.708394296311803E-12</c:v>
                </c:pt>
                <c:pt idx="136">
                  <c:v>1.708394296311803E-12</c:v>
                </c:pt>
                <c:pt idx="137">
                  <c:v>1.708394296311803E-12</c:v>
                </c:pt>
                <c:pt idx="138">
                  <c:v>1.708394296311803E-12</c:v>
                </c:pt>
                <c:pt idx="139">
                  <c:v>1.708394296311803E-12</c:v>
                </c:pt>
                <c:pt idx="140">
                  <c:v>1.708394296311803E-12</c:v>
                </c:pt>
                <c:pt idx="141">
                  <c:v>1.708394296311803E-12</c:v>
                </c:pt>
                <c:pt idx="142">
                  <c:v>1.708394296311803E-12</c:v>
                </c:pt>
                <c:pt idx="143">
                  <c:v>1.708394296311803E-12</c:v>
                </c:pt>
                <c:pt idx="144">
                  <c:v>1.708394296311803E-12</c:v>
                </c:pt>
                <c:pt idx="145">
                  <c:v>1.708394296311803E-12</c:v>
                </c:pt>
                <c:pt idx="146">
                  <c:v>1.708394296311803E-12</c:v>
                </c:pt>
                <c:pt idx="147">
                  <c:v>1.708394296311803E-12</c:v>
                </c:pt>
                <c:pt idx="148">
                  <c:v>1.708394296311803E-12</c:v>
                </c:pt>
                <c:pt idx="149">
                  <c:v>1.708394296311803E-12</c:v>
                </c:pt>
                <c:pt idx="150">
                  <c:v>1.708394296311803E-12</c:v>
                </c:pt>
                <c:pt idx="151">
                  <c:v>1.708394296311803E-12</c:v>
                </c:pt>
                <c:pt idx="152">
                  <c:v>1.708394296311803E-12</c:v>
                </c:pt>
                <c:pt idx="153">
                  <c:v>1.708394296311803E-12</c:v>
                </c:pt>
                <c:pt idx="154">
                  <c:v>1.708394296311803E-12</c:v>
                </c:pt>
                <c:pt idx="155">
                  <c:v>1.708394296311803E-12</c:v>
                </c:pt>
                <c:pt idx="156">
                  <c:v>1.708394296311803E-12</c:v>
                </c:pt>
                <c:pt idx="157">
                  <c:v>1.708394296311803E-12</c:v>
                </c:pt>
                <c:pt idx="158">
                  <c:v>1.708394296311803E-12</c:v>
                </c:pt>
                <c:pt idx="159">
                  <c:v>1.708394296311803E-12</c:v>
                </c:pt>
                <c:pt idx="160">
                  <c:v>1.708394296311803E-12</c:v>
                </c:pt>
                <c:pt idx="161">
                  <c:v>1.708394296311803E-12</c:v>
                </c:pt>
                <c:pt idx="162">
                  <c:v>1.708394296311803E-12</c:v>
                </c:pt>
                <c:pt idx="163">
                  <c:v>1.708394296311803E-12</c:v>
                </c:pt>
                <c:pt idx="164">
                  <c:v>1.708394296311803E-12</c:v>
                </c:pt>
                <c:pt idx="165">
                  <c:v>1.708394296311803E-12</c:v>
                </c:pt>
                <c:pt idx="166">
                  <c:v>1.708394296311803E-12</c:v>
                </c:pt>
                <c:pt idx="167">
                  <c:v>1.708394296311803E-12</c:v>
                </c:pt>
                <c:pt idx="168">
                  <c:v>1.708394296311803E-12</c:v>
                </c:pt>
                <c:pt idx="169">
                  <c:v>1.708394296311803E-12</c:v>
                </c:pt>
                <c:pt idx="170">
                  <c:v>1.708394296311803E-12</c:v>
                </c:pt>
                <c:pt idx="171">
                  <c:v>1.708394296311803E-12</c:v>
                </c:pt>
                <c:pt idx="172">
                  <c:v>1.708394296311803E-12</c:v>
                </c:pt>
                <c:pt idx="173">
                  <c:v>1.708394296311803E-12</c:v>
                </c:pt>
                <c:pt idx="174">
                  <c:v>1.708394296311803E-12</c:v>
                </c:pt>
                <c:pt idx="175">
                  <c:v>1.708394296311803E-12</c:v>
                </c:pt>
                <c:pt idx="176">
                  <c:v>1.708394296311803E-12</c:v>
                </c:pt>
                <c:pt idx="177">
                  <c:v>1.708394296311803E-12</c:v>
                </c:pt>
                <c:pt idx="178">
                  <c:v>1.708394296311803E-12</c:v>
                </c:pt>
                <c:pt idx="179">
                  <c:v>1.708394296311803E-12</c:v>
                </c:pt>
                <c:pt idx="180">
                  <c:v>1.708394296311803E-12</c:v>
                </c:pt>
                <c:pt idx="181">
                  <c:v>1.708394296311803E-12</c:v>
                </c:pt>
                <c:pt idx="182">
                  <c:v>1.708394296311803E-12</c:v>
                </c:pt>
                <c:pt idx="183">
                  <c:v>1.708394296311803E-12</c:v>
                </c:pt>
                <c:pt idx="184">
                  <c:v>1.708394296311803E-12</c:v>
                </c:pt>
                <c:pt idx="185">
                  <c:v>1.708394296311803E-12</c:v>
                </c:pt>
                <c:pt idx="186">
                  <c:v>1.708394296311803E-12</c:v>
                </c:pt>
                <c:pt idx="187">
                  <c:v>1.708394296311803E-12</c:v>
                </c:pt>
                <c:pt idx="188">
                  <c:v>1.708394296311803E-12</c:v>
                </c:pt>
                <c:pt idx="189">
                  <c:v>1.708394296311803E-12</c:v>
                </c:pt>
                <c:pt idx="190">
                  <c:v>1.708394296311803E-12</c:v>
                </c:pt>
                <c:pt idx="191">
                  <c:v>1.708394296311803E-12</c:v>
                </c:pt>
                <c:pt idx="192">
                  <c:v>1.708394296311803E-12</c:v>
                </c:pt>
                <c:pt idx="193">
                  <c:v>1.708394296311803E-12</c:v>
                </c:pt>
                <c:pt idx="194">
                  <c:v>1.708394296311803E-12</c:v>
                </c:pt>
                <c:pt idx="195">
                  <c:v>1.708394296311803E-12</c:v>
                </c:pt>
                <c:pt idx="196">
                  <c:v>1.708394296311803E-12</c:v>
                </c:pt>
                <c:pt idx="197">
                  <c:v>1.708394296311803E-12</c:v>
                </c:pt>
                <c:pt idx="198">
                  <c:v>1.708394296311803E-12</c:v>
                </c:pt>
                <c:pt idx="199">
                  <c:v>1.708394296311803E-12</c:v>
                </c:pt>
                <c:pt idx="200">
                  <c:v>1.708394296311803E-12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"/>
  <cols>
    <col min="1" max="1" width="6.6640625" customWidth="1"/>
    <col min="2" max="13" width="15.83203125" customWidth="1"/>
  </cols>
  <sheetData>
    <row r="12" spans="2:13" ht="15" customHeight="1" x14ac:dyDescent="0.2">
      <c r="B12" s="256" t="s">
        <v>291</v>
      </c>
      <c r="C12" s="256"/>
      <c r="D12" s="256"/>
      <c r="E12" s="256"/>
      <c r="F12" s="256"/>
      <c r="G12" s="256"/>
      <c r="H12" s="256"/>
      <c r="I12" s="256"/>
      <c r="J12" s="256"/>
      <c r="K12" s="256"/>
      <c r="L12" s="256"/>
      <c r="M12" s="256"/>
    </row>
    <row r="13" spans="2:13" ht="15" customHeight="1" x14ac:dyDescent="0.2">
      <c r="B13" s="256"/>
      <c r="C13" s="256"/>
      <c r="D13" s="256"/>
      <c r="E13" s="256"/>
      <c r="F13" s="256"/>
      <c r="G13" s="256"/>
      <c r="H13" s="256"/>
      <c r="I13" s="256"/>
      <c r="J13" s="256"/>
      <c r="K13" s="256"/>
      <c r="L13" s="256"/>
      <c r="M13" s="256"/>
    </row>
    <row r="14" spans="2:13" ht="15" customHeight="1" x14ac:dyDescent="0.2">
      <c r="B14" s="256"/>
      <c r="C14" s="256"/>
      <c r="D14" s="256"/>
      <c r="E14" s="256"/>
      <c r="F14" s="256"/>
      <c r="G14" s="256"/>
      <c r="H14" s="256"/>
      <c r="I14" s="256"/>
      <c r="J14" s="256"/>
      <c r="K14" s="256"/>
      <c r="L14" s="256"/>
      <c r="M14" s="256"/>
    </row>
    <row r="15" spans="2:13" ht="18.75" customHeight="1" x14ac:dyDescent="0.2">
      <c r="B15" s="256"/>
      <c r="C15" s="256"/>
      <c r="D15" s="256"/>
      <c r="E15" s="256"/>
      <c r="F15" s="256"/>
      <c r="G15" s="256"/>
      <c r="H15" s="256"/>
      <c r="I15" s="256"/>
      <c r="J15" s="256"/>
      <c r="K15" s="256"/>
      <c r="L15" s="256"/>
      <c r="M15" s="256"/>
    </row>
    <row r="16" spans="2:13" ht="18.75" customHeight="1" x14ac:dyDescent="0.2">
      <c r="B16" s="256"/>
      <c r="C16" s="256"/>
      <c r="D16" s="256"/>
      <c r="E16" s="256"/>
      <c r="F16" s="256"/>
      <c r="G16" s="256"/>
      <c r="H16" s="256"/>
      <c r="I16" s="256"/>
      <c r="J16" s="256"/>
      <c r="K16" s="256"/>
      <c r="L16" s="256"/>
      <c r="M16" s="256"/>
    </row>
    <row r="18" spans="2:13" ht="12" customHeight="1" x14ac:dyDescent="0.2">
      <c r="B18" s="256" t="s">
        <v>292</v>
      </c>
      <c r="C18" s="256"/>
      <c r="D18" s="256"/>
      <c r="E18" s="256"/>
      <c r="F18" s="256"/>
      <c r="G18" s="256"/>
      <c r="H18" s="256"/>
      <c r="I18" s="256"/>
      <c r="J18" s="256"/>
      <c r="K18" s="256"/>
      <c r="L18" s="256"/>
      <c r="M18" s="256"/>
    </row>
    <row r="19" spans="2:13" ht="12" customHeight="1" x14ac:dyDescent="0.2">
      <c r="B19" s="256"/>
      <c r="C19" s="256"/>
      <c r="D19" s="256"/>
      <c r="E19" s="256"/>
      <c r="F19" s="256"/>
      <c r="G19" s="256"/>
      <c r="H19" s="256"/>
      <c r="I19" s="256"/>
      <c r="J19" s="256"/>
      <c r="K19" s="256"/>
      <c r="L19" s="256"/>
      <c r="M19" s="256"/>
    </row>
    <row r="20" spans="2:13" ht="12" customHeight="1" x14ac:dyDescent="0.2">
      <c r="B20" s="256"/>
      <c r="C20" s="256"/>
      <c r="D20" s="256"/>
      <c r="E20" s="256"/>
      <c r="F20" s="256"/>
      <c r="G20" s="256"/>
      <c r="H20" s="256"/>
      <c r="I20" s="256"/>
      <c r="J20" s="256"/>
      <c r="K20" s="256"/>
      <c r="L20" s="256"/>
      <c r="M20" s="256"/>
    </row>
    <row r="21" spans="2:13" ht="12" customHeight="1" x14ac:dyDescent="0.2">
      <c r="B21" s="256"/>
      <c r="C21" s="256"/>
      <c r="D21" s="256"/>
      <c r="E21" s="256"/>
      <c r="F21" s="256"/>
      <c r="G21" s="256"/>
      <c r="H21" s="256"/>
      <c r="I21" s="256"/>
      <c r="J21" s="256"/>
      <c r="K21" s="256"/>
      <c r="L21" s="256"/>
      <c r="M21" s="256"/>
    </row>
    <row r="22" spans="2:13" ht="12" customHeight="1" x14ac:dyDescent="0.2">
      <c r="B22" s="256"/>
      <c r="C22" s="256"/>
      <c r="D22" s="256"/>
      <c r="E22" s="256"/>
      <c r="F22" s="256"/>
      <c r="G22" s="256"/>
      <c r="H22" s="256"/>
      <c r="I22" s="256"/>
      <c r="J22" s="256"/>
      <c r="K22" s="256"/>
      <c r="L22" s="256"/>
      <c r="M22" s="256"/>
    </row>
    <row r="23" spans="2:13" ht="12" customHeight="1" x14ac:dyDescent="0.2">
      <c r="B23" s="256"/>
      <c r="C23" s="256"/>
      <c r="D23" s="256"/>
      <c r="E23" s="256"/>
      <c r="F23" s="256"/>
      <c r="G23" s="256"/>
      <c r="H23" s="256"/>
      <c r="I23" s="256"/>
      <c r="J23" s="256"/>
      <c r="K23" s="256"/>
      <c r="L23" s="256"/>
      <c r="M23" s="256"/>
    </row>
    <row r="24" spans="2:13" ht="12" customHeight="1" x14ac:dyDescent="0.2">
      <c r="B24" s="256"/>
      <c r="C24" s="256"/>
      <c r="D24" s="256"/>
      <c r="E24" s="256"/>
      <c r="F24" s="256"/>
      <c r="G24" s="256"/>
      <c r="H24" s="256"/>
      <c r="I24" s="256"/>
      <c r="J24" s="256"/>
      <c r="K24" s="256"/>
      <c r="L24" s="256"/>
      <c r="M24" s="256"/>
    </row>
    <row r="25" spans="2:13" ht="12" customHeight="1" x14ac:dyDescent="0.2">
      <c r="B25" s="256"/>
      <c r="C25" s="256"/>
      <c r="D25" s="256"/>
      <c r="E25" s="256"/>
      <c r="F25" s="256"/>
      <c r="G25" s="256"/>
      <c r="H25" s="256"/>
      <c r="I25" s="256"/>
      <c r="J25" s="256"/>
      <c r="K25" s="256"/>
      <c r="L25" s="256"/>
      <c r="M25" s="256"/>
    </row>
    <row r="26" spans="2:13" ht="12" customHeight="1" x14ac:dyDescent="0.2">
      <c r="B26" s="256"/>
      <c r="C26" s="256"/>
      <c r="D26" s="256"/>
      <c r="E26" s="256"/>
      <c r="F26" s="256"/>
      <c r="G26" s="256"/>
      <c r="H26" s="256"/>
      <c r="I26" s="256"/>
      <c r="J26" s="256"/>
      <c r="K26" s="256"/>
      <c r="L26" s="256"/>
      <c r="M26" s="256"/>
    </row>
    <row r="27" spans="2:13" ht="12" customHeight="1" x14ac:dyDescent="0.2">
      <c r="B27" s="256"/>
      <c r="C27" s="256"/>
      <c r="D27" s="256"/>
      <c r="E27" s="256"/>
      <c r="F27" s="256"/>
      <c r="G27" s="256"/>
      <c r="H27" s="256"/>
      <c r="I27" s="256"/>
      <c r="J27" s="256"/>
      <c r="K27" s="256"/>
      <c r="L27" s="256"/>
      <c r="M27" s="256"/>
    </row>
    <row r="28" spans="2:13" ht="12" customHeight="1" x14ac:dyDescent="0.2">
      <c r="B28" s="256"/>
      <c r="C28" s="256"/>
      <c r="D28" s="256"/>
      <c r="E28" s="256"/>
      <c r="F28" s="256"/>
      <c r="G28" s="256"/>
      <c r="H28" s="256"/>
      <c r="I28" s="256"/>
      <c r="J28" s="256"/>
      <c r="K28" s="256"/>
      <c r="L28" s="256"/>
      <c r="M28" s="256"/>
    </row>
    <row r="29" spans="2:13" ht="12" customHeight="1" x14ac:dyDescent="0.2">
      <c r="B29" s="256"/>
      <c r="C29" s="256"/>
      <c r="D29" s="256"/>
      <c r="E29" s="256"/>
      <c r="F29" s="256"/>
      <c r="G29" s="256"/>
      <c r="H29" s="256"/>
      <c r="I29" s="256"/>
      <c r="J29" s="256"/>
      <c r="K29" s="256"/>
      <c r="L29" s="256"/>
      <c r="M29" s="256"/>
    </row>
    <row r="30" spans="2:13" ht="12" customHeight="1" x14ac:dyDescent="0.2">
      <c r="B30" s="256"/>
      <c r="C30" s="256"/>
      <c r="D30" s="256"/>
      <c r="E30" s="256"/>
      <c r="F30" s="256"/>
      <c r="G30" s="256"/>
      <c r="H30" s="256"/>
      <c r="I30" s="256"/>
      <c r="J30" s="256"/>
      <c r="K30" s="256"/>
      <c r="L30" s="256"/>
      <c r="M30" s="256"/>
    </row>
    <row r="31" spans="2:13" ht="12" customHeight="1" x14ac:dyDescent="0.2">
      <c r="B31" s="256"/>
      <c r="C31" s="256"/>
      <c r="D31" s="256"/>
      <c r="E31" s="256"/>
      <c r="F31" s="256"/>
      <c r="G31" s="256"/>
      <c r="H31" s="256"/>
      <c r="I31" s="256"/>
      <c r="J31" s="256"/>
      <c r="K31" s="256"/>
      <c r="L31" s="256"/>
      <c r="M31" s="256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36" zoomScale="80" zoomScaleNormal="80" workbookViewId="0">
      <selection activeCell="D79" sqref="D79"/>
    </sheetView>
  </sheetViews>
  <sheetFormatPr baseColWidth="10" defaultColWidth="11.5" defaultRowHeight="15" x14ac:dyDescent="0.2"/>
  <cols>
    <col min="1" max="1" width="13.6640625" style="23" customWidth="1"/>
    <col min="2" max="2" width="36.1640625" style="23" customWidth="1"/>
    <col min="3" max="3" width="14.83203125" style="23" bestFit="1" customWidth="1"/>
    <col min="4" max="4" width="16.5" style="23" customWidth="1"/>
    <col min="5" max="5" width="23.33203125" style="23" customWidth="1"/>
    <col min="6" max="6" width="28.83203125" style="23" bestFit="1" customWidth="1"/>
    <col min="7" max="8" width="14.6640625" style="23" customWidth="1"/>
    <col min="9" max="9" width="17" style="23" customWidth="1"/>
    <col min="10" max="10" width="13.83203125" style="23" customWidth="1"/>
    <col min="11" max="16384" width="11.5" style="23"/>
  </cols>
  <sheetData>
    <row r="1" spans="1:38" x14ac:dyDescent="0.2">
      <c r="A1" s="4"/>
      <c r="B1" s="4"/>
      <c r="C1" s="261" t="s">
        <v>190</v>
      </c>
      <c r="D1" s="261"/>
      <c r="E1" s="261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6" thickBot="1" x14ac:dyDescent="0.25">
      <c r="A2" s="4"/>
      <c r="B2" s="4"/>
      <c r="C2" s="4"/>
      <c r="D2" s="4"/>
      <c r="E2" s="4"/>
      <c r="F2" s="4"/>
      <c r="G2" s="4"/>
      <c r="H2" s="4"/>
      <c r="I2" s="210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25">
      <c r="A3" s="4"/>
      <c r="B3" s="262" t="s">
        <v>192</v>
      </c>
      <c r="C3" s="263"/>
      <c r="D3" s="263"/>
      <c r="E3" s="263"/>
      <c r="F3" s="264"/>
      <c r="G3" s="89"/>
      <c r="I3" s="210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2">
      <c r="A4" s="90"/>
      <c r="B4" s="90"/>
      <c r="C4" s="90"/>
      <c r="D4" s="90"/>
      <c r="E4" s="90"/>
      <c r="F4" s="90"/>
      <c r="G4" s="217"/>
      <c r="I4" s="210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2">
      <c r="A5" s="267" t="s">
        <v>231</v>
      </c>
      <c r="B5" s="267"/>
      <c r="C5" s="24">
        <v>4</v>
      </c>
      <c r="D5" s="268" t="s">
        <v>229</v>
      </c>
      <c r="E5" s="269"/>
      <c r="F5" s="90"/>
      <c r="G5" s="217"/>
      <c r="H5" s="217"/>
      <c r="I5" s="217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">
      <c r="A6" s="91"/>
      <c r="B6" s="91"/>
      <c r="C6" s="4"/>
      <c r="D6" s="86"/>
      <c r="E6" s="86"/>
      <c r="F6" s="26"/>
      <c r="G6" s="204"/>
      <c r="H6" s="204"/>
      <c r="I6" s="20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2">
      <c r="A7" s="266" t="s">
        <v>226</v>
      </c>
      <c r="B7" s="266"/>
      <c r="C7" s="90"/>
      <c r="D7" s="90"/>
      <c r="E7" s="4"/>
      <c r="F7" s="90"/>
      <c r="G7" s="217"/>
      <c r="H7" s="217"/>
      <c r="I7" s="217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">
      <c r="A9" s="30" t="s">
        <v>165</v>
      </c>
      <c r="B9" s="31" t="s">
        <v>14</v>
      </c>
      <c r="C9" s="32">
        <v>0.79679999999999995</v>
      </c>
      <c r="D9" s="33">
        <f t="shared" ref="D9:D18" si="0">C9*$C$5</f>
        <v>3.1871999999999998</v>
      </c>
      <c r="E9" s="34">
        <v>120</v>
      </c>
      <c r="F9" s="35" t="str">
        <f t="array" ref="F9">IF(E9="","",IF(INDEX(A:A,MAX(IF(ISNUMBER($A$36:$A$55),ROW($A$36:$A$55),"")))&lt;&gt;E9,"Corrigez : révolution incorrecte","OK"))</f>
        <v>OK</v>
      </c>
      <c r="G9" s="227" t="s">
        <v>306</v>
      </c>
      <c r="I9" s="225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">
      <c r="A10" s="30" t="s">
        <v>166</v>
      </c>
      <c r="B10" s="31" t="s">
        <v>12</v>
      </c>
      <c r="C10" s="32">
        <v>0.2031</v>
      </c>
      <c r="D10" s="33">
        <f t="shared" si="0"/>
        <v>0.81240000000000001</v>
      </c>
      <c r="E10" s="34">
        <v>120</v>
      </c>
      <c r="F10" s="35" t="str">
        <f t="array" ref="F10">IF(E10="","",IF(INDEX(A:A,MAX(IF(ISNUMBER($A$62:$A$81),ROW($A$62:$A$81),"")))&lt;&gt;E10,"Corrigez : révolution incorrecte","OK"))</f>
        <v>OK</v>
      </c>
      <c r="I10" s="225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">
      <c r="A11" s="30" t="s">
        <v>167</v>
      </c>
      <c r="B11" s="31"/>
      <c r="C11" s="32"/>
      <c r="D11" s="33">
        <f t="shared" si="0"/>
        <v>0</v>
      </c>
      <c r="E11" s="34"/>
      <c r="F11" s="35" t="str">
        <f t="array" ref="F11">IF(E11="","",IF(INDEX(A:A,MAX(IF(ISNUMBER($A$88:$A$107),ROW($A$88:$A$107),"")))&lt;&gt;E11,"Corrigez : révolution incorrecte","OK"))</f>
        <v/>
      </c>
      <c r="I11" s="225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5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5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5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5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5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5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5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">
      <c r="A19" s="78"/>
      <c r="B19" s="36" t="s">
        <v>175</v>
      </c>
      <c r="C19" s="37">
        <f>SUM(C9:C18)</f>
        <v>0.99990000000000001</v>
      </c>
      <c r="D19" s="38">
        <f>SUM(D9:D18)</f>
        <v>3.9996</v>
      </c>
      <c r="E19" s="4"/>
      <c r="F19" s="92"/>
      <c r="G19" s="218"/>
      <c r="H19" s="218"/>
      <c r="I19" s="218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">
      <c r="A20" s="78"/>
      <c r="B20" s="39" t="s">
        <v>230</v>
      </c>
      <c r="C20" s="40" t="str">
        <f>IF(C19&gt;100%,"Erreur : corrigez","OK")</f>
        <v>OK</v>
      </c>
      <c r="D20" s="221"/>
      <c r="F20" s="204"/>
      <c r="G20" s="204"/>
      <c r="H20" s="218"/>
      <c r="I20" s="218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">
      <c r="A21" s="4"/>
      <c r="B21" s="4"/>
      <c r="C21" s="4"/>
      <c r="H21" s="219"/>
      <c r="I21" s="219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25">
      <c r="A22" s="265" t="s">
        <v>232</v>
      </c>
      <c r="B22" s="265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1"/>
      <c r="I24" s="201"/>
      <c r="J24" s="220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">
      <c r="A25" s="41" t="s">
        <v>220</v>
      </c>
      <c r="B25" s="42" t="s">
        <v>219</v>
      </c>
      <c r="C25" s="45">
        <v>0.1</v>
      </c>
      <c r="D25" s="94"/>
      <c r="E25" s="4"/>
      <c r="F25" s="94"/>
      <c r="G25" s="220"/>
      <c r="I25" s="220"/>
      <c r="J25" s="220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1"/>
      <c r="I26" s="201"/>
      <c r="J26" s="201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1"/>
      <c r="I27" s="201"/>
      <c r="J27" s="201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">
      <c r="A30" s="266" t="s">
        <v>227</v>
      </c>
      <c r="B30" s="266"/>
      <c r="D30" s="222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">
      <c r="A31" s="4"/>
      <c r="B31" s="4"/>
      <c r="K31" s="222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">
      <c r="A32" s="46" t="s">
        <v>165</v>
      </c>
      <c r="B32" s="47" t="str">
        <f>IF(B9="","",B9)</f>
        <v>Chêne sessile</v>
      </c>
      <c r="D32" s="228" t="s">
        <v>307</v>
      </c>
      <c r="K32" s="222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">
      <c r="A33" s="46"/>
      <c r="B33" s="4"/>
      <c r="K33" s="222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">
      <c r="A34" s="4"/>
      <c r="B34" s="85" t="s">
        <v>185</v>
      </c>
      <c r="C34" s="257" t="s">
        <v>186</v>
      </c>
      <c r="D34" s="257"/>
      <c r="E34" s="258" t="s">
        <v>187</v>
      </c>
      <c r="F34" s="259"/>
      <c r="G34" s="259"/>
      <c r="H34" s="260"/>
      <c r="I34" s="95"/>
      <c r="J34" s="222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32" x14ac:dyDescent="0.2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3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">
      <c r="A36" s="50">
        <v>20</v>
      </c>
      <c r="B36" s="60">
        <v>42</v>
      </c>
      <c r="C36" s="60">
        <v>1</v>
      </c>
      <c r="D36" s="60">
        <v>0</v>
      </c>
      <c r="E36" s="51">
        <v>0</v>
      </c>
      <c r="F36" s="51"/>
      <c r="G36" s="51"/>
      <c r="H36" s="51">
        <v>1</v>
      </c>
      <c r="I36" s="49">
        <f>IFERROR(B36/A36,"")</f>
        <v>2.1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">
      <c r="A37" s="50">
        <v>25</v>
      </c>
      <c r="B37" s="60">
        <v>70</v>
      </c>
      <c r="C37" s="60">
        <v>2</v>
      </c>
      <c r="D37" s="60">
        <v>0</v>
      </c>
      <c r="E37" s="51">
        <v>0</v>
      </c>
      <c r="F37" s="51"/>
      <c r="G37" s="51"/>
      <c r="H37" s="51">
        <v>1</v>
      </c>
      <c r="I37" s="53">
        <f t="shared" ref="I37:I55" si="1">IF(A37&lt;&gt;0,(B37-(B36-D36))/(A37-A36),"")</f>
        <v>5.6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">
      <c r="A38" s="50">
        <v>30</v>
      </c>
      <c r="B38" s="60">
        <v>97</v>
      </c>
      <c r="C38" s="60">
        <v>3</v>
      </c>
      <c r="D38" s="60">
        <v>21</v>
      </c>
      <c r="E38" s="51">
        <v>0</v>
      </c>
      <c r="F38" s="51"/>
      <c r="G38" s="51"/>
      <c r="H38" s="51">
        <v>1</v>
      </c>
      <c r="I38" s="53">
        <f t="shared" si="1"/>
        <v>5.4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">
      <c r="A39" s="50">
        <v>35</v>
      </c>
      <c r="B39" s="60">
        <v>116</v>
      </c>
      <c r="C39" s="60">
        <v>4</v>
      </c>
      <c r="D39" s="60">
        <v>21</v>
      </c>
      <c r="E39" s="51">
        <v>0</v>
      </c>
      <c r="F39" s="51"/>
      <c r="G39" s="51"/>
      <c r="H39" s="51">
        <v>1</v>
      </c>
      <c r="I39" s="49">
        <f t="shared" si="1"/>
        <v>8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">
      <c r="A40" s="50">
        <v>40</v>
      </c>
      <c r="B40" s="60">
        <v>137</v>
      </c>
      <c r="C40" s="60">
        <v>5</v>
      </c>
      <c r="D40" s="60">
        <v>21</v>
      </c>
      <c r="E40" s="51">
        <v>0.2</v>
      </c>
      <c r="F40" s="51"/>
      <c r="G40" s="51"/>
      <c r="H40" s="51">
        <v>0.8</v>
      </c>
      <c r="I40" s="49">
        <f t="shared" si="1"/>
        <v>8.4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">
      <c r="A41" s="50">
        <v>45</v>
      </c>
      <c r="B41" s="60">
        <v>158</v>
      </c>
      <c r="C41" s="60">
        <v>6</v>
      </c>
      <c r="D41" s="60">
        <v>21</v>
      </c>
      <c r="E41" s="51">
        <v>0.2</v>
      </c>
      <c r="F41" s="51"/>
      <c r="G41" s="51"/>
      <c r="H41" s="51">
        <v>0.8</v>
      </c>
      <c r="I41" s="53">
        <f t="shared" si="1"/>
        <v>8.4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">
      <c r="A42" s="50">
        <v>50</v>
      </c>
      <c r="B42" s="60">
        <v>178</v>
      </c>
      <c r="C42" s="60">
        <v>7</v>
      </c>
      <c r="D42" s="60">
        <v>21</v>
      </c>
      <c r="E42" s="51">
        <v>0.3</v>
      </c>
      <c r="F42" s="51"/>
      <c r="G42" s="51"/>
      <c r="H42" s="51">
        <v>0.7</v>
      </c>
      <c r="I42" s="53">
        <f t="shared" si="1"/>
        <v>8.1999999999999993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">
      <c r="A43" s="50">
        <v>55</v>
      </c>
      <c r="B43" s="60">
        <v>197</v>
      </c>
      <c r="C43" s="60">
        <v>8</v>
      </c>
      <c r="D43" s="60">
        <v>21</v>
      </c>
      <c r="E43" s="51">
        <v>0.3</v>
      </c>
      <c r="F43" s="51"/>
      <c r="G43" s="51"/>
      <c r="H43" s="51">
        <v>0.7</v>
      </c>
      <c r="I43" s="49">
        <f t="shared" si="1"/>
        <v>8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">
      <c r="A44" s="50">
        <v>60</v>
      </c>
      <c r="B44" s="60">
        <v>214</v>
      </c>
      <c r="C44" s="60">
        <v>9</v>
      </c>
      <c r="D44" s="60">
        <v>21</v>
      </c>
      <c r="E44" s="51">
        <v>0.4</v>
      </c>
      <c r="F44" s="51"/>
      <c r="G44" s="51"/>
      <c r="H44" s="51">
        <v>0.6</v>
      </c>
      <c r="I44" s="49">
        <f t="shared" si="1"/>
        <v>7.6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">
      <c r="A45" s="50">
        <v>65</v>
      </c>
      <c r="B45" s="60">
        <v>229</v>
      </c>
      <c r="C45" s="60">
        <v>10</v>
      </c>
      <c r="D45" s="60">
        <v>21</v>
      </c>
      <c r="E45" s="51">
        <v>0.4</v>
      </c>
      <c r="F45" s="51"/>
      <c r="G45" s="51"/>
      <c r="H45" s="51">
        <v>0.6</v>
      </c>
      <c r="I45" s="49">
        <f t="shared" si="1"/>
        <v>7.2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">
      <c r="A46" s="50">
        <v>70</v>
      </c>
      <c r="B46" s="60">
        <v>242</v>
      </c>
      <c r="C46" s="60">
        <v>11</v>
      </c>
      <c r="D46" s="60">
        <v>21</v>
      </c>
      <c r="E46" s="51">
        <v>0.5</v>
      </c>
      <c r="F46" s="51"/>
      <c r="G46" s="51"/>
      <c r="H46" s="51">
        <v>0.5</v>
      </c>
      <c r="I46" s="49">
        <f t="shared" si="1"/>
        <v>6.8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">
      <c r="A47" s="50">
        <v>75</v>
      </c>
      <c r="B47" s="60">
        <v>252</v>
      </c>
      <c r="C47" s="60">
        <v>12</v>
      </c>
      <c r="D47" s="60">
        <v>21</v>
      </c>
      <c r="E47" s="51">
        <v>0.5</v>
      </c>
      <c r="F47" s="51"/>
      <c r="G47" s="51"/>
      <c r="H47" s="51">
        <v>0.5</v>
      </c>
      <c r="I47" s="49">
        <f t="shared" si="1"/>
        <v>6.2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">
      <c r="A48" s="50">
        <v>80</v>
      </c>
      <c r="B48" s="60">
        <v>261</v>
      </c>
      <c r="C48" s="60">
        <v>13</v>
      </c>
      <c r="D48" s="60">
        <v>21</v>
      </c>
      <c r="E48" s="51">
        <v>0.6</v>
      </c>
      <c r="F48" s="51"/>
      <c r="G48" s="51"/>
      <c r="H48" s="51">
        <v>0.4</v>
      </c>
      <c r="I48" s="49">
        <f t="shared" si="1"/>
        <v>6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">
      <c r="A49" s="50">
        <v>85</v>
      </c>
      <c r="B49" s="60">
        <v>269</v>
      </c>
      <c r="C49" s="60">
        <v>14</v>
      </c>
      <c r="D49" s="60">
        <v>21</v>
      </c>
      <c r="E49" s="51">
        <v>0.6</v>
      </c>
      <c r="F49" s="51"/>
      <c r="G49" s="51"/>
      <c r="H49" s="51">
        <v>0.4</v>
      </c>
      <c r="I49" s="49">
        <f t="shared" si="1"/>
        <v>5.8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">
      <c r="A50" s="50">
        <v>90</v>
      </c>
      <c r="B50" s="50">
        <v>275</v>
      </c>
      <c r="C50" s="50">
        <v>15</v>
      </c>
      <c r="D50" s="50">
        <v>21</v>
      </c>
      <c r="E50" s="51">
        <v>0.7</v>
      </c>
      <c r="F50" s="51"/>
      <c r="G50" s="51"/>
      <c r="H50" s="51">
        <v>0.3</v>
      </c>
      <c r="I50" s="49">
        <f t="shared" si="1"/>
        <v>5.4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">
      <c r="A51" s="50">
        <v>100</v>
      </c>
      <c r="B51" s="50">
        <v>282</v>
      </c>
      <c r="C51" s="50">
        <v>16</v>
      </c>
      <c r="D51" s="50">
        <v>21</v>
      </c>
      <c r="E51" s="51">
        <v>0.7</v>
      </c>
      <c r="F51" s="51"/>
      <c r="G51" s="51"/>
      <c r="H51" s="51">
        <v>0.3</v>
      </c>
      <c r="I51" s="49">
        <f t="shared" si="1"/>
        <v>2.8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">
      <c r="A52" s="50">
        <v>110</v>
      </c>
      <c r="B52" s="50">
        <v>285</v>
      </c>
      <c r="C52" s="50">
        <v>17</v>
      </c>
      <c r="D52" s="50">
        <v>19</v>
      </c>
      <c r="E52" s="51">
        <v>0.8</v>
      </c>
      <c r="F52" s="51"/>
      <c r="G52" s="51"/>
      <c r="H52" s="51">
        <v>0.2</v>
      </c>
      <c r="I52" s="49">
        <f t="shared" si="1"/>
        <v>2.4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">
      <c r="A53" s="50">
        <v>120</v>
      </c>
      <c r="B53" s="50">
        <v>285</v>
      </c>
      <c r="C53" s="50">
        <v>18</v>
      </c>
      <c r="D53" s="50">
        <v>285</v>
      </c>
      <c r="E53" s="51">
        <v>0.8</v>
      </c>
      <c r="F53" s="51"/>
      <c r="G53" s="51"/>
      <c r="H53" s="51">
        <v>0.2</v>
      </c>
      <c r="I53" s="49">
        <f t="shared" si="1"/>
        <v>1.9</v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">
      <c r="A58" s="46" t="s">
        <v>166</v>
      </c>
      <c r="B58" s="52" t="str">
        <f>IF(B10="","",B10)</f>
        <v>Chêne pubescent</v>
      </c>
      <c r="D58" s="228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">
      <c r="A60" s="4"/>
      <c r="B60" s="85" t="s">
        <v>185</v>
      </c>
      <c r="C60" s="257" t="s">
        <v>186</v>
      </c>
      <c r="D60" s="257"/>
      <c r="E60" s="258" t="s">
        <v>187</v>
      </c>
      <c r="F60" s="259"/>
      <c r="G60" s="259"/>
      <c r="H60" s="260"/>
      <c r="I60" s="95"/>
      <c r="J60" s="222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32" x14ac:dyDescent="0.2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3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">
      <c r="A62" s="50">
        <v>20</v>
      </c>
      <c r="B62" s="60">
        <v>73</v>
      </c>
      <c r="C62" s="60">
        <v>1</v>
      </c>
      <c r="D62" s="60">
        <v>0</v>
      </c>
      <c r="E62" s="51">
        <v>0</v>
      </c>
      <c r="F62" s="51"/>
      <c r="G62" s="51"/>
      <c r="H62" s="51">
        <v>1</v>
      </c>
      <c r="I62" s="53">
        <f>IFERROR(B62/A62,"")</f>
        <v>3.65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">
      <c r="A63" s="50">
        <v>25</v>
      </c>
      <c r="B63" s="60">
        <v>103</v>
      </c>
      <c r="C63" s="60">
        <v>2</v>
      </c>
      <c r="D63" s="60">
        <v>0</v>
      </c>
      <c r="E63" s="51">
        <v>0</v>
      </c>
      <c r="F63" s="51"/>
      <c r="G63" s="51"/>
      <c r="H63" s="51">
        <v>1</v>
      </c>
      <c r="I63" s="49">
        <f>IF(A63&lt;&gt;0,(B63-(B62-D62))/(A63-A62),"")</f>
        <v>6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">
      <c r="A64" s="50">
        <v>30</v>
      </c>
      <c r="B64" s="60">
        <v>121</v>
      </c>
      <c r="C64" s="60">
        <v>3</v>
      </c>
      <c r="D64" s="60">
        <v>28</v>
      </c>
      <c r="E64" s="51">
        <v>0</v>
      </c>
      <c r="F64" s="51"/>
      <c r="G64" s="51"/>
      <c r="H64" s="51">
        <v>1</v>
      </c>
      <c r="I64" s="49">
        <f>IF(A64&lt;&gt;0,(B64-(B63-D63))/(A64-A63),"")</f>
        <v>3.6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">
      <c r="A65" s="50">
        <v>35</v>
      </c>
      <c r="B65" s="60">
        <v>147</v>
      </c>
      <c r="C65" s="60">
        <v>4</v>
      </c>
      <c r="D65" s="60">
        <v>28</v>
      </c>
      <c r="E65" s="51">
        <v>0</v>
      </c>
      <c r="F65" s="51"/>
      <c r="G65" s="51"/>
      <c r="H65" s="51">
        <v>1</v>
      </c>
      <c r="I65" s="49">
        <f>IF(A65&lt;&gt;0,(B65-(B64-D64))/(A65-A64),"")</f>
        <v>10.8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">
      <c r="A66" s="50">
        <v>40</v>
      </c>
      <c r="B66" s="60">
        <v>175</v>
      </c>
      <c r="C66" s="60">
        <v>5</v>
      </c>
      <c r="D66" s="60">
        <v>28</v>
      </c>
      <c r="E66" s="51">
        <v>0.2</v>
      </c>
      <c r="F66" s="51"/>
      <c r="G66" s="51"/>
      <c r="H66" s="51">
        <v>0.8</v>
      </c>
      <c r="I66" s="49">
        <f t="shared" ref="I66:I81" si="2">IF(A66&lt;&gt;0,(B66-(B65-D65))/(A66-A65),"")</f>
        <v>11.2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">
      <c r="A67" s="50">
        <v>45</v>
      </c>
      <c r="B67" s="60">
        <v>204</v>
      </c>
      <c r="C67" s="60">
        <v>6</v>
      </c>
      <c r="D67" s="60">
        <v>28</v>
      </c>
      <c r="E67" s="51">
        <v>0.2</v>
      </c>
      <c r="F67" s="51"/>
      <c r="G67" s="51"/>
      <c r="H67" s="51">
        <v>0.8</v>
      </c>
      <c r="I67" s="49">
        <f t="shared" si="2"/>
        <v>11.4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">
      <c r="A68" s="50">
        <v>50</v>
      </c>
      <c r="B68" s="60">
        <v>231</v>
      </c>
      <c r="C68" s="60">
        <v>7</v>
      </c>
      <c r="D68" s="60">
        <v>28</v>
      </c>
      <c r="E68" s="51">
        <v>0.3</v>
      </c>
      <c r="F68" s="51"/>
      <c r="G68" s="51"/>
      <c r="H68" s="51">
        <v>0.7</v>
      </c>
      <c r="I68" s="49">
        <f t="shared" si="2"/>
        <v>11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">
      <c r="A69" s="50">
        <v>55</v>
      </c>
      <c r="B69" s="50">
        <v>254</v>
      </c>
      <c r="C69" s="50">
        <v>8</v>
      </c>
      <c r="D69" s="50">
        <v>28</v>
      </c>
      <c r="E69" s="51">
        <v>0.3</v>
      </c>
      <c r="F69" s="51"/>
      <c r="G69" s="51"/>
      <c r="H69" s="51">
        <v>0.7</v>
      </c>
      <c r="I69" s="49">
        <f t="shared" si="2"/>
        <v>10.199999999999999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">
      <c r="A70" s="50">
        <v>60</v>
      </c>
      <c r="B70" s="50">
        <v>273</v>
      </c>
      <c r="C70" s="50">
        <v>9</v>
      </c>
      <c r="D70" s="50">
        <v>28</v>
      </c>
      <c r="E70" s="51">
        <v>0.4</v>
      </c>
      <c r="F70" s="51"/>
      <c r="G70" s="51"/>
      <c r="H70" s="51">
        <v>0.6</v>
      </c>
      <c r="I70" s="49">
        <f t="shared" si="2"/>
        <v>9.4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">
      <c r="A71" s="50">
        <v>65</v>
      </c>
      <c r="B71" s="50">
        <v>289</v>
      </c>
      <c r="C71" s="50">
        <v>10</v>
      </c>
      <c r="D71" s="50">
        <v>28</v>
      </c>
      <c r="E71" s="51">
        <v>0.4</v>
      </c>
      <c r="F71" s="51"/>
      <c r="G71" s="51"/>
      <c r="H71" s="51">
        <v>0.6</v>
      </c>
      <c r="I71" s="49">
        <f t="shared" si="2"/>
        <v>8.8000000000000007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">
      <c r="A72" s="50">
        <v>70</v>
      </c>
      <c r="B72" s="50">
        <v>302</v>
      </c>
      <c r="C72" s="50">
        <v>11</v>
      </c>
      <c r="D72" s="50">
        <v>28</v>
      </c>
      <c r="E72" s="51">
        <v>0.5</v>
      </c>
      <c r="F72" s="51"/>
      <c r="G72" s="51"/>
      <c r="H72" s="51">
        <v>0.5</v>
      </c>
      <c r="I72" s="49">
        <f t="shared" si="2"/>
        <v>8.1999999999999993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">
      <c r="A73" s="50">
        <v>75</v>
      </c>
      <c r="B73" s="50">
        <v>312</v>
      </c>
      <c r="C73" s="50">
        <v>12</v>
      </c>
      <c r="D73" s="50">
        <v>28</v>
      </c>
      <c r="E73" s="51">
        <v>0.5</v>
      </c>
      <c r="F73" s="51"/>
      <c r="G73" s="51"/>
      <c r="H73" s="51">
        <v>0.5</v>
      </c>
      <c r="I73" s="49">
        <f t="shared" si="2"/>
        <v>7.6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">
      <c r="A74" s="50">
        <v>80</v>
      </c>
      <c r="B74" s="50">
        <v>320</v>
      </c>
      <c r="C74" s="50">
        <v>13</v>
      </c>
      <c r="D74" s="50">
        <v>28</v>
      </c>
      <c r="E74" s="51">
        <v>0.6</v>
      </c>
      <c r="F74" s="51"/>
      <c r="G74" s="51"/>
      <c r="H74" s="51">
        <v>0.4</v>
      </c>
      <c r="I74" s="49">
        <f t="shared" si="2"/>
        <v>7.2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">
      <c r="A75" s="50">
        <v>90</v>
      </c>
      <c r="B75" s="50">
        <v>358</v>
      </c>
      <c r="C75" s="50">
        <v>15</v>
      </c>
      <c r="D75" s="50">
        <v>56</v>
      </c>
      <c r="E75" s="51">
        <v>0.7</v>
      </c>
      <c r="F75" s="51"/>
      <c r="G75" s="51"/>
      <c r="H75" s="51">
        <v>0.3</v>
      </c>
      <c r="I75" s="49">
        <f t="shared" si="2"/>
        <v>6.6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">
      <c r="A76" s="50">
        <v>100</v>
      </c>
      <c r="B76" s="50">
        <v>362</v>
      </c>
      <c r="C76" s="50">
        <v>17</v>
      </c>
      <c r="D76" s="50">
        <v>56</v>
      </c>
      <c r="E76" s="51">
        <v>0.8</v>
      </c>
      <c r="F76" s="51"/>
      <c r="G76" s="51"/>
      <c r="H76" s="51">
        <v>0.2</v>
      </c>
      <c r="I76" s="49">
        <f t="shared" si="2"/>
        <v>6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">
      <c r="A77" s="50">
        <v>110</v>
      </c>
      <c r="B77" s="50">
        <v>358</v>
      </c>
      <c r="C77" s="50">
        <v>19</v>
      </c>
      <c r="D77" s="50">
        <v>51</v>
      </c>
      <c r="E77" s="51">
        <v>0.8</v>
      </c>
      <c r="F77" s="51"/>
      <c r="G77" s="51"/>
      <c r="H77" s="51">
        <v>0.2</v>
      </c>
      <c r="I77" s="49">
        <f t="shared" si="2"/>
        <v>5.2</v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">
      <c r="A78" s="50">
        <v>120</v>
      </c>
      <c r="B78" s="50">
        <v>352</v>
      </c>
      <c r="C78" s="50">
        <v>21</v>
      </c>
      <c r="D78" s="50">
        <v>352</v>
      </c>
      <c r="E78" s="51">
        <v>0.9</v>
      </c>
      <c r="F78" s="51"/>
      <c r="G78" s="51"/>
      <c r="H78" s="51">
        <v>0.1</v>
      </c>
      <c r="I78" s="49">
        <f t="shared" si="2"/>
        <v>4.5</v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">
      <c r="A84" s="46" t="s">
        <v>167</v>
      </c>
      <c r="B84" s="52" t="str">
        <f>IF(B11="","",B11)</f>
        <v/>
      </c>
      <c r="D84" s="228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">
      <c r="A86" s="4"/>
      <c r="B86" s="85" t="s">
        <v>185</v>
      </c>
      <c r="C86" s="257" t="s">
        <v>186</v>
      </c>
      <c r="D86" s="257"/>
      <c r="E86" s="258" t="s">
        <v>187</v>
      </c>
      <c r="F86" s="259"/>
      <c r="G86" s="259"/>
      <c r="H86" s="260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32" x14ac:dyDescent="0.2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">
      <c r="A88" s="50"/>
      <c r="B88" s="60"/>
      <c r="C88" s="60"/>
      <c r="D88" s="60"/>
      <c r="E88" s="51"/>
      <c r="F88" s="51"/>
      <c r="G88" s="51"/>
      <c r="H88" s="87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">
      <c r="A89" s="50"/>
      <c r="B89" s="60"/>
      <c r="C89" s="60"/>
      <c r="D89" s="60"/>
      <c r="E89" s="51"/>
      <c r="F89" s="51"/>
      <c r="G89" s="51"/>
      <c r="H89" s="87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">
      <c r="A90" s="50"/>
      <c r="B90" s="60"/>
      <c r="C90" s="60"/>
      <c r="D90" s="60"/>
      <c r="E90" s="87"/>
      <c r="F90" s="87"/>
      <c r="G90" s="87"/>
      <c r="H90" s="87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">
      <c r="A91" s="50"/>
      <c r="B91" s="60"/>
      <c r="C91" s="60"/>
      <c r="D91" s="60"/>
      <c r="E91" s="87"/>
      <c r="F91" s="87"/>
      <c r="G91" s="87"/>
      <c r="H91" s="87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">
      <c r="A92" s="50"/>
      <c r="B92" s="60"/>
      <c r="C92" s="60"/>
      <c r="D92" s="60"/>
      <c r="E92" s="87"/>
      <c r="F92" s="87"/>
      <c r="G92" s="87"/>
      <c r="H92" s="87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">
      <c r="A93" s="50"/>
      <c r="B93" s="60"/>
      <c r="C93" s="60"/>
      <c r="D93" s="60"/>
      <c r="E93" s="87"/>
      <c r="F93" s="87"/>
      <c r="G93" s="87"/>
      <c r="H93" s="87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">
      <c r="A94" s="50"/>
      <c r="B94" s="60"/>
      <c r="C94" s="60"/>
      <c r="D94" s="60"/>
      <c r="E94" s="87"/>
      <c r="F94" s="87"/>
      <c r="G94" s="87"/>
      <c r="H94" s="87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">
      <c r="A110" s="46" t="s">
        <v>168</v>
      </c>
      <c r="B110" s="52" t="str">
        <f>IF(B12="","",B12)</f>
        <v/>
      </c>
      <c r="D110" s="228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">
      <c r="A112" s="4"/>
      <c r="B112" s="85" t="s">
        <v>185</v>
      </c>
      <c r="C112" s="257" t="s">
        <v>186</v>
      </c>
      <c r="D112" s="257"/>
      <c r="E112" s="258" t="s">
        <v>187</v>
      </c>
      <c r="F112" s="259"/>
      <c r="G112" s="259"/>
      <c r="H112" s="260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32" x14ac:dyDescent="0.2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">
      <c r="A136" s="46" t="s">
        <v>169</v>
      </c>
      <c r="B136" s="52" t="str">
        <f>IF(B13="","",B13)</f>
        <v/>
      </c>
      <c r="D136" s="228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">
      <c r="A138" s="4"/>
      <c r="B138" s="85" t="s">
        <v>185</v>
      </c>
      <c r="C138" s="257" t="s">
        <v>186</v>
      </c>
      <c r="D138" s="257"/>
      <c r="E138" s="258" t="s">
        <v>187</v>
      </c>
      <c r="F138" s="259"/>
      <c r="G138" s="259"/>
      <c r="H138" s="260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32" x14ac:dyDescent="0.2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">
      <c r="A162" s="46" t="s">
        <v>170</v>
      </c>
      <c r="B162" s="52" t="str">
        <f>IF(B14="","",B14)</f>
        <v/>
      </c>
      <c r="D162" s="228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">
      <c r="A164" s="4"/>
      <c r="B164" s="85" t="s">
        <v>185</v>
      </c>
      <c r="C164" s="257" t="s">
        <v>186</v>
      </c>
      <c r="D164" s="257"/>
      <c r="E164" s="258" t="s">
        <v>187</v>
      </c>
      <c r="F164" s="259"/>
      <c r="G164" s="259"/>
      <c r="H164" s="260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32" x14ac:dyDescent="0.2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">
      <c r="A188" s="46" t="s">
        <v>171</v>
      </c>
      <c r="B188" s="52" t="str">
        <f>IF(B15="","",B15)</f>
        <v/>
      </c>
      <c r="D188" s="228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">
      <c r="A190" s="4"/>
      <c r="B190" s="85" t="s">
        <v>185</v>
      </c>
      <c r="C190" s="257" t="s">
        <v>186</v>
      </c>
      <c r="D190" s="257"/>
      <c r="E190" s="258" t="s">
        <v>187</v>
      </c>
      <c r="F190" s="259"/>
      <c r="G190" s="259"/>
      <c r="H190" s="260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32" x14ac:dyDescent="0.2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">
      <c r="A214" s="46" t="s">
        <v>172</v>
      </c>
      <c r="B214" s="52" t="str">
        <f>IF(B16="","",B16)</f>
        <v/>
      </c>
      <c r="D214" s="228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">
      <c r="A216" s="4"/>
      <c r="B216" s="85" t="s">
        <v>185</v>
      </c>
      <c r="C216" s="257" t="s">
        <v>186</v>
      </c>
      <c r="D216" s="257"/>
      <c r="E216" s="258" t="s">
        <v>187</v>
      </c>
      <c r="F216" s="259"/>
      <c r="G216" s="259"/>
      <c r="H216" s="260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32" x14ac:dyDescent="0.2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">
      <c r="A240" s="46" t="s">
        <v>173</v>
      </c>
      <c r="B240" s="52" t="str">
        <f>IF(B17="","",B17)</f>
        <v/>
      </c>
      <c r="D240" s="228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">
      <c r="A242" s="4"/>
      <c r="B242" s="85" t="s">
        <v>185</v>
      </c>
      <c r="C242" s="257" t="s">
        <v>186</v>
      </c>
      <c r="D242" s="257"/>
      <c r="E242" s="258" t="s">
        <v>187</v>
      </c>
      <c r="F242" s="259"/>
      <c r="G242" s="259"/>
      <c r="H242" s="260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32" x14ac:dyDescent="0.2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">
      <c r="A266" s="46" t="s">
        <v>174</v>
      </c>
      <c r="B266" s="52" t="str">
        <f>IF(B18="","",B18)</f>
        <v/>
      </c>
      <c r="D266" s="228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">
      <c r="A268" s="4"/>
      <c r="B268" s="85" t="s">
        <v>185</v>
      </c>
      <c r="C268" s="257" t="s">
        <v>186</v>
      </c>
      <c r="D268" s="257"/>
      <c r="E268" s="258" t="s">
        <v>187</v>
      </c>
      <c r="F268" s="259"/>
      <c r="G268" s="259"/>
      <c r="H268" s="260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32" x14ac:dyDescent="0.2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G15" sqref="G15"/>
    </sheetView>
  </sheetViews>
  <sheetFormatPr baseColWidth="10" defaultColWidth="11.5" defaultRowHeight="15" x14ac:dyDescent="0.2"/>
  <cols>
    <col min="1" max="1" width="5.83203125" style="1" customWidth="1"/>
    <col min="2" max="2" width="14.1640625" style="1" customWidth="1"/>
    <col min="3" max="3" width="62.164062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5" style="1"/>
    <col min="11" max="11" width="12.5" style="1" customWidth="1"/>
    <col min="12" max="16384" width="11.5" style="1"/>
  </cols>
  <sheetData>
    <row r="1" spans="1:38" ht="16" thickBot="1" x14ac:dyDescent="0.2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35">
      <c r="A2" s="4"/>
      <c r="B2" s="271" t="s">
        <v>191</v>
      </c>
      <c r="C2" s="272"/>
      <c r="D2" s="272"/>
      <c r="E2" s="272"/>
      <c r="F2" s="272"/>
      <c r="G2" s="273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">
      <c r="A4" s="4"/>
      <c r="B4" s="270"/>
      <c r="C4" s="270"/>
      <c r="D4" s="270"/>
      <c r="E4" s="270"/>
      <c r="F4" s="270"/>
      <c r="G4" s="270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">
      <c r="A6" s="23"/>
      <c r="B6" s="216"/>
      <c r="C6" s="216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">
      <c r="A7" s="99"/>
      <c r="B7" s="26" t="s">
        <v>295</v>
      </c>
      <c r="C7" s="100" t="s">
        <v>214</v>
      </c>
      <c r="D7" s="214"/>
      <c r="E7" s="101"/>
      <c r="F7" s="26" t="s">
        <v>295</v>
      </c>
      <c r="G7" s="100" t="s">
        <v>215</v>
      </c>
      <c r="H7" s="215"/>
      <c r="I7" s="215"/>
      <c r="J7" s="215"/>
      <c r="K7" s="215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2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">
      <c r="A13" s="215"/>
      <c r="B13" s="107"/>
      <c r="C13" s="98" t="s">
        <v>273</v>
      </c>
      <c r="D13" s="215"/>
      <c r="E13" s="99"/>
      <c r="F13" s="107"/>
      <c r="G13" s="98" t="s">
        <v>301</v>
      </c>
      <c r="H13" s="215"/>
      <c r="I13" s="215"/>
      <c r="J13" s="215"/>
      <c r="K13" s="215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2">
      <c r="A14" s="215"/>
      <c r="B14" s="107"/>
      <c r="C14" s="98" t="s">
        <v>309</v>
      </c>
      <c r="D14" s="215"/>
      <c r="E14" s="99"/>
      <c r="F14" s="107"/>
      <c r="G14" s="98" t="s">
        <v>294</v>
      </c>
      <c r="H14" s="215"/>
      <c r="I14" s="215"/>
      <c r="J14" s="215"/>
      <c r="K14" s="215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">
      <c r="A15" s="23"/>
      <c r="B15" s="26" t="s">
        <v>295</v>
      </c>
      <c r="C15" s="4"/>
      <c r="D15" s="23"/>
      <c r="E15" s="4"/>
      <c r="F15" s="4"/>
      <c r="G15" s="2" t="s">
        <v>149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">
      <c r="C104" s="4"/>
      <c r="F104" s="4"/>
    </row>
    <row r="105" spans="3:35" x14ac:dyDescent="0.2">
      <c r="C105" s="4"/>
      <c r="F105" s="4"/>
    </row>
    <row r="106" spans="3:35" x14ac:dyDescent="0.2">
      <c r="C106" s="4"/>
      <c r="F106" s="4"/>
    </row>
    <row r="107" spans="3:35" x14ac:dyDescent="0.2">
      <c r="C107" s="4"/>
      <c r="F107" s="4"/>
    </row>
    <row r="108" spans="3:35" x14ac:dyDescent="0.2">
      <c r="C108" s="4"/>
      <c r="F108" s="4"/>
    </row>
    <row r="109" spans="3:35" x14ac:dyDescent="0.2">
      <c r="C109" s="4"/>
      <c r="F109" s="4"/>
    </row>
    <row r="110" spans="3:35" x14ac:dyDescent="0.2">
      <c r="C110" s="4"/>
      <c r="F110" s="4"/>
    </row>
    <row r="111" spans="3:35" x14ac:dyDescent="0.2">
      <c r="C111" s="4"/>
      <c r="F111" s="4"/>
    </row>
    <row r="112" spans="3:35" x14ac:dyDescent="0.2">
      <c r="C112" s="4"/>
      <c r="F112" s="4"/>
    </row>
    <row r="113" spans="3:6" x14ac:dyDescent="0.2">
      <c r="C113" s="4"/>
      <c r="F113" s="4"/>
    </row>
    <row r="114" spans="3:6" x14ac:dyDescent="0.2">
      <c r="C114" s="4"/>
      <c r="F114" s="4"/>
    </row>
    <row r="115" spans="3:6" x14ac:dyDescent="0.2">
      <c r="C115" s="4"/>
      <c r="F115" s="4"/>
    </row>
    <row r="116" spans="3:6" x14ac:dyDescent="0.2">
      <c r="C116" s="4"/>
      <c r="F116" s="4"/>
    </row>
    <row r="117" spans="3:6" x14ac:dyDescent="0.2">
      <c r="C117" s="4"/>
      <c r="F117" s="4"/>
    </row>
    <row r="118" spans="3:6" x14ac:dyDescent="0.2">
      <c r="C118" s="4"/>
      <c r="F118" s="4"/>
    </row>
    <row r="119" spans="3:6" x14ac:dyDescent="0.2">
      <c r="C119" s="4"/>
      <c r="F119" s="4"/>
    </row>
    <row r="120" spans="3:6" x14ac:dyDescent="0.2">
      <c r="C120" s="4"/>
      <c r="F120" s="4"/>
    </row>
    <row r="121" spans="3:6" x14ac:dyDescent="0.2">
      <c r="C121" s="4"/>
      <c r="F121" s="4"/>
    </row>
    <row r="122" spans="3:6" x14ac:dyDescent="0.2">
      <c r="C122" s="4"/>
      <c r="F122" s="4"/>
    </row>
    <row r="123" spans="3:6" x14ac:dyDescent="0.2">
      <c r="C123" s="4"/>
      <c r="F123" s="4"/>
    </row>
    <row r="124" spans="3:6" x14ac:dyDescent="0.2">
      <c r="C124" s="4"/>
      <c r="F124" s="4"/>
    </row>
    <row r="125" spans="3:6" x14ac:dyDescent="0.2">
      <c r="C125" s="4"/>
      <c r="F125" s="4"/>
    </row>
    <row r="126" spans="3:6" x14ac:dyDescent="0.2">
      <c r="C126" s="4"/>
      <c r="F126" s="4"/>
    </row>
    <row r="127" spans="3:6" x14ac:dyDescent="0.2">
      <c r="C127" s="4"/>
      <c r="F127" s="4"/>
    </row>
    <row r="128" spans="3:6" x14ac:dyDescent="0.2">
      <c r="C128" s="4"/>
      <c r="F128" s="4"/>
    </row>
    <row r="129" spans="3:6" x14ac:dyDescent="0.2">
      <c r="C129" s="4"/>
      <c r="F129" s="4"/>
    </row>
    <row r="130" spans="3:6" x14ac:dyDescent="0.2">
      <c r="C130" s="4"/>
      <c r="F130" s="4"/>
    </row>
    <row r="131" spans="3:6" x14ac:dyDescent="0.2">
      <c r="C131" s="4"/>
      <c r="F131" s="4"/>
    </row>
    <row r="132" spans="3:6" x14ac:dyDescent="0.2">
      <c r="F132" s="4"/>
    </row>
    <row r="133" spans="3:6" x14ac:dyDescent="0.2">
      <c r="F133" s="4"/>
    </row>
    <row r="134" spans="3:6" x14ac:dyDescent="0.2">
      <c r="F134" s="4"/>
    </row>
    <row r="135" spans="3:6" x14ac:dyDescent="0.2">
      <c r="F135" s="4"/>
    </row>
    <row r="136" spans="3:6" x14ac:dyDescent="0.2">
      <c r="F136" s="4"/>
    </row>
    <row r="137" spans="3:6" x14ac:dyDescent="0.2">
      <c r="F137" s="4"/>
    </row>
    <row r="138" spans="3:6" x14ac:dyDescent="0.2">
      <c r="F138" s="4"/>
    </row>
    <row r="139" spans="3:6" x14ac:dyDescent="0.2">
      <c r="F139" s="4"/>
    </row>
    <row r="140" spans="3:6" x14ac:dyDescent="0.2">
      <c r="F140" s="4"/>
    </row>
    <row r="141" spans="3:6" x14ac:dyDescent="0.2">
      <c r="F141" s="4"/>
    </row>
    <row r="142" spans="3:6" x14ac:dyDescent="0.2">
      <c r="F142" s="4"/>
    </row>
    <row r="143" spans="3:6" x14ac:dyDescent="0.2">
      <c r="F143" s="4"/>
    </row>
    <row r="144" spans="3:6" x14ac:dyDescent="0.2">
      <c r="F144" s="4"/>
    </row>
    <row r="145" spans="6:6" x14ac:dyDescent="0.2">
      <c r="F145" s="4"/>
    </row>
    <row r="146" spans="6:6" x14ac:dyDescent="0.2">
      <c r="F146" s="4"/>
    </row>
    <row r="147" spans="6:6" x14ac:dyDescent="0.2">
      <c r="F147" s="4"/>
    </row>
    <row r="148" spans="6:6" x14ac:dyDescent="0.2">
      <c r="F148" s="4"/>
    </row>
    <row r="149" spans="6:6" x14ac:dyDescent="0.2">
      <c r="F149" s="4"/>
    </row>
    <row r="150" spans="6:6" x14ac:dyDescent="0.2">
      <c r="F150" s="4"/>
    </row>
    <row r="151" spans="6:6" x14ac:dyDescent="0.2">
      <c r="F151" s="4"/>
    </row>
    <row r="152" spans="6:6" x14ac:dyDescent="0.2">
      <c r="F152" s="4"/>
    </row>
    <row r="153" spans="6:6" x14ac:dyDescent="0.2">
      <c r="F153" s="4"/>
    </row>
    <row r="154" spans="6:6" x14ac:dyDescent="0.2">
      <c r="F154" s="4"/>
    </row>
    <row r="155" spans="6:6" x14ac:dyDescent="0.2">
      <c r="F155" s="4"/>
    </row>
    <row r="156" spans="6:6" x14ac:dyDescent="0.2">
      <c r="F156" s="4"/>
    </row>
    <row r="157" spans="6:6" x14ac:dyDescent="0.2">
      <c r="F157" s="4"/>
    </row>
    <row r="158" spans="6:6" x14ac:dyDescent="0.2">
      <c r="F158" s="4"/>
    </row>
    <row r="159" spans="6:6" x14ac:dyDescent="0.2">
      <c r="F159" s="4"/>
    </row>
    <row r="160" spans="6:6" x14ac:dyDescent="0.2">
      <c r="F160" s="4"/>
    </row>
    <row r="161" spans="6:6" x14ac:dyDescent="0.2">
      <c r="F161" s="4"/>
    </row>
    <row r="162" spans="6:6" x14ac:dyDescent="0.2">
      <c r="F162" s="4"/>
    </row>
    <row r="163" spans="6:6" x14ac:dyDescent="0.2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5" defaultRowHeight="15" x14ac:dyDescent="0.2"/>
  <cols>
    <col min="1" max="1" width="6.83203125" style="4" bestFit="1" customWidth="1"/>
    <col min="2" max="4" width="11.5" style="4"/>
    <col min="5" max="5" width="9.5" style="4" customWidth="1"/>
    <col min="6" max="7" width="11.5" style="4"/>
    <col min="8" max="8" width="10.6640625" style="4" customWidth="1"/>
    <col min="9" max="9" width="9.5" style="4" customWidth="1"/>
    <col min="10" max="11" width="10.5" style="4" bestFit="1" customWidth="1"/>
    <col min="12" max="12" width="14" style="4" bestFit="1" customWidth="1"/>
    <col min="13" max="13" width="14" style="4" customWidth="1"/>
    <col min="14" max="23" width="11.5" style="4"/>
    <col min="24" max="24" width="11.6640625" style="4" bestFit="1" customWidth="1"/>
    <col min="25" max="25" width="14.5" style="4" bestFit="1" customWidth="1"/>
    <col min="26" max="26" width="12.5" style="4" bestFit="1" customWidth="1"/>
    <col min="27" max="27" width="9.6640625" style="4" bestFit="1" customWidth="1"/>
    <col min="28" max="28" width="11" style="4" bestFit="1" customWidth="1"/>
    <col min="29" max="29" width="9.5" style="4" bestFit="1" customWidth="1"/>
    <col min="30" max="31" width="9.5" style="4" customWidth="1"/>
    <col min="32" max="32" width="11.5" style="4"/>
    <col min="33" max="34" width="14" style="4" bestFit="1" customWidth="1"/>
    <col min="35" max="35" width="10.5" style="4" bestFit="1" customWidth="1"/>
    <col min="36" max="36" width="9.5" style="4" bestFit="1" customWidth="1"/>
    <col min="37" max="38" width="10.5" style="4" bestFit="1" customWidth="1"/>
    <col min="39" max="41" width="10.5" style="4" customWidth="1"/>
    <col min="42" max="42" width="9" style="4" bestFit="1" customWidth="1"/>
    <col min="43" max="43" width="10.5" style="4" bestFit="1" customWidth="1"/>
    <col min="44" max="44" width="9.33203125" style="4" bestFit="1" customWidth="1"/>
    <col min="45" max="45" width="11.6640625" style="4" bestFit="1" customWidth="1"/>
    <col min="46" max="46" width="8.5" style="4" bestFit="1" customWidth="1"/>
    <col min="47" max="47" width="9.5" style="4" bestFit="1" customWidth="1"/>
    <col min="48" max="48" width="9.6640625" style="4" bestFit="1" customWidth="1"/>
    <col min="49" max="49" width="11" style="4" bestFit="1" customWidth="1"/>
    <col min="50" max="50" width="9.5" style="4" bestFit="1" customWidth="1"/>
    <col min="51" max="52" width="9.5" style="4" customWidth="1"/>
    <col min="53" max="53" width="10.5" style="4" bestFit="1" customWidth="1"/>
    <col min="54" max="54" width="14.33203125" style="4" customWidth="1"/>
    <col min="55" max="55" width="14" style="4" customWidth="1"/>
    <col min="56" max="56" width="10.5" style="4" bestFit="1" customWidth="1"/>
    <col min="57" max="57" width="9.5" style="4" bestFit="1" customWidth="1"/>
    <col min="58" max="59" width="10.5" style="4" bestFit="1" customWidth="1"/>
    <col min="60" max="62" width="10.5" style="4" customWidth="1"/>
    <col min="63" max="63" width="9" style="4" bestFit="1" customWidth="1"/>
    <col min="64" max="64" width="10.5" style="4" bestFit="1" customWidth="1"/>
    <col min="65" max="65" width="9.33203125" style="4" bestFit="1" customWidth="1"/>
    <col min="66" max="66" width="11.6640625" style="4" bestFit="1" customWidth="1"/>
    <col min="67" max="67" width="8.5" style="4" bestFit="1" customWidth="1"/>
    <col min="68" max="68" width="9.5" style="4" bestFit="1" customWidth="1"/>
    <col min="69" max="69" width="9.6640625" style="4" bestFit="1" customWidth="1"/>
    <col min="70" max="70" width="11" style="4" bestFit="1" customWidth="1"/>
    <col min="71" max="71" width="9.5" style="4" bestFit="1" customWidth="1"/>
    <col min="72" max="73" width="9.5" style="4" customWidth="1"/>
    <col min="74" max="74" width="10.5" style="4" bestFit="1" customWidth="1"/>
    <col min="75" max="75" width="14" style="4" bestFit="1" customWidth="1"/>
    <col min="76" max="76" width="13.83203125" style="4" customWidth="1"/>
    <col min="77" max="77" width="10.5" style="4" bestFit="1" customWidth="1"/>
    <col min="78" max="78" width="9.5" style="4" bestFit="1" customWidth="1"/>
    <col min="79" max="80" width="10.5" style="4" bestFit="1" customWidth="1"/>
    <col min="81" max="83" width="10.5" style="4" customWidth="1"/>
    <col min="84" max="84" width="11.5" style="4"/>
    <col min="85" max="85" width="10.5" style="4" bestFit="1" customWidth="1"/>
    <col min="86" max="86" width="9.33203125" style="4" bestFit="1" customWidth="1"/>
    <col min="87" max="87" width="11.6640625" style="4" bestFit="1" customWidth="1"/>
    <col min="88" max="88" width="8.5" style="4" bestFit="1" customWidth="1"/>
    <col min="89" max="89" width="9.5" style="4" bestFit="1" customWidth="1"/>
    <col min="90" max="90" width="9.6640625" style="4" bestFit="1" customWidth="1"/>
    <col min="91" max="91" width="11" style="4" bestFit="1" customWidth="1"/>
    <col min="92" max="92" width="9.5" style="4" bestFit="1" customWidth="1"/>
    <col min="93" max="94" width="9.5" style="4" customWidth="1"/>
    <col min="95" max="95" width="11.5" style="4"/>
    <col min="96" max="97" width="14" style="4" customWidth="1"/>
    <col min="98" max="98" width="10.5" style="4" bestFit="1" customWidth="1"/>
    <col min="99" max="99" width="9.5" style="4" bestFit="1" customWidth="1"/>
    <col min="100" max="101" width="10.5" style="4" bestFit="1" customWidth="1"/>
    <col min="102" max="104" width="10.5" style="4" customWidth="1"/>
    <col min="105" max="105" width="9" style="4" bestFit="1" customWidth="1"/>
    <col min="106" max="106" width="10.5" style="4" bestFit="1" customWidth="1"/>
    <col min="107" max="107" width="9.33203125" style="4" bestFit="1" customWidth="1"/>
    <col min="108" max="108" width="11.6640625" style="4" bestFit="1" customWidth="1"/>
    <col min="109" max="109" width="8.5" style="4" bestFit="1" customWidth="1"/>
    <col min="110" max="110" width="9.5" style="4" bestFit="1" customWidth="1"/>
    <col min="111" max="111" width="9.6640625" style="4" bestFit="1" customWidth="1"/>
    <col min="112" max="112" width="11" style="4" bestFit="1" customWidth="1"/>
    <col min="113" max="113" width="9.5" style="4" bestFit="1" customWidth="1"/>
    <col min="114" max="115" width="9.5" style="4" customWidth="1"/>
    <col min="116" max="116" width="10.5" style="4" bestFit="1" customWidth="1"/>
    <col min="117" max="117" width="14.33203125" style="4" customWidth="1"/>
    <col min="118" max="118" width="14" style="4" bestFit="1" customWidth="1"/>
    <col min="119" max="119" width="10.5" style="4" bestFit="1" customWidth="1"/>
    <col min="120" max="120" width="9.5" style="4" bestFit="1" customWidth="1"/>
    <col min="121" max="122" width="10.5" style="4" bestFit="1" customWidth="1"/>
    <col min="123" max="125" width="10.5" style="4" customWidth="1"/>
    <col min="126" max="126" width="9" style="4" bestFit="1" customWidth="1"/>
    <col min="127" max="127" width="10.5" style="4" bestFit="1" customWidth="1"/>
    <col min="128" max="128" width="9.33203125" style="4" bestFit="1" customWidth="1"/>
    <col min="129" max="129" width="11.6640625" style="4" bestFit="1" customWidth="1"/>
    <col min="130" max="130" width="8.5" style="4" bestFit="1" customWidth="1"/>
    <col min="131" max="131" width="9.5" style="4" bestFit="1" customWidth="1"/>
    <col min="132" max="132" width="9.6640625" style="4" bestFit="1" customWidth="1"/>
    <col min="133" max="133" width="11" style="4" bestFit="1" customWidth="1"/>
    <col min="134" max="134" width="9.5" style="4" bestFit="1" customWidth="1"/>
    <col min="135" max="136" width="9.5" style="4" customWidth="1"/>
    <col min="137" max="137" width="10.5" style="4" bestFit="1" customWidth="1"/>
    <col min="138" max="139" width="14" style="4" customWidth="1"/>
    <col min="140" max="140" width="10.5" style="4" bestFit="1" customWidth="1"/>
    <col min="141" max="141" width="9.5" style="4" bestFit="1" customWidth="1"/>
    <col min="142" max="143" width="10.5" style="4" bestFit="1" customWidth="1"/>
    <col min="144" max="146" width="10.5" style="4" customWidth="1"/>
    <col min="147" max="147" width="9" style="4" bestFit="1" customWidth="1"/>
    <col min="148" max="148" width="10.5" style="4" bestFit="1" customWidth="1"/>
    <col min="149" max="149" width="9.33203125" style="4" bestFit="1" customWidth="1"/>
    <col min="150" max="150" width="11.6640625" style="4" bestFit="1" customWidth="1"/>
    <col min="151" max="151" width="8.5" style="4" bestFit="1" customWidth="1"/>
    <col min="152" max="152" width="9.5" style="4" bestFit="1" customWidth="1"/>
    <col min="153" max="153" width="9.6640625" style="4" bestFit="1" customWidth="1"/>
    <col min="154" max="154" width="11" style="4" bestFit="1" customWidth="1"/>
    <col min="155" max="155" width="9.5" style="4" bestFit="1" customWidth="1"/>
    <col min="156" max="157" width="9.5" style="4" customWidth="1"/>
    <col min="158" max="158" width="11.5" style="4"/>
    <col min="159" max="160" width="14" style="4" bestFit="1" customWidth="1"/>
    <col min="161" max="161" width="10.5" style="4" bestFit="1" customWidth="1"/>
    <col min="162" max="162" width="9.5" style="4" bestFit="1" customWidth="1"/>
    <col min="163" max="164" width="10.5" style="4" bestFit="1" customWidth="1"/>
    <col min="165" max="167" width="10.5" style="4" customWidth="1"/>
    <col min="168" max="168" width="9" style="4" bestFit="1" customWidth="1"/>
    <col min="169" max="169" width="10.5" style="4" bestFit="1" customWidth="1"/>
    <col min="170" max="170" width="9.33203125" style="4" bestFit="1" customWidth="1"/>
    <col min="171" max="171" width="11.6640625" style="4" bestFit="1" customWidth="1"/>
    <col min="172" max="172" width="8.1640625" style="4" bestFit="1" customWidth="1"/>
    <col min="173" max="173" width="9.5" style="4" bestFit="1" customWidth="1"/>
    <col min="174" max="174" width="9.6640625" style="4" bestFit="1" customWidth="1"/>
    <col min="175" max="175" width="11" style="4" bestFit="1" customWidth="1"/>
    <col min="176" max="176" width="9.5" style="4" bestFit="1" customWidth="1"/>
    <col min="177" max="178" width="9.5" style="4" customWidth="1"/>
    <col min="179" max="179" width="10.5" style="4" bestFit="1" customWidth="1"/>
    <col min="180" max="181" width="14" style="4" bestFit="1" customWidth="1"/>
    <col min="182" max="182" width="10.5" style="4" bestFit="1" customWidth="1"/>
    <col min="183" max="183" width="9.5" style="4" bestFit="1" customWidth="1"/>
    <col min="184" max="185" width="10.5" style="4" bestFit="1" customWidth="1"/>
    <col min="186" max="188" width="10.5" style="4" customWidth="1"/>
    <col min="189" max="189" width="9" style="4" bestFit="1" customWidth="1"/>
    <col min="190" max="190" width="10.5" style="4" bestFit="1" customWidth="1"/>
    <col min="191" max="191" width="9.33203125" style="4" bestFit="1" customWidth="1"/>
    <col min="192" max="192" width="11.5" style="4"/>
    <col min="193" max="193" width="8.5" style="4" bestFit="1" customWidth="1"/>
    <col min="194" max="194" width="9.5" style="4" bestFit="1" customWidth="1"/>
    <col min="195" max="195" width="9.6640625" style="4" bestFit="1" customWidth="1"/>
    <col min="196" max="196" width="11" style="4" bestFit="1" customWidth="1"/>
    <col min="197" max="197" width="9.5" style="4" bestFit="1" customWidth="1"/>
    <col min="198" max="199" width="9.5" style="4" customWidth="1"/>
    <col min="200" max="200" width="10.5" style="4" bestFit="1" customWidth="1"/>
    <col min="201" max="201" width="14" style="4" customWidth="1"/>
    <col min="202" max="202" width="14.33203125" style="4" customWidth="1"/>
    <col min="203" max="203" width="10.5" style="4" bestFit="1" customWidth="1"/>
    <col min="204" max="204" width="9.5" style="4" bestFit="1" customWidth="1"/>
    <col min="205" max="206" width="10.5" style="4" bestFit="1" customWidth="1"/>
    <col min="207" max="209" width="10.5" style="4" customWidth="1"/>
    <col min="210" max="210" width="9" style="4" bestFit="1" customWidth="1"/>
    <col min="211" max="211" width="10.5" style="4" bestFit="1" customWidth="1"/>
    <col min="212" max="212" width="9.33203125" style="4" bestFit="1" customWidth="1"/>
    <col min="213" max="213" width="11.6640625" style="4" bestFit="1" customWidth="1"/>
    <col min="214" max="214" width="8.5" style="4" bestFit="1" customWidth="1"/>
    <col min="215" max="215" width="9.5" style="4" bestFit="1" customWidth="1"/>
    <col min="216" max="216" width="9.6640625" style="4" bestFit="1" customWidth="1"/>
    <col min="217" max="217" width="11" style="4" bestFit="1" customWidth="1"/>
    <col min="218" max="218" width="9.5" style="4" bestFit="1" customWidth="1"/>
    <col min="219" max="16384" width="11.5" style="4"/>
  </cols>
  <sheetData>
    <row r="1" spans="1:218" ht="27" thickBot="1" x14ac:dyDescent="0.35">
      <c r="B1" s="277" t="s">
        <v>176</v>
      </c>
      <c r="C1" s="278"/>
      <c r="D1" s="278"/>
      <c r="E1" s="278"/>
      <c r="F1" s="278"/>
      <c r="G1" s="278"/>
      <c r="H1" s="279"/>
      <c r="I1" s="274" t="str">
        <f>IF('Données projet'!$B$9="","",'Données projet'!$B$9)</f>
        <v>Chêne sessile</v>
      </c>
      <c r="J1" s="275"/>
      <c r="K1" s="275"/>
      <c r="L1" s="275"/>
      <c r="M1" s="275"/>
      <c r="N1" s="275"/>
      <c r="O1" s="275"/>
      <c r="P1" s="275"/>
      <c r="Q1" s="275"/>
      <c r="R1" s="275"/>
      <c r="S1" s="275"/>
      <c r="T1" s="275"/>
      <c r="U1" s="275"/>
      <c r="V1" s="275"/>
      <c r="W1" s="275"/>
      <c r="X1" s="275"/>
      <c r="Y1" s="275"/>
      <c r="Z1" s="275"/>
      <c r="AA1" s="275"/>
      <c r="AB1" s="275"/>
      <c r="AC1" s="276"/>
      <c r="AD1" s="275" t="str">
        <f>IF('Données projet'!$B$10="","",'Données projet'!$B$10)</f>
        <v>Chêne pubescent</v>
      </c>
      <c r="AE1" s="275"/>
      <c r="AF1" s="275"/>
      <c r="AG1" s="275"/>
      <c r="AH1" s="275"/>
      <c r="AI1" s="275"/>
      <c r="AJ1" s="275"/>
      <c r="AK1" s="275"/>
      <c r="AL1" s="275"/>
      <c r="AM1" s="275"/>
      <c r="AN1" s="275"/>
      <c r="AO1" s="275"/>
      <c r="AP1" s="275"/>
      <c r="AQ1" s="275"/>
      <c r="AR1" s="275"/>
      <c r="AS1" s="275"/>
      <c r="AT1" s="275"/>
      <c r="AU1" s="275"/>
      <c r="AV1" s="275"/>
      <c r="AW1" s="275"/>
      <c r="AX1" s="276"/>
      <c r="AY1" s="274" t="str">
        <f>IF('Données projet'!$B$11="","",'Données projet'!$B$11)</f>
        <v/>
      </c>
      <c r="AZ1" s="275"/>
      <c r="BA1" s="275"/>
      <c r="BB1" s="275"/>
      <c r="BC1" s="275"/>
      <c r="BD1" s="275"/>
      <c r="BE1" s="275"/>
      <c r="BF1" s="275"/>
      <c r="BG1" s="275"/>
      <c r="BH1" s="275"/>
      <c r="BI1" s="275"/>
      <c r="BJ1" s="275"/>
      <c r="BK1" s="275"/>
      <c r="BL1" s="275"/>
      <c r="BM1" s="275"/>
      <c r="BN1" s="275"/>
      <c r="BO1" s="275"/>
      <c r="BP1" s="275"/>
      <c r="BQ1" s="275"/>
      <c r="BR1" s="275"/>
      <c r="BS1" s="276"/>
      <c r="BT1" s="274" t="str">
        <f>IF('Données projet'!$B$12="","",'Données projet'!$B$12)</f>
        <v/>
      </c>
      <c r="BU1" s="275"/>
      <c r="BV1" s="275"/>
      <c r="BW1" s="275"/>
      <c r="BX1" s="275"/>
      <c r="BY1" s="275"/>
      <c r="BZ1" s="275"/>
      <c r="CA1" s="275"/>
      <c r="CB1" s="275"/>
      <c r="CC1" s="275"/>
      <c r="CD1" s="275"/>
      <c r="CE1" s="275"/>
      <c r="CF1" s="275"/>
      <c r="CG1" s="275"/>
      <c r="CH1" s="275"/>
      <c r="CI1" s="275"/>
      <c r="CJ1" s="275"/>
      <c r="CK1" s="275"/>
      <c r="CL1" s="275"/>
      <c r="CM1" s="275"/>
      <c r="CN1" s="276"/>
      <c r="CO1" s="274" t="str">
        <f>IF('Données projet'!$B$13="","",'Données projet'!$B$13)</f>
        <v/>
      </c>
      <c r="CP1" s="275"/>
      <c r="CQ1" s="275"/>
      <c r="CR1" s="275"/>
      <c r="CS1" s="275"/>
      <c r="CT1" s="275"/>
      <c r="CU1" s="275"/>
      <c r="CV1" s="275"/>
      <c r="CW1" s="275"/>
      <c r="CX1" s="275"/>
      <c r="CY1" s="275"/>
      <c r="CZ1" s="275"/>
      <c r="DA1" s="275"/>
      <c r="DB1" s="275"/>
      <c r="DC1" s="275"/>
      <c r="DD1" s="275"/>
      <c r="DE1" s="275"/>
      <c r="DF1" s="275"/>
      <c r="DG1" s="275"/>
      <c r="DH1" s="275"/>
      <c r="DI1" s="276"/>
      <c r="DJ1" s="274" t="str">
        <f>IF('Données projet'!$B$14="","",'Données projet'!$B$14)</f>
        <v/>
      </c>
      <c r="DK1" s="275"/>
      <c r="DL1" s="275"/>
      <c r="DM1" s="275"/>
      <c r="DN1" s="275"/>
      <c r="DO1" s="275"/>
      <c r="DP1" s="275"/>
      <c r="DQ1" s="275"/>
      <c r="DR1" s="275"/>
      <c r="DS1" s="275"/>
      <c r="DT1" s="275"/>
      <c r="DU1" s="275"/>
      <c r="DV1" s="275"/>
      <c r="DW1" s="275"/>
      <c r="DX1" s="275"/>
      <c r="DY1" s="275"/>
      <c r="DZ1" s="275"/>
      <c r="EA1" s="275"/>
      <c r="EB1" s="275"/>
      <c r="EC1" s="275"/>
      <c r="ED1" s="276"/>
      <c r="EE1" s="274" t="str">
        <f>IF('Données projet'!$B$15="","",'Données projet'!$B$15)</f>
        <v/>
      </c>
      <c r="EF1" s="275"/>
      <c r="EG1" s="275"/>
      <c r="EH1" s="275"/>
      <c r="EI1" s="275"/>
      <c r="EJ1" s="275"/>
      <c r="EK1" s="275"/>
      <c r="EL1" s="275"/>
      <c r="EM1" s="275"/>
      <c r="EN1" s="275"/>
      <c r="EO1" s="275"/>
      <c r="EP1" s="275"/>
      <c r="EQ1" s="275"/>
      <c r="ER1" s="275"/>
      <c r="ES1" s="275"/>
      <c r="ET1" s="275"/>
      <c r="EU1" s="275"/>
      <c r="EV1" s="275"/>
      <c r="EW1" s="275"/>
      <c r="EX1" s="275"/>
      <c r="EY1" s="276"/>
      <c r="EZ1" s="274" t="str">
        <f>IF('Données projet'!$B$16="","",'Données projet'!$B$16)</f>
        <v/>
      </c>
      <c r="FA1" s="275"/>
      <c r="FB1" s="275"/>
      <c r="FC1" s="275"/>
      <c r="FD1" s="275"/>
      <c r="FE1" s="275"/>
      <c r="FF1" s="275"/>
      <c r="FG1" s="275"/>
      <c r="FH1" s="275"/>
      <c r="FI1" s="275"/>
      <c r="FJ1" s="275"/>
      <c r="FK1" s="275"/>
      <c r="FL1" s="275"/>
      <c r="FM1" s="275"/>
      <c r="FN1" s="275"/>
      <c r="FO1" s="275"/>
      <c r="FP1" s="275"/>
      <c r="FQ1" s="275"/>
      <c r="FR1" s="275"/>
      <c r="FS1" s="275"/>
      <c r="FT1" s="276"/>
      <c r="FU1" s="274" t="str">
        <f>IF('Données projet'!$B$17="","",'Données projet'!$B$17)</f>
        <v/>
      </c>
      <c r="FV1" s="275"/>
      <c r="FW1" s="275"/>
      <c r="FX1" s="275"/>
      <c r="FY1" s="275"/>
      <c r="FZ1" s="275"/>
      <c r="GA1" s="275"/>
      <c r="GB1" s="275"/>
      <c r="GC1" s="275"/>
      <c r="GD1" s="275"/>
      <c r="GE1" s="275"/>
      <c r="GF1" s="275"/>
      <c r="GG1" s="275"/>
      <c r="GH1" s="275"/>
      <c r="GI1" s="275"/>
      <c r="GJ1" s="275"/>
      <c r="GK1" s="275"/>
      <c r="GL1" s="275"/>
      <c r="GM1" s="275"/>
      <c r="GN1" s="275"/>
      <c r="GO1" s="276"/>
      <c r="GP1" s="274" t="str">
        <f>IF('Données projet'!$B$18="","",'Données projet'!$B$18)</f>
        <v/>
      </c>
      <c r="GQ1" s="275"/>
      <c r="GR1" s="275"/>
      <c r="GS1" s="275"/>
      <c r="GT1" s="275"/>
      <c r="GU1" s="275"/>
      <c r="GV1" s="275"/>
      <c r="GW1" s="275"/>
      <c r="GX1" s="275"/>
      <c r="GY1" s="275"/>
      <c r="GZ1" s="275"/>
      <c r="HA1" s="275"/>
      <c r="HB1" s="275"/>
      <c r="HC1" s="275"/>
      <c r="HD1" s="275"/>
      <c r="HE1" s="275"/>
      <c r="HF1" s="275"/>
      <c r="HG1" s="275"/>
      <c r="HH1" s="275"/>
      <c r="HI1" s="275"/>
      <c r="HJ1" s="276"/>
    </row>
    <row r="2" spans="1:218" ht="65" thickBot="1" x14ac:dyDescent="0.2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2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221.63427112734911</v>
      </c>
      <c r="T3" s="59">
        <f>IF('Données projet'!E9&gt;30,$R$33-$H$33,LOOKUP('Données projet'!$E$9,$A$3:$A$203,R3:R203)-LOOKUP('Données projet'!$E$9,$A$3:$A$203,$H$3:$H$203))</f>
        <v>133.63266168802033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356.320269084225</v>
      </c>
      <c r="AO3" s="59">
        <f>IF('Données projet'!E10&gt;30,$AM$33-$H$33,LOOKUP('Données projet'!$E$10,$A$3:$A$203,AM3:AM203)-LOOKUP('Données projet'!$E$10,$A$3:$A$203,$H$3:$H$203))</f>
        <v>208.88199836488002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0.88919999999999999</v>
      </c>
      <c r="D4" s="11">
        <f>IFERROR(EXP(-1.0587+0.8836*LN(C4)+0.284),0)</f>
        <v>0.41542055579923082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10.07075516757301</v>
      </c>
      <c r="H4" s="67">
        <f t="shared" ref="H4:H67" si="1">(B4+E4+F4)*44/12+(C4+D4)*0.475*44/12</f>
        <v>295.60554746801699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2.1</v>
      </c>
      <c r="N4" s="13">
        <f>IF('Données projet'!$A$36&gt;35,N3+M4-V3,IF(A4&lt;'Données projet'!$A$36,$K$205^A4,IF(A4='Données projet'!$A$36,'Données projet'!$B$36,N3+M4-V3)))</f>
        <v>1.2054868146447177</v>
      </c>
      <c r="O4" s="13">
        <f>N4*VLOOKUP('Données projet'!$B$9,Paramètres!$A$1:$I$89,3,0)*VLOOKUP('Données projet'!$B$9,Paramètres!$A$1:$I$89,5,0)</f>
        <v>1.0907244698905405</v>
      </c>
      <c r="P4" s="13">
        <f>EXP(-1.0587+0.8836*LN(O4)+0.284)</f>
        <v>0.49759623852608204</v>
      </c>
      <c r="Q4" s="20">
        <f t="shared" ref="Q4:Q34" si="2">(O4+P4)*0.475*44/12</f>
        <v>2.7663252338256172</v>
      </c>
      <c r="R4" s="59">
        <f t="shared" si="0"/>
        <v>296.09965856715894</v>
      </c>
      <c r="S4" s="59">
        <f ca="1">AVERAGE(OFFSET($R$3,0,0,'Données projet'!$E$9+1,1))-AVERAGE(OFFSET($H$3,0,0,'Données projet'!$E$9+1,1))</f>
        <v>221.63427112734911</v>
      </c>
      <c r="T4" s="59">
        <f>$T$3</f>
        <v>133.63266168802033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3.65</v>
      </c>
      <c r="AI4" s="13">
        <f>IF('Données projet'!$A$62&gt;35,AI3+AH4-AQ3,IF(A4&lt;'Données projet'!$A$62,$AF$205^A4,IF(A4='Données projet'!$A$62,'Données projet'!$B$62,AI3+AH4-AQ3)))</f>
        <v>1.2392705892426346</v>
      </c>
      <c r="AJ4" s="13">
        <f>AI4*VLOOKUP('Données projet'!$B$10,Paramètres!$A$1:$I$89,3,0)*VLOOKUP('Données projet'!$B$10,Paramètres!$A$1:$I$89,5,0)</f>
        <v>1.2566203774920315</v>
      </c>
      <c r="AK4" s="13">
        <f>EXP(-1.0587+0.8836*LN(AJ4)+0.284)</f>
        <v>0.56390871417545174</v>
      </c>
      <c r="AL4" s="20">
        <f t="shared" ref="AL4:AL67" si="4">(AJ4+AK4)*0.475*44/12</f>
        <v>3.1707548346542</v>
      </c>
      <c r="AM4" s="59">
        <f t="shared" ref="AM4:AM67" si="5">AL4+(AD4+AE4)*44/12</f>
        <v>296.5040881679875</v>
      </c>
      <c r="AN4" s="59">
        <f ca="1">AVERAGE(OFFSET($AM$3,0,0,'Données projet'!$E$10+1,1))-AVERAGE(OFFSET($H$3,0,0,'Données projet'!$E$10+1,1))</f>
        <v>356.320269084225</v>
      </c>
      <c r="AO4" s="59">
        <f>$AO$3</f>
        <v>208.88199836488002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2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1.7784</v>
      </c>
      <c r="D5" s="11">
        <f t="shared" ref="D5:D68" si="32">IFERROR(EXP(-1.0587+0.8836*LN(C5)+0.284),0)</f>
        <v>0.76643986660078545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19.644377917620098</v>
      </c>
      <c r="H5" s="67">
        <f t="shared" si="1"/>
        <v>297.76559610099633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2.1</v>
      </c>
      <c r="N5" s="13">
        <f>IF('Données projet'!$A$36&gt;35,N4+M5-V4,IF(A5&lt;'Données projet'!$A$36,$K$205^A5,IF(A5='Données projet'!$A$36,'Données projet'!$B$36,N4+M5-V4)))</f>
        <v>1.4531984602822681</v>
      </c>
      <c r="O5" s="13">
        <f>N5*VLOOKUP('Données projet'!$B$9,Paramètres!$A$1:$I$89,3,0)*VLOOKUP('Données projet'!$B$9,Paramètres!$A$1:$I$89,5,0)</f>
        <v>1.3148539668633961</v>
      </c>
      <c r="P5" s="13">
        <f t="shared" ref="P5:P68" si="33">EXP(-1.0587+0.8836*LN(O5)+0.284)</f>
        <v>0.58693801963664449</v>
      </c>
      <c r="Q5" s="20">
        <f t="shared" si="2"/>
        <v>3.3122877098209038</v>
      </c>
      <c r="R5" s="59">
        <f t="shared" si="0"/>
        <v>296.64562104315422</v>
      </c>
      <c r="S5" s="59">
        <f ca="1">AVERAGE(OFFSET($R$3,0,0,'Données projet'!$E$9+1,1))-AVERAGE(OFFSET($H$3,0,0,'Données projet'!$E$9+1,1))</f>
        <v>221.63427112734911</v>
      </c>
      <c r="T5" s="59">
        <f t="shared" ref="T5:T68" si="34">$T$3</f>
        <v>133.63266168802033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3.65</v>
      </c>
      <c r="AI5" s="13">
        <f>IF('Données projet'!$A$62&gt;35,AI4+AH5-AQ4,IF(A5&lt;'Données projet'!$A$62,$AF$205^A5,IF(A5='Données projet'!$A$62,'Données projet'!$B$62,AI4+AH5-AQ4)))</f>
        <v>1.5357915933617867</v>
      </c>
      <c r="AJ5" s="13">
        <f>AI5*VLOOKUP('Données projet'!$B$10,Paramètres!$A$1:$I$89,3,0)*VLOOKUP('Données projet'!$B$10,Paramètres!$A$1:$I$89,5,0)</f>
        <v>1.5572926756688519</v>
      </c>
      <c r="AK5" s="13">
        <f t="shared" ref="AK5:AK68" si="35">EXP(-1.0587+0.8836*LN(AJ5)+0.284)</f>
        <v>0.68160129960402205</v>
      </c>
      <c r="AL5" s="20">
        <f t="shared" si="4"/>
        <v>3.8994070069335893</v>
      </c>
      <c r="AM5" s="59">
        <f t="shared" si="5"/>
        <v>297.2327403402669</v>
      </c>
      <c r="AN5" s="59">
        <f ca="1">AVERAGE(OFFSET($AM$3,0,0,'Données projet'!$E$10+1,1))-AVERAGE(OFFSET($H$3,0,0,'Données projet'!$E$10+1,1))</f>
        <v>356.320269084225</v>
      </c>
      <c r="AO5" s="59">
        <f t="shared" ref="AO5:AO68" si="36">$AO$3</f>
        <v>208.88199836488002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2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2.6676000000000002</v>
      </c>
      <c r="D6" s="11">
        <f t="shared" si="32"/>
        <v>1.0966608080083624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29.057451851292623</v>
      </c>
      <c r="H6" s="67">
        <f t="shared" si="1"/>
        <v>299.88942090728119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2.1</v>
      </c>
      <c r="N6" s="13">
        <f>IF('Données projet'!$A$36&gt;35,N5+M6-V5,IF(A6&lt;'Données projet'!$A$36,$K$205^A6,IF(A6='Données projet'!$A$36,'Données projet'!$B$36,N5+M6-V5)))</f>
        <v>1.7518115829322798</v>
      </c>
      <c r="O6" s="13">
        <f>N6*VLOOKUP('Données projet'!$B$9,Paramètres!$A$1:$I$89,3,0)*VLOOKUP('Données projet'!$B$9,Paramètres!$A$1:$I$89,5,0)</f>
        <v>1.5850391202371266</v>
      </c>
      <c r="P6" s="13">
        <f t="shared" si="33"/>
        <v>0.69232082604846479</v>
      </c>
      <c r="Q6" s="20">
        <f t="shared" si="2"/>
        <v>3.966401906447405</v>
      </c>
      <c r="R6" s="59">
        <f t="shared" si="0"/>
        <v>297.29973523978072</v>
      </c>
      <c r="S6" s="59">
        <f ca="1">AVERAGE(OFFSET($R$3,0,0,'Données projet'!$E$9+1,1))-AVERAGE(OFFSET($H$3,0,0,'Données projet'!$E$9+1,1))</f>
        <v>221.63427112734911</v>
      </c>
      <c r="T6" s="59">
        <f t="shared" si="34"/>
        <v>133.63266168802033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3.65</v>
      </c>
      <c r="AI6" s="13">
        <f>IF('Données projet'!$A$62&gt;35,AI5+AH6-AQ5,IF(A6&lt;'Données projet'!$A$62,$AF$205^A6,IF(A6='Données projet'!$A$62,'Données projet'!$B$62,AI5+AH6-AQ5)))</f>
        <v>1.9032613528593461</v>
      </c>
      <c r="AJ6" s="13">
        <f>AI6*VLOOKUP('Données projet'!$B$10,Paramètres!$A$1:$I$89,3,0)*VLOOKUP('Données projet'!$B$10,Paramètres!$A$1:$I$89,5,0)</f>
        <v>1.9299070117993768</v>
      </c>
      <c r="AK6" s="13">
        <f t="shared" si="35"/>
        <v>0.82385733708903885</v>
      </c>
      <c r="AL6" s="20">
        <f t="shared" si="4"/>
        <v>4.7961395743139903</v>
      </c>
      <c r="AM6" s="59">
        <f t="shared" si="5"/>
        <v>298.12947290764731</v>
      </c>
      <c r="AN6" s="59">
        <f ca="1">AVERAGE(OFFSET($AM$3,0,0,'Données projet'!$E$10+1,1))-AVERAGE(OFFSET($H$3,0,0,'Données projet'!$E$10+1,1))</f>
        <v>356.320269084225</v>
      </c>
      <c r="AO6" s="59">
        <f t="shared" si="36"/>
        <v>208.88199836488002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2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3.5568</v>
      </c>
      <c r="D7" s="11">
        <f t="shared" si="32"/>
        <v>1.4140611505968179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38.37155975899298</v>
      </c>
      <c r="H7" s="67">
        <f t="shared" si="1"/>
        <v>301.9909165039561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2.1</v>
      </c>
      <c r="N7" s="13">
        <f>IF('Données projet'!$A$36&gt;35,N6+M7-V6,IF(A7&lt;'Données projet'!$A$36,$K$205^A7,IF(A7='Données projet'!$A$36,'Données projet'!$B$36,N6+M7-V6)))</f>
        <v>2.1117857649667546</v>
      </c>
      <c r="O7" s="13">
        <f>N7*VLOOKUP('Données projet'!$B$9,Paramètres!$A$1:$I$89,3,0)*VLOOKUP('Données projet'!$B$9,Paramètres!$A$1:$I$89,5,0)</f>
        <v>1.9107437601419195</v>
      </c>
      <c r="P7" s="13">
        <f t="shared" si="33"/>
        <v>0.81662477151702284</v>
      </c>
      <c r="Q7" s="20">
        <f t="shared" si="2"/>
        <v>4.7501668593059909</v>
      </c>
      <c r="R7" s="59">
        <f t="shared" si="0"/>
        <v>298.08350019263929</v>
      </c>
      <c r="S7" s="59">
        <f ca="1">AVERAGE(OFFSET($R$3,0,0,'Données projet'!$E$9+1,1))-AVERAGE(OFFSET($H$3,0,0,'Données projet'!$E$9+1,1))</f>
        <v>221.63427112734911</v>
      </c>
      <c r="T7" s="59">
        <f t="shared" si="34"/>
        <v>133.63266168802033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3.65</v>
      </c>
      <c r="AI7" s="13">
        <f>IF('Données projet'!$A$62&gt;35,AI6+AH7-AQ6,IF(A7&lt;'Données projet'!$A$62,$AF$205^A7,IF(A7='Données projet'!$A$62,'Données projet'!$B$62,AI6+AH7-AQ6)))</f>
        <v>2.3586558182407358</v>
      </c>
      <c r="AJ7" s="13">
        <f>AI7*VLOOKUP('Données projet'!$B$10,Paramètres!$A$1:$I$89,3,0)*VLOOKUP('Données projet'!$B$10,Paramètres!$A$1:$I$89,5,0)</f>
        <v>2.3916769996961063</v>
      </c>
      <c r="AK7" s="13">
        <f t="shared" si="35"/>
        <v>0.9958034297612971</v>
      </c>
      <c r="AL7" s="20">
        <f t="shared" si="4"/>
        <v>5.8998617479716442</v>
      </c>
      <c r="AM7" s="59">
        <f t="shared" si="5"/>
        <v>299.23319508130498</v>
      </c>
      <c r="AN7" s="59">
        <f ca="1">AVERAGE(OFFSET($AM$3,0,0,'Données projet'!$E$10+1,1))-AVERAGE(OFFSET($H$3,0,0,'Données projet'!$E$10+1,1))</f>
        <v>356.320269084225</v>
      </c>
      <c r="AO7" s="59">
        <f t="shared" si="36"/>
        <v>208.88199836488002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2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4.4459999999999997</v>
      </c>
      <c r="D8" s="11">
        <f t="shared" si="32"/>
        <v>1.7222566815192897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47.614612980148905</v>
      </c>
      <c r="H8" s="67">
        <f t="shared" si="1"/>
        <v>304.07638038697939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2.1</v>
      </c>
      <c r="N8" s="13">
        <f>IF('Données projet'!$A$36&gt;35,N7+M8-V7,IF(A8&lt;'Données projet'!$A$36,$K$205^A8,IF(A8='Données projet'!$A$36,'Données projet'!$B$36,N7+M8-V7)))</f>
        <v>2.5457298950218314</v>
      </c>
      <c r="O8" s="13">
        <f>N8*VLOOKUP('Données projet'!$B$9,Paramètres!$A$1:$I$89,3,0)*VLOOKUP('Données projet'!$B$9,Paramètres!$A$1:$I$89,5,0)</f>
        <v>2.3033764090157529</v>
      </c>
      <c r="P8" s="13">
        <f t="shared" si="33"/>
        <v>0.96324708482559218</v>
      </c>
      <c r="Q8" s="20">
        <f t="shared" si="2"/>
        <v>5.6893692517736758</v>
      </c>
      <c r="R8" s="59">
        <f t="shared" si="0"/>
        <v>299.02270258510697</v>
      </c>
      <c r="S8" s="59">
        <f ca="1">AVERAGE(OFFSET($R$3,0,0,'Données projet'!$E$9+1,1))-AVERAGE(OFFSET($H$3,0,0,'Données projet'!$E$9+1,1))</f>
        <v>221.63427112734911</v>
      </c>
      <c r="T8" s="59">
        <f t="shared" si="34"/>
        <v>133.63266168802033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3.65</v>
      </c>
      <c r="AI8" s="13">
        <f>IF('Données projet'!$A$62&gt;35,AI7+AH8-AQ7,IF(A8&lt;'Données projet'!$A$62,$AF$205^A8,IF(A8='Données projet'!$A$62,'Données projet'!$B$62,AI7+AH8-AQ7)))</f>
        <v>2.9230127856917649</v>
      </c>
      <c r="AJ8" s="13">
        <f>AI8*VLOOKUP('Données projet'!$B$10,Paramètres!$A$1:$I$89,3,0)*VLOOKUP('Données projet'!$B$10,Paramètres!$A$1:$I$89,5,0)</f>
        <v>2.9639349646914495</v>
      </c>
      <c r="AK8" s="13">
        <f t="shared" si="35"/>
        <v>1.2036361467970902</v>
      </c>
      <c r="AL8" s="20">
        <f t="shared" si="4"/>
        <v>7.2585196858425398</v>
      </c>
      <c r="AM8" s="59">
        <f t="shared" si="5"/>
        <v>300.59185301917586</v>
      </c>
      <c r="AN8" s="59">
        <f ca="1">AVERAGE(OFFSET($AM$3,0,0,'Données projet'!$E$10+1,1))-AVERAGE(OFFSET($H$3,0,0,'Données projet'!$E$10+1,1))</f>
        <v>356.320269084225</v>
      </c>
      <c r="AO8" s="59">
        <f t="shared" si="36"/>
        <v>208.88199836488002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2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5.3351999999999995</v>
      </c>
      <c r="D9" s="11">
        <f t="shared" si="32"/>
        <v>2.0233099967312578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56.802533308100926</v>
      </c>
      <c r="H9" s="67">
        <f t="shared" si="1"/>
        <v>306.1494049109736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2.1</v>
      </c>
      <c r="N9" s="13">
        <f>IF('Données projet'!$A$36&gt;35,N8+M9-V8,IF(A9&lt;'Données projet'!$A$36,$K$205^A9,IF(A9='Données projet'!$A$36,'Données projet'!$B$36,N8+M9-V8)))</f>
        <v>3.0688438220956993</v>
      </c>
      <c r="O9" s="13">
        <f>N9*VLOOKUP('Données projet'!$B$9,Paramètres!$A$1:$I$89,3,0)*VLOOKUP('Données projet'!$B$9,Paramètres!$A$1:$I$89,5,0)</f>
        <v>2.7766898902321886</v>
      </c>
      <c r="P9" s="13">
        <f t="shared" si="33"/>
        <v>1.1361949561012803</v>
      </c>
      <c r="Q9" s="20">
        <f t="shared" si="2"/>
        <v>6.8149411073641248</v>
      </c>
      <c r="R9" s="59">
        <f t="shared" si="0"/>
        <v>300.14827444069743</v>
      </c>
      <c r="S9" s="59">
        <f ca="1">AVERAGE(OFFSET($R$3,0,0,'Données projet'!$E$9+1,1))-AVERAGE(OFFSET($H$3,0,0,'Données projet'!$E$9+1,1))</f>
        <v>221.63427112734911</v>
      </c>
      <c r="T9" s="59">
        <f t="shared" si="34"/>
        <v>133.63266168802033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3.65</v>
      </c>
      <c r="AI9" s="13">
        <f>IF('Données projet'!$A$62&gt;35,AI8+AH9-AQ8,IF(A9&lt;'Données projet'!$A$62,$AF$205^A9,IF(A9='Données projet'!$A$62,'Données projet'!$B$62,AI8+AH9-AQ8)))</f>
        <v>3.6224037772879885</v>
      </c>
      <c r="AJ9" s="13">
        <f>AI9*VLOOKUP('Données projet'!$B$10,Paramètres!$A$1:$I$89,3,0)*VLOOKUP('Données projet'!$B$10,Paramètres!$A$1:$I$89,5,0)</f>
        <v>3.6731174301700205</v>
      </c>
      <c r="AK9" s="13">
        <f t="shared" si="35"/>
        <v>1.4548453345092642</v>
      </c>
      <c r="AL9" s="20">
        <f t="shared" si="4"/>
        <v>8.9312018151497536</v>
      </c>
      <c r="AM9" s="59">
        <f t="shared" si="5"/>
        <v>302.26453514848305</v>
      </c>
      <c r="AN9" s="59">
        <f ca="1">AVERAGE(OFFSET($AM$3,0,0,'Données projet'!$E$10+1,1))-AVERAGE(OFFSET($H$3,0,0,'Données projet'!$E$10+1,1))</f>
        <v>356.320269084225</v>
      </c>
      <c r="AO9" s="59">
        <f t="shared" si="36"/>
        <v>208.88199836488002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2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6.2243999999999993</v>
      </c>
      <c r="D10" s="11">
        <f t="shared" si="32"/>
        <v>2.3185507720937846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65.945584907390625</v>
      </c>
      <c r="H10" s="67">
        <f t="shared" si="1"/>
        <v>308.2123059280633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2.1</v>
      </c>
      <c r="N10" s="13">
        <f>IF('Données projet'!$A$36&gt;35,N9+M10-V9,IF(A10&lt;'Données projet'!$A$36,$K$205^A10,IF(A10='Données projet'!$A$36,'Données projet'!$B$36,N9+M10-V9)))</f>
        <v>3.6994507637402658</v>
      </c>
      <c r="O10" s="13">
        <f>N10*VLOOKUP('Données projet'!$B$9,Paramètres!$A$1:$I$89,3,0)*VLOOKUP('Données projet'!$B$9,Paramètres!$A$1:$I$89,5,0)</f>
        <v>3.3472630510321921</v>
      </c>
      <c r="P10" s="13">
        <f t="shared" si="33"/>
        <v>1.34019505338418</v>
      </c>
      <c r="Q10" s="20">
        <f t="shared" si="2"/>
        <v>8.1639895318585136</v>
      </c>
      <c r="R10" s="59">
        <f t="shared" si="0"/>
        <v>301.49732286519185</v>
      </c>
      <c r="S10" s="59">
        <f ca="1">AVERAGE(OFFSET($R$3,0,0,'Données projet'!$E$9+1,1))-AVERAGE(OFFSET($H$3,0,0,'Données projet'!$E$9+1,1))</f>
        <v>221.63427112734911</v>
      </c>
      <c r="T10" s="59">
        <f t="shared" si="34"/>
        <v>133.63266168802033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3.65</v>
      </c>
      <c r="AI10" s="13">
        <f>IF('Données projet'!$A$62&gt;35,AI9+AH10-AQ9,IF(A10&lt;'Données projet'!$A$62,$AF$205^A10,IF(A10='Données projet'!$A$62,'Données projet'!$B$62,AI9+AH10-AQ9)))</f>
        <v>4.4891384635544309</v>
      </c>
      <c r="AJ10" s="13">
        <f>AI10*VLOOKUP('Données projet'!$B$10,Paramètres!$A$1:$I$89,3,0)*VLOOKUP('Données projet'!$B$10,Paramètres!$A$1:$I$89,5,0)</f>
        <v>4.5519864020441929</v>
      </c>
      <c r="AK10" s="13">
        <f t="shared" si="35"/>
        <v>1.7584840343783612</v>
      </c>
      <c r="AL10" s="20">
        <f t="shared" si="4"/>
        <v>10.990736010102614</v>
      </c>
      <c r="AM10" s="59">
        <f t="shared" si="5"/>
        <v>304.32406934343595</v>
      </c>
      <c r="AN10" s="59">
        <f ca="1">AVERAGE(OFFSET($AM$3,0,0,'Données projet'!$E$10+1,1))-AVERAGE(OFFSET($H$3,0,0,'Données projet'!$E$10+1,1))</f>
        <v>356.320269084225</v>
      </c>
      <c r="AO10" s="59">
        <f t="shared" si="36"/>
        <v>208.88199836488002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2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7.113599999999999</v>
      </c>
      <c r="D11" s="11">
        <f t="shared" si="32"/>
        <v>2.6089051793396716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75.050917173850095</v>
      </c>
      <c r="H11" s="67">
        <f t="shared" si="1"/>
        <v>310.26669652068324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2.1</v>
      </c>
      <c r="N11" s="13">
        <f>IF('Données projet'!$A$36&gt;35,N10+M11-V10,IF(A11&lt;'Données projet'!$A$36,$K$205^A11,IF(A11='Données projet'!$A$36,'Données projet'!$B$36,N10+M11-V10)))</f>
        <v>4.4596391171162209</v>
      </c>
      <c r="O11" s="13">
        <f>N11*VLOOKUP('Données projet'!$B$9,Paramètres!$A$1:$I$89,3,0)*VLOOKUP('Données projet'!$B$9,Paramètres!$A$1:$I$89,5,0)</f>
        <v>4.0350814731667564</v>
      </c>
      <c r="P11" s="13">
        <f t="shared" si="33"/>
        <v>1.5808227025391921</v>
      </c>
      <c r="Q11" s="20">
        <f t="shared" si="2"/>
        <v>9.7810331060211926</v>
      </c>
      <c r="R11" s="59">
        <f t="shared" si="0"/>
        <v>303.11436643935451</v>
      </c>
      <c r="S11" s="59">
        <f ca="1">AVERAGE(OFFSET($R$3,0,0,'Données projet'!$E$9+1,1))-AVERAGE(OFFSET($H$3,0,0,'Données projet'!$E$9+1,1))</f>
        <v>221.63427112734911</v>
      </c>
      <c r="T11" s="59">
        <f t="shared" si="34"/>
        <v>133.63266168802033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3.65</v>
      </c>
      <c r="AI11" s="13">
        <f>IF('Données projet'!$A$62&gt;35,AI10+AH11-AQ10,IF(A11&lt;'Données projet'!$A$62,$AF$205^A11,IF(A11='Données projet'!$A$62,'Données projet'!$B$62,AI10+AH11-AQ10)))</f>
        <v>5.563257268920875</v>
      </c>
      <c r="AJ11" s="13">
        <f>AI11*VLOOKUP('Données projet'!$B$10,Paramètres!$A$1:$I$89,3,0)*VLOOKUP('Données projet'!$B$10,Paramètres!$A$1:$I$89,5,0)</f>
        <v>5.6411428706857674</v>
      </c>
      <c r="AK11" s="13">
        <f t="shared" si="35"/>
        <v>2.125494735292019</v>
      </c>
      <c r="AL11" s="20">
        <f t="shared" si="4"/>
        <v>13.526893830411311</v>
      </c>
      <c r="AM11" s="59">
        <f t="shared" si="5"/>
        <v>306.86022716374464</v>
      </c>
      <c r="AN11" s="59">
        <f ca="1">AVERAGE(OFFSET($AM$3,0,0,'Données projet'!$E$10+1,1))-AVERAGE(OFFSET($H$3,0,0,'Données projet'!$E$10+1,1))</f>
        <v>356.320269084225</v>
      </c>
      <c r="AO11" s="59">
        <f t="shared" si="36"/>
        <v>208.88199836488002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2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8.0027999999999988</v>
      </c>
      <c r="D12" s="11">
        <f t="shared" si="32"/>
        <v>2.8950539664743791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84.123785004363612</v>
      </c>
      <c r="H12" s="67">
        <f t="shared" si="1"/>
        <v>312.31376232494284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2.1</v>
      </c>
      <c r="N12" s="13">
        <f>IF('Données projet'!$A$36&gt;35,N11+M12-V11,IF(A12&lt;'Données projet'!$A$36,$K$205^A12,IF(A12='Données projet'!$A$36,'Données projet'!$B$36,N11+M12-V11)))</f>
        <v>5.3760361537574148</v>
      </c>
      <c r="O12" s="13">
        <f>N12*VLOOKUP('Données projet'!$B$9,Paramètres!$A$1:$I$89,3,0)*VLOOKUP('Données projet'!$B$9,Paramètres!$A$1:$I$89,5,0)</f>
        <v>4.8642375119197085</v>
      </c>
      <c r="P12" s="13">
        <f t="shared" si="33"/>
        <v>1.8646542609995393</v>
      </c>
      <c r="Q12" s="20">
        <f t="shared" si="2"/>
        <v>11.719486504501022</v>
      </c>
      <c r="R12" s="59">
        <f t="shared" si="0"/>
        <v>305.05281983783436</v>
      </c>
      <c r="S12" s="59">
        <f ca="1">AVERAGE(OFFSET($R$3,0,0,'Données projet'!$E$9+1,1))-AVERAGE(OFFSET($H$3,0,0,'Données projet'!$E$9+1,1))</f>
        <v>221.63427112734911</v>
      </c>
      <c r="T12" s="59">
        <f t="shared" si="34"/>
        <v>133.63266168802033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3.65</v>
      </c>
      <c r="AI12" s="13">
        <f>IF('Données projet'!$A$62&gt;35,AI11+AH12-AQ11,IF(A12&lt;'Données projet'!$A$62,$AF$205^A12,IF(A12='Données projet'!$A$62,'Données projet'!$B$62,AI11+AH12-AQ11)))</f>
        <v>6.8943811137639424</v>
      </c>
      <c r="AJ12" s="13">
        <f>AI12*VLOOKUP('Données projet'!$B$10,Paramètres!$A$1:$I$89,3,0)*VLOOKUP('Données projet'!$B$10,Paramètres!$A$1:$I$89,5,0)</f>
        <v>6.9909024493566383</v>
      </c>
      <c r="AK12" s="13">
        <f t="shared" si="35"/>
        <v>2.5691037174250742</v>
      </c>
      <c r="AL12" s="20">
        <f t="shared" si="4"/>
        <v>16.650344073811482</v>
      </c>
      <c r="AM12" s="59">
        <f t="shared" si="5"/>
        <v>309.9836774071448</v>
      </c>
      <c r="AN12" s="59">
        <f ca="1">AVERAGE(OFFSET($AM$3,0,0,'Données projet'!$E$10+1,1))-AVERAGE(OFFSET($H$3,0,0,'Données projet'!$E$10+1,1))</f>
        <v>356.320269084225</v>
      </c>
      <c r="AO12" s="59">
        <f t="shared" si="36"/>
        <v>208.88199836488002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2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8.8919999999999995</v>
      </c>
      <c r="D13" s="11">
        <f t="shared" si="32"/>
        <v>3.177517729464268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93.16820703446102</v>
      </c>
      <c r="H13" s="67">
        <f t="shared" si="1"/>
        <v>314.35441004548358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2.1</v>
      </c>
      <c r="N13" s="13">
        <f>IF('Données projet'!$A$36&gt;35,N12+M13-V12,IF(A13&lt;'Données projet'!$A$36,$K$205^A13,IF(A13='Données projet'!$A$36,'Données projet'!$B$36,N12+M13-V12)))</f>
        <v>6.4807406984078657</v>
      </c>
      <c r="O13" s="13">
        <f>N13*VLOOKUP('Données projet'!$B$9,Paramètres!$A$1:$I$89,3,0)*VLOOKUP('Données projet'!$B$9,Paramètres!$A$1:$I$89,5,0)</f>
        <v>5.8637741839194364</v>
      </c>
      <c r="P13" s="13">
        <f t="shared" si="33"/>
        <v>2.1994468497187687</v>
      </c>
      <c r="Q13" s="20">
        <f t="shared" si="2"/>
        <v>14.043443300253207</v>
      </c>
      <c r="R13" s="59">
        <f t="shared" si="0"/>
        <v>307.37677663358653</v>
      </c>
      <c r="S13" s="59">
        <f ca="1">AVERAGE(OFFSET($R$3,0,0,'Données projet'!$E$9+1,1))-AVERAGE(OFFSET($H$3,0,0,'Données projet'!$E$9+1,1))</f>
        <v>221.63427112734911</v>
      </c>
      <c r="T13" s="59">
        <f t="shared" si="34"/>
        <v>133.63266168802033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3.65</v>
      </c>
      <c r="AI13" s="13">
        <f>IF('Données projet'!$A$62&gt;35,AI12+AH13-AQ12,IF(A13&lt;'Données projet'!$A$62,$AF$205^A13,IF(A13='Données projet'!$A$62,'Données projet'!$B$62,AI12+AH13-AQ12)))</f>
        <v>8.5440037453175322</v>
      </c>
      <c r="AJ13" s="13">
        <f>AI13*VLOOKUP('Données projet'!$B$10,Paramètres!$A$1:$I$89,3,0)*VLOOKUP('Données projet'!$B$10,Paramètres!$A$1:$I$89,5,0)</f>
        <v>8.6636197977519771</v>
      </c>
      <c r="AK13" s="13">
        <f t="shared" si="35"/>
        <v>3.1052976990698267</v>
      </c>
      <c r="AL13" s="20">
        <f t="shared" si="4"/>
        <v>20.497531306964643</v>
      </c>
      <c r="AM13" s="59">
        <f t="shared" si="5"/>
        <v>313.83086464029793</v>
      </c>
      <c r="AN13" s="59">
        <f ca="1">AVERAGE(OFFSET($AM$3,0,0,'Données projet'!$E$10+1,1))-AVERAGE(OFFSET($H$3,0,0,'Données projet'!$E$10+1,1))</f>
        <v>356.320269084225</v>
      </c>
      <c r="AO13" s="59">
        <f t="shared" si="36"/>
        <v>208.88199836488002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2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9.7812000000000001</v>
      </c>
      <c r="D14" s="11">
        <f t="shared" si="32"/>
        <v>3.4567069199829903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102.18735166302658</v>
      </c>
      <c r="H14" s="67">
        <f t="shared" si="1"/>
        <v>316.3893545523037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2.1</v>
      </c>
      <c r="N14" s="13">
        <f>IF('Données projet'!$A$36&gt;35,N13+M14-V13,IF(A14&lt;'Données projet'!$A$36,$K$205^A14,IF(A14='Données projet'!$A$36,'Données projet'!$B$36,N13+M14-V13)))</f>
        <v>7.8124474610620815</v>
      </c>
      <c r="O14" s="13">
        <f>N14*VLOOKUP('Données projet'!$B$9,Paramètres!$A$1:$I$89,3,0)*VLOOKUP('Données projet'!$B$9,Paramètres!$A$1:$I$89,5,0)</f>
        <v>7.0687024627689707</v>
      </c>
      <c r="P14" s="13">
        <f t="shared" si="33"/>
        <v>2.5943503554083325</v>
      </c>
      <c r="Q14" s="20">
        <f t="shared" si="2"/>
        <v>16.829816991658799</v>
      </c>
      <c r="R14" s="59">
        <f t="shared" si="0"/>
        <v>310.1631503249921</v>
      </c>
      <c r="S14" s="59">
        <f ca="1">AVERAGE(OFFSET($R$3,0,0,'Données projet'!$E$9+1,1))-AVERAGE(OFFSET($H$3,0,0,'Données projet'!$E$9+1,1))</f>
        <v>221.63427112734911</v>
      </c>
      <c r="T14" s="59">
        <f t="shared" si="34"/>
        <v>133.63266168802033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3.65</v>
      </c>
      <c r="AI14" s="13">
        <f>IF('Données projet'!$A$62&gt;35,AI13+AH14-AQ13,IF(A14&lt;'Données projet'!$A$62,$AF$205^A14,IF(A14='Données projet'!$A$62,'Données projet'!$B$62,AI13+AH14-AQ13)))</f>
        <v>10.588332555950936</v>
      </c>
      <c r="AJ14" s="13">
        <f>AI14*VLOOKUP('Données projet'!$B$10,Paramètres!$A$1:$I$89,3,0)*VLOOKUP('Données projet'!$B$10,Paramètres!$A$1:$I$89,5,0)</f>
        <v>10.736569211734251</v>
      </c>
      <c r="AK14" s="13">
        <f t="shared" si="35"/>
        <v>3.7533999637480915</v>
      </c>
      <c r="AL14" s="20">
        <f t="shared" si="4"/>
        <v>25.23669631396508</v>
      </c>
      <c r="AM14" s="59">
        <f t="shared" si="5"/>
        <v>318.57002964729838</v>
      </c>
      <c r="AN14" s="59">
        <f ca="1">AVERAGE(OFFSET($AM$3,0,0,'Données projet'!$E$10+1,1))-AVERAGE(OFFSET($H$3,0,0,'Données projet'!$E$10+1,1))</f>
        <v>356.320269084225</v>
      </c>
      <c r="AO14" s="59">
        <f t="shared" si="36"/>
        <v>208.88199836488002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2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10.670400000000001</v>
      </c>
      <c r="D15" s="11">
        <f t="shared" si="32"/>
        <v>3.7329530817348471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111.18377817479534</v>
      </c>
      <c r="H15" s="67">
        <f t="shared" si="1"/>
        <v>318.4191732840215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2.1</v>
      </c>
      <c r="N15" s="13">
        <f>IF('Données projet'!$A$36&gt;35,N14+M15-V14,IF(A15&lt;'Données projet'!$A$36,$K$205^A15,IF(A15='Données projet'!$A$36,'Données projet'!$B$36,N14+M15-V14)))</f>
        <v>9.4178024044149407</v>
      </c>
      <c r="O15" s="13">
        <f>N15*VLOOKUP('Données projet'!$B$9,Paramètres!$A$1:$I$89,3,0)*VLOOKUP('Données projet'!$B$9,Paramètres!$A$1:$I$89,5,0)</f>
        <v>8.521227615514638</v>
      </c>
      <c r="P15" s="13">
        <f t="shared" si="33"/>
        <v>3.0601574970852128</v>
      </c>
      <c r="Q15" s="20">
        <f t="shared" si="2"/>
        <v>20.170912404444739</v>
      </c>
      <c r="R15" s="59">
        <f t="shared" si="0"/>
        <v>313.50424573777804</v>
      </c>
      <c r="S15" s="59">
        <f ca="1">AVERAGE(OFFSET($R$3,0,0,'Données projet'!$E$9+1,1))-AVERAGE(OFFSET($H$3,0,0,'Données projet'!$E$9+1,1))</f>
        <v>221.63427112734911</v>
      </c>
      <c r="T15" s="59">
        <f t="shared" si="34"/>
        <v>133.63266168802033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3.65</v>
      </c>
      <c r="AI15" s="13">
        <f>IF('Données projet'!$A$62&gt;35,AI14+AH15-AQ14,IF(A15&lt;'Données projet'!$A$62,$AF$205^A15,IF(A15='Données projet'!$A$62,'Données projet'!$B$62,AI14+AH15-AQ14)))</f>
        <v>13.121809125710287</v>
      </c>
      <c r="AJ15" s="13">
        <f>AI15*VLOOKUP('Données projet'!$B$10,Paramètres!$A$1:$I$89,3,0)*VLOOKUP('Données projet'!$B$10,Paramètres!$A$1:$I$89,5,0)</f>
        <v>13.305514453470233</v>
      </c>
      <c r="AK15" s="13">
        <f t="shared" si="35"/>
        <v>4.5367667299931158</v>
      </c>
      <c r="AL15" s="20">
        <f t="shared" si="4"/>
        <v>31.075306394532003</v>
      </c>
      <c r="AM15" s="59">
        <f t="shared" si="5"/>
        <v>324.40863972786531</v>
      </c>
      <c r="AN15" s="59">
        <f ca="1">AVERAGE(OFFSET($AM$3,0,0,'Données projet'!$E$10+1,1))-AVERAGE(OFFSET($H$3,0,0,'Données projet'!$E$10+1,1))</f>
        <v>356.320269084225</v>
      </c>
      <c r="AO15" s="59">
        <f t="shared" si="36"/>
        <v>208.88199836488002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2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11.559600000000001</v>
      </c>
      <c r="D16" s="11">
        <f t="shared" si="32"/>
        <v>4.0065293501366055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120.15959498351064</v>
      </c>
      <c r="H16" s="67">
        <f t="shared" si="1"/>
        <v>320.4443419514879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2.1</v>
      </c>
      <c r="N16" s="13">
        <f>IF('Données projet'!$A$36&gt;35,N15+M16-V15,IF(A16&lt;'Données projet'!$A$36,$K$205^A16,IF(A16='Données projet'!$A$36,'Données projet'!$B$36,N15+M16-V15)))</f>
        <v>11.35303662145153</v>
      </c>
      <c r="O16" s="13">
        <f>N16*VLOOKUP('Données projet'!$B$9,Paramètres!$A$1:$I$89,3,0)*VLOOKUP('Données projet'!$B$9,Paramètres!$A$1:$I$89,5,0)</f>
        <v>10.272227535089344</v>
      </c>
      <c r="P16" s="13">
        <f t="shared" si="33"/>
        <v>3.6095987912522753</v>
      </c>
      <c r="Q16" s="20">
        <f t="shared" si="2"/>
        <v>24.177514185044988</v>
      </c>
      <c r="R16" s="59">
        <f t="shared" si="0"/>
        <v>317.51084751837828</v>
      </c>
      <c r="S16" s="59">
        <f ca="1">AVERAGE(OFFSET($R$3,0,0,'Données projet'!$E$9+1,1))-AVERAGE(OFFSET($H$3,0,0,'Données projet'!$E$9+1,1))</f>
        <v>221.63427112734911</v>
      </c>
      <c r="T16" s="59">
        <f t="shared" si="34"/>
        <v>133.63266168802033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3.65</v>
      </c>
      <c r="AI16" s="13">
        <f>IF('Données projet'!$A$62&gt;35,AI15+AH16-AQ15,IF(A16&lt;'Données projet'!$A$62,$AF$205^A16,IF(A16='Données projet'!$A$62,'Données projet'!$B$62,AI15+AH16-AQ15)))</f>
        <v>16.261472127148366</v>
      </c>
      <c r="AJ16" s="13">
        <f>AI16*VLOOKUP('Données projet'!$B$10,Paramètres!$A$1:$I$89,3,0)*VLOOKUP('Données projet'!$B$10,Paramètres!$A$1:$I$89,5,0)</f>
        <v>16.489132736928447</v>
      </c>
      <c r="AK16" s="13">
        <f t="shared" si="35"/>
        <v>5.4836288594779292</v>
      </c>
      <c r="AL16" s="20">
        <f t="shared" si="4"/>
        <v>38.269226447074438</v>
      </c>
      <c r="AM16" s="59">
        <f t="shared" si="5"/>
        <v>331.60255978040777</v>
      </c>
      <c r="AN16" s="59">
        <f ca="1">AVERAGE(OFFSET($AM$3,0,0,'Données projet'!$E$10+1,1))-AVERAGE(OFFSET($H$3,0,0,'Données projet'!$E$10+1,1))</f>
        <v>356.320269084225</v>
      </c>
      <c r="AO16" s="59">
        <f t="shared" si="36"/>
        <v>208.88199836488002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2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12.448800000000002</v>
      </c>
      <c r="D17" s="11">
        <f t="shared" si="32"/>
        <v>4.2776644527179633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129.11656770519133</v>
      </c>
      <c r="H17" s="67">
        <f t="shared" si="1"/>
        <v>322.46525892181711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2.1</v>
      </c>
      <c r="N17" s="13">
        <f>IF('Données projet'!$A$36&gt;35,N16+M17-V16,IF(A17&lt;'Données projet'!$A$36,$K$205^A17,IF(A17='Données projet'!$A$36,'Données projet'!$B$36,N16+M17-V16)))</f>
        <v>13.685935953338433</v>
      </c>
      <c r="O17" s="13">
        <f>N17*VLOOKUP('Données projet'!$B$9,Paramètres!$A$1:$I$89,3,0)*VLOOKUP('Données projet'!$B$9,Paramètres!$A$1:$I$89,5,0)</f>
        <v>12.383034850580612</v>
      </c>
      <c r="P17" s="13">
        <f t="shared" si="33"/>
        <v>4.2576904771143838</v>
      </c>
      <c r="Q17" s="20">
        <f t="shared" si="2"/>
        <v>28.982596612402116</v>
      </c>
      <c r="R17" s="59">
        <f t="shared" si="0"/>
        <v>322.31592994573543</v>
      </c>
      <c r="S17" s="59">
        <f ca="1">AVERAGE(OFFSET($R$3,0,0,'Données projet'!$E$9+1,1))-AVERAGE(OFFSET($H$3,0,0,'Données projet'!$E$9+1,1))</f>
        <v>221.63427112734911</v>
      </c>
      <c r="T17" s="59">
        <f t="shared" si="34"/>
        <v>133.63266168802033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3.65</v>
      </c>
      <c r="AI17" s="13">
        <f>IF('Données projet'!$A$62&gt;35,AI16+AH17-AQ16,IF(A17&lt;'Données projet'!$A$62,$AF$205^A17,IF(A17='Données projet'!$A$62,'Données projet'!$B$62,AI16+AH17-AQ16)))</f>
        <v>20.152364144963837</v>
      </c>
      <c r="AJ17" s="13">
        <f>AI17*VLOOKUP('Données projet'!$B$10,Paramètres!$A$1:$I$89,3,0)*VLOOKUP('Données projet'!$B$10,Paramètres!$A$1:$I$89,5,0)</f>
        <v>20.434497242993334</v>
      </c>
      <c r="AK17" s="13">
        <f t="shared" si="35"/>
        <v>6.6281092368495731</v>
      </c>
      <c r="AL17" s="20">
        <f t="shared" si="4"/>
        <v>47.134039619059727</v>
      </c>
      <c r="AM17" s="59">
        <f t="shared" si="5"/>
        <v>340.46737295239302</v>
      </c>
      <c r="AN17" s="59">
        <f ca="1">AVERAGE(OFFSET($AM$3,0,0,'Données projet'!$E$10+1,1))-AVERAGE(OFFSET($H$3,0,0,'Données projet'!$E$10+1,1))</f>
        <v>356.320269084225</v>
      </c>
      <c r="AO17" s="59">
        <f t="shared" si="36"/>
        <v>208.88199836488002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2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13.338000000000003</v>
      </c>
      <c r="D18" s="11">
        <f t="shared" si="32"/>
        <v>4.5465525901071517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138.0561954324061</v>
      </c>
      <c r="H18" s="67">
        <f t="shared" si="1"/>
        <v>324.48226242776991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2.1</v>
      </c>
      <c r="N18" s="13">
        <f>IF('Données projet'!$A$36&gt;35,N17+M18-V17,IF(A18&lt;'Données projet'!$A$36,$K$205^A18,IF(A18='Données projet'!$A$36,'Données projet'!$B$36,N17+M18-V17)))</f>
        <v>16.498215337821566</v>
      </c>
      <c r="O18" s="13">
        <f>N18*VLOOKUP('Données projet'!$B$9,Paramètres!$A$1:$I$89,3,0)*VLOOKUP('Données projet'!$B$9,Paramètres!$A$1:$I$89,5,0)</f>
        <v>14.927585237660953</v>
      </c>
      <c r="P18" s="13">
        <f t="shared" si="33"/>
        <v>5.0221449106318534</v>
      </c>
      <c r="Q18" s="20">
        <f t="shared" si="2"/>
        <v>34.745780008276633</v>
      </c>
      <c r="R18" s="59">
        <f t="shared" si="0"/>
        <v>328.07911334160997</v>
      </c>
      <c r="S18" s="59">
        <f ca="1">AVERAGE(OFFSET($R$3,0,0,'Données projet'!$E$9+1,1))-AVERAGE(OFFSET($H$3,0,0,'Données projet'!$E$9+1,1))</f>
        <v>221.63427112734911</v>
      </c>
      <c r="T18" s="59">
        <f t="shared" si="34"/>
        <v>133.63266168802033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3.65</v>
      </c>
      <c r="AI18" s="13">
        <f>IF('Données projet'!$A$62&gt;35,AI17+AH18-AQ17,IF(A18&lt;'Données projet'!$A$62,$AF$205^A18,IF(A18='Données projet'!$A$62,'Données projet'!$B$62,AI17+AH18-AQ17)))</f>
        <v>24.974232188561476</v>
      </c>
      <c r="AJ18" s="13">
        <f>AI18*VLOOKUP('Données projet'!$B$10,Paramètres!$A$1:$I$89,3,0)*VLOOKUP('Données projet'!$B$10,Paramètres!$A$1:$I$89,5,0)</f>
        <v>25.323871439201337</v>
      </c>
      <c r="AK18" s="13">
        <f t="shared" si="35"/>
        <v>8.0114524854610902</v>
      </c>
      <c r="AL18" s="20">
        <f t="shared" si="4"/>
        <v>58.059022502120392</v>
      </c>
      <c r="AM18" s="59">
        <f t="shared" si="5"/>
        <v>351.39235583545371</v>
      </c>
      <c r="AN18" s="59">
        <f ca="1">AVERAGE(OFFSET($AM$3,0,0,'Données projet'!$E$10+1,1))-AVERAGE(OFFSET($H$3,0,0,'Données projet'!$E$10+1,1))</f>
        <v>356.320269084225</v>
      </c>
      <c r="AO18" s="59">
        <f t="shared" si="36"/>
        <v>208.88199836488002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2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14.227200000000003</v>
      </c>
      <c r="D19" s="11">
        <f t="shared" si="32"/>
        <v>4.81336060460516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146.97976607063634</v>
      </c>
      <c r="H19" s="67">
        <f t="shared" si="1"/>
        <v>326.49564305302061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2.1</v>
      </c>
      <c r="N19" s="13">
        <f>IF('Données projet'!$A$36&gt;35,N18+M19-V18,IF(A19&lt;'Données projet'!$A$36,$K$205^A19,IF(A19='Données projet'!$A$36,'Données projet'!$B$36,N18+M19-V18)))</f>
        <v>19.888381054913147</v>
      </c>
      <c r="O19" s="13">
        <f>N19*VLOOKUP('Données projet'!$B$9,Paramètres!$A$1:$I$89,3,0)*VLOOKUP('Données projet'!$B$9,Paramètres!$A$1:$I$89,5,0)</f>
        <v>17.995007178485412</v>
      </c>
      <c r="P19" s="13">
        <f t="shared" si="33"/>
        <v>5.9238546434872337</v>
      </c>
      <c r="Q19" s="20">
        <f t="shared" si="2"/>
        <v>41.658684339935689</v>
      </c>
      <c r="R19" s="59">
        <f t="shared" si="0"/>
        <v>334.992017673269</v>
      </c>
      <c r="S19" s="59">
        <f ca="1">AVERAGE(OFFSET($R$3,0,0,'Données projet'!$E$9+1,1))-AVERAGE(OFFSET($H$3,0,0,'Données projet'!$E$9+1,1))</f>
        <v>221.63427112734911</v>
      </c>
      <c r="T19" s="59">
        <f t="shared" si="34"/>
        <v>133.63266168802033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3.65</v>
      </c>
      <c r="AI19" s="13">
        <f>IF('Données projet'!$A$62&gt;35,AI18+AH19-AQ18,IF(A19&lt;'Données projet'!$A$62,$AF$205^A19,IF(A19='Données projet'!$A$62,'Données projet'!$B$62,AI18+AH19-AQ18)))</f>
        <v>30.949831440200953</v>
      </c>
      <c r="AJ19" s="13">
        <f>AI19*VLOOKUP('Données projet'!$B$10,Paramètres!$A$1:$I$89,3,0)*VLOOKUP('Données projet'!$B$10,Paramètres!$A$1:$I$89,5,0)</f>
        <v>31.383129080363769</v>
      </c>
      <c r="AK19" s="13">
        <f t="shared" si="35"/>
        <v>9.6835113353243223</v>
      </c>
      <c r="AL19" s="20">
        <f t="shared" si="4"/>
        <v>71.524398723990075</v>
      </c>
      <c r="AM19" s="59">
        <f t="shared" si="5"/>
        <v>364.8577320573234</v>
      </c>
      <c r="AN19" s="59">
        <f ca="1">AVERAGE(OFFSET($AM$3,0,0,'Données projet'!$E$10+1,1))-AVERAGE(OFFSET($H$3,0,0,'Données projet'!$E$10+1,1))</f>
        <v>356.320269084225</v>
      </c>
      <c r="AO19" s="59">
        <f t="shared" si="36"/>
        <v>208.88199836488002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2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15.116400000000004</v>
      </c>
      <c r="D20" s="11">
        <f t="shared" si="32"/>
        <v>5.0782333044806931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155.8883974380966</v>
      </c>
      <c r="H20" s="67">
        <f t="shared" si="1"/>
        <v>328.50565300530388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2.1</v>
      </c>
      <c r="N20" s="13">
        <f>IF('Données projet'!$A$36&gt;35,N19+M20-V19,IF(A20&lt;'Données projet'!$A$36,$K$205^A20,IF(A20='Données projet'!$A$36,'Données projet'!$B$36,N19+M20-V19)))</f>
        <v>23.975181126327602</v>
      </c>
      <c r="O20" s="13">
        <f>N20*VLOOKUP('Données projet'!$B$9,Paramètres!$A$1:$I$89,3,0)*VLOOKUP('Données projet'!$B$9,Paramètres!$A$1:$I$89,5,0)</f>
        <v>21.692743883101215</v>
      </c>
      <c r="P20" s="13">
        <f t="shared" si="33"/>
        <v>6.98746341685115</v>
      </c>
      <c r="Q20" s="20">
        <f t="shared" si="2"/>
        <v>49.951361047417038</v>
      </c>
      <c r="R20" s="59">
        <f t="shared" si="0"/>
        <v>343.28469438075035</v>
      </c>
      <c r="S20" s="59">
        <f ca="1">AVERAGE(OFFSET($R$3,0,0,'Données projet'!$E$9+1,1))-AVERAGE(OFFSET($H$3,0,0,'Données projet'!$E$9+1,1))</f>
        <v>221.63427112734911</v>
      </c>
      <c r="T20" s="59">
        <f t="shared" si="34"/>
        <v>133.63266168802033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3.65</v>
      </c>
      <c r="AI20" s="13">
        <f>IF('Données projet'!$A$62&gt;35,AI19+AH20-AQ19,IF(A20&lt;'Données projet'!$A$62,$AF$205^A20,IF(A20='Données projet'!$A$62,'Données projet'!$B$62,AI19+AH20-AQ19)))</f>
        <v>38.355215845858055</v>
      </c>
      <c r="AJ20" s="13">
        <f>AI20*VLOOKUP('Données projet'!$B$10,Paramètres!$A$1:$I$89,3,0)*VLOOKUP('Données projet'!$B$10,Paramètres!$A$1:$I$89,5,0)</f>
        <v>38.892188867700071</v>
      </c>
      <c r="AK20" s="13">
        <f t="shared" si="35"/>
        <v>11.704543208803392</v>
      </c>
      <c r="AL20" s="20">
        <f t="shared" si="4"/>
        <v>88.122641699910204</v>
      </c>
      <c r="AM20" s="59">
        <f t="shared" si="5"/>
        <v>381.45597503324353</v>
      </c>
      <c r="AN20" s="59">
        <f ca="1">AVERAGE(OFFSET($AM$3,0,0,'Données projet'!$E$10+1,1))-AVERAGE(OFFSET($H$3,0,0,'Données projet'!$E$10+1,1))</f>
        <v>356.320269084225</v>
      </c>
      <c r="AO20" s="59">
        <f t="shared" si="36"/>
        <v>208.88199836488002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2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16.005600000000005</v>
      </c>
      <c r="D21" s="11">
        <f t="shared" si="32"/>
        <v>5.3412974993444182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164.78306841599206</v>
      </c>
      <c r="H21" s="67">
        <f t="shared" si="1"/>
        <v>330.51251314469152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2.1</v>
      </c>
      <c r="N21" s="13">
        <f>IF('Données projet'!$A$36&gt;35,N20+M21-V20,IF(A21&lt;'Données projet'!$A$36,$K$205^A21,IF(A21='Données projet'!$A$36,'Données projet'!$B$36,N20+M21-V20)))</f>
        <v>28.901764726506816</v>
      </c>
      <c r="O21" s="13">
        <f>N21*VLOOKUP('Données projet'!$B$9,Paramètres!$A$1:$I$89,3,0)*VLOOKUP('Données projet'!$B$9,Paramètres!$A$1:$I$89,5,0)</f>
        <v>26.150316724543362</v>
      </c>
      <c r="P21" s="13">
        <f t="shared" si="33"/>
        <v>8.2420396752158016</v>
      </c>
      <c r="Q21" s="20">
        <f t="shared" si="2"/>
        <v>59.900020729580547</v>
      </c>
      <c r="R21" s="59">
        <f t="shared" si="0"/>
        <v>353.23335406291386</v>
      </c>
      <c r="S21" s="59">
        <f ca="1">AVERAGE(OFFSET($R$3,0,0,'Données projet'!$E$9+1,1))-AVERAGE(OFFSET($H$3,0,0,'Données projet'!$E$9+1,1))</f>
        <v>221.63427112734911</v>
      </c>
      <c r="T21" s="59">
        <f t="shared" si="34"/>
        <v>133.63266168802033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3.65</v>
      </c>
      <c r="AI21" s="13">
        <f>IF('Données projet'!$A$62&gt;35,AI20+AH21-AQ20,IF(A21&lt;'Données projet'!$A$62,$AF$205^A21,IF(A21='Données projet'!$A$62,'Données projet'!$B$62,AI20+AH21-AQ20)))</f>
        <v>47.532490941824946</v>
      </c>
      <c r="AJ21" s="13">
        <f>AI21*VLOOKUP('Données projet'!$B$10,Paramètres!$A$1:$I$89,3,0)*VLOOKUP('Données projet'!$B$10,Paramètres!$A$1:$I$89,5,0)</f>
        <v>48.197945815010499</v>
      </c>
      <c r="AK21" s="13">
        <f t="shared" si="35"/>
        <v>14.147381769152156</v>
      </c>
      <c r="AL21" s="20">
        <f t="shared" si="4"/>
        <v>108.58477887574996</v>
      </c>
      <c r="AM21" s="59">
        <f t="shared" si="5"/>
        <v>401.91811220908329</v>
      </c>
      <c r="AN21" s="59">
        <f ca="1">AVERAGE(OFFSET($AM$3,0,0,'Données projet'!$E$10+1,1))-AVERAGE(OFFSET($H$3,0,0,'Données projet'!$E$10+1,1))</f>
        <v>356.320269084225</v>
      </c>
      <c r="AO21" s="59">
        <f t="shared" si="36"/>
        <v>208.88199836488002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2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16.894800000000004</v>
      </c>
      <c r="D22" s="11">
        <f t="shared" si="32"/>
        <v>5.6026651130643481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173.66464297804058</v>
      </c>
      <c r="H22" s="67">
        <f t="shared" si="1"/>
        <v>332.51641840525372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2.1</v>
      </c>
      <c r="N22" s="13">
        <f>IF('Données projet'!$A$36&gt;35,N21+M22-V21,IF(A22&lt;'Données projet'!$A$36,$K$205^A22,IF(A22='Données projet'!$A$36,'Données projet'!$B$36,N21+M22-V21)))</f>
        <v>34.840696297767764</v>
      </c>
      <c r="O22" s="13">
        <f>N22*VLOOKUP('Données projet'!$B$9,Paramètres!$A$1:$I$89,3,0)*VLOOKUP('Données projet'!$B$9,Paramètres!$A$1:$I$89,5,0)</f>
        <v>31.52386201022027</v>
      </c>
      <c r="P22" s="13">
        <f t="shared" si="33"/>
        <v>9.7218710074397983</v>
      </c>
      <c r="Q22" s="20">
        <f t="shared" si="2"/>
        <v>71.836318339091292</v>
      </c>
      <c r="R22" s="59">
        <f t="shared" si="0"/>
        <v>365.16965167242461</v>
      </c>
      <c r="S22" s="59">
        <f ca="1">AVERAGE(OFFSET($R$3,0,0,'Données projet'!$E$9+1,1))-AVERAGE(OFFSET($H$3,0,0,'Données projet'!$E$9+1,1))</f>
        <v>221.63427112734911</v>
      </c>
      <c r="T22" s="59">
        <f t="shared" si="34"/>
        <v>133.63266168802033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3.65</v>
      </c>
      <c r="AI22" s="13">
        <f>IF('Données projet'!$A$62&gt;35,AI21+AH22-AQ21,IF(A22&lt;'Données projet'!$A$62,$AF$205^A22,IF(A22='Données projet'!$A$62,'Données projet'!$B$62,AI21+AH22-AQ21)))</f>
        <v>58.90561805764559</v>
      </c>
      <c r="AJ22" s="13">
        <f>AI22*VLOOKUP('Données projet'!$B$10,Paramètres!$A$1:$I$89,3,0)*VLOOKUP('Données projet'!$B$10,Paramètres!$A$1:$I$89,5,0)</f>
        <v>59.730296710452635</v>
      </c>
      <c r="AK22" s="13">
        <f t="shared" si="35"/>
        <v>17.100061689857345</v>
      </c>
      <c r="AL22" s="20">
        <f t="shared" si="4"/>
        <v>133.81287421387319</v>
      </c>
      <c r="AM22" s="59">
        <f t="shared" si="5"/>
        <v>427.14620754720647</v>
      </c>
      <c r="AN22" s="59">
        <f ca="1">AVERAGE(OFFSET($AM$3,0,0,'Données projet'!$E$10+1,1))-AVERAGE(OFFSET($H$3,0,0,'Données projet'!$E$10+1,1))</f>
        <v>356.320269084225</v>
      </c>
      <c r="AO22" s="59">
        <f t="shared" si="36"/>
        <v>208.88199836488002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2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17.784000000000002</v>
      </c>
      <c r="D23" s="11">
        <f t="shared" si="32"/>
        <v>5.862435622634961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182.5338890168313</v>
      </c>
      <c r="H23" s="67">
        <f t="shared" si="1"/>
        <v>334.51754204275585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42</v>
      </c>
      <c r="L23" s="12">
        <f>VLOOKUP(A23,'Données projet'!$A$35:$I$55,9,0)</f>
        <v>2.1</v>
      </c>
      <c r="M23" s="12">
        <f t="array" ref="M23">INDEX(L:L,MIN(IF(ISNUMBER(L23:L219),ROW(L23:L219),"")))</f>
        <v>2.1</v>
      </c>
      <c r="N23" s="13">
        <f>IF('Données projet'!$A$36&gt;35,N22+M23-V22,IF(A23&lt;'Données projet'!$A$36,$K$205^A23,IF(A23='Données projet'!$A$36,'Données projet'!$B$36,N22+M23-V22)))</f>
        <v>42</v>
      </c>
      <c r="O23" s="13">
        <f>N23*VLOOKUP('Données projet'!$B$9,Paramètres!$A$1:$I$89,3,0)*VLOOKUP('Données projet'!$B$9,Paramètres!$A$1:$I$89,5,0)</f>
        <v>38.001600000000003</v>
      </c>
      <c r="P23" s="13">
        <f t="shared" si="33"/>
        <v>11.467401227090512</v>
      </c>
      <c r="Q23" s="20">
        <f t="shared" si="2"/>
        <v>86.158510470515978</v>
      </c>
      <c r="R23" s="59">
        <f t="shared" si="0"/>
        <v>379.49184380384929</v>
      </c>
      <c r="S23" s="59">
        <f ca="1">AVERAGE(OFFSET($R$3,0,0,'Données projet'!$E$9+1,1))-AVERAGE(OFFSET($H$3,0,0,'Données projet'!$E$9+1,1))</f>
        <v>221.63427112734911</v>
      </c>
      <c r="T23" s="59">
        <f t="shared" si="34"/>
        <v>133.63266168802033</v>
      </c>
      <c r="U23" s="15">
        <f>IF(ISNA(VLOOKUP(A23,'Données projet'!$A$35:$I$55,3,0)),0,VLOOKUP(A23,'Données projet'!$A$35:$I$55,3,0))</f>
        <v>1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>
        <f>VLOOKUP(A23,'Données projet'!$A$61:$I$81,2,0)</f>
        <v>73</v>
      </c>
      <c r="AG23" s="12">
        <f>VLOOKUP(A23,'Données projet'!$A$61:$I$81,9,0)</f>
        <v>3.65</v>
      </c>
      <c r="AH23" s="12">
        <f t="array" ref="AH23">INDEX(AG:AG,MIN(IF(ISNUMBER(AG23:AG219),ROW(AG23:AG219),"")))</f>
        <v>3.65</v>
      </c>
      <c r="AI23" s="13">
        <f>IF('Données projet'!$A$62&gt;35,AI22+AH23-AQ22,IF(A23&lt;'Données projet'!$A$62,$AF$205^A23,IF(A23='Données projet'!$A$62,'Données projet'!$B$62,AI22+AH23-AQ22)))</f>
        <v>73</v>
      </c>
      <c r="AJ23" s="13">
        <f>AI23*VLOOKUP('Données projet'!$B$10,Paramètres!$A$1:$I$89,3,0)*VLOOKUP('Données projet'!$B$10,Paramètres!$A$1:$I$89,5,0)</f>
        <v>74.022000000000006</v>
      </c>
      <c r="AK23" s="13">
        <f t="shared" si="35"/>
        <v>20.668991235856851</v>
      </c>
      <c r="AL23" s="20">
        <f t="shared" si="4"/>
        <v>164.92014306911736</v>
      </c>
      <c r="AM23" s="59">
        <f t="shared" si="5"/>
        <v>458.2534764024507</v>
      </c>
      <c r="AN23" s="59">
        <f ca="1">AVERAGE(OFFSET($AM$3,0,0,'Données projet'!$E$10+1,1))-AVERAGE(OFFSET($H$3,0,0,'Données projet'!$E$10+1,1))</f>
        <v>356.320269084225</v>
      </c>
      <c r="AO23" s="59">
        <f t="shared" si="36"/>
        <v>208.88199836488002</v>
      </c>
      <c r="AP23" s="15">
        <f>IF(ISNA(VLOOKUP(A23,'Données projet'!$A$61:$I$81,3,0)),0,VLOOKUP(A23,'Données projet'!$A$61:$I$81,3,0))</f>
        <v>1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2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18.673200000000001</v>
      </c>
      <c r="D24" s="11">
        <f t="shared" si="32"/>
        <v>6.1206979954107776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191.3914932979078</v>
      </c>
      <c r="H24" s="67">
        <f t="shared" si="1"/>
        <v>336.51603900867377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5.6</v>
      </c>
      <c r="N24" s="13">
        <f>IF('Données projet'!$A$36&gt;35,N23+M24-V23,IF(A24&lt;'Données projet'!$A$36,$K$205^A24,IF(A24='Données projet'!$A$36,'Données projet'!$B$36,N23+M24-V23)))</f>
        <v>47.6</v>
      </c>
      <c r="O24" s="13">
        <f>N24*VLOOKUP('Données projet'!$B$9,Paramètres!$A$1:$I$89,3,0)*VLOOKUP('Données projet'!$B$9,Paramètres!$A$1:$I$89,5,0)</f>
        <v>43.068480000000001</v>
      </c>
      <c r="P24" s="13">
        <f t="shared" si="33"/>
        <v>12.808416415102187</v>
      </c>
      <c r="Q24" s="20">
        <f t="shared" si="2"/>
        <v>97.318927922969635</v>
      </c>
      <c r="R24" s="59">
        <f t="shared" si="0"/>
        <v>390.65226125630295</v>
      </c>
      <c r="S24" s="59">
        <f ca="1">AVERAGE(OFFSET($R$3,0,0,'Données projet'!$E$9+1,1))-AVERAGE(OFFSET($H$3,0,0,'Données projet'!$E$9+1,1))</f>
        <v>221.63427112734911</v>
      </c>
      <c r="T24" s="59">
        <f t="shared" si="34"/>
        <v>133.63266168802033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6</v>
      </c>
      <c r="AI24" s="13">
        <f>IF('Données projet'!$A$62&gt;35,AI23+AH24-AQ23,IF(A24&lt;'Données projet'!$A$62,$AF$205^A24,IF(A24='Données projet'!$A$62,'Données projet'!$B$62,AI23+AH24-AQ23)))</f>
        <v>79</v>
      </c>
      <c r="AJ24" s="13">
        <f>AI24*VLOOKUP('Données projet'!$B$10,Paramètres!$A$1:$I$89,3,0)*VLOOKUP('Données projet'!$B$10,Paramètres!$A$1:$I$89,5,0)</f>
        <v>80.106000000000009</v>
      </c>
      <c r="AK24" s="13">
        <f t="shared" si="35"/>
        <v>22.163099682076496</v>
      </c>
      <c r="AL24" s="20">
        <f t="shared" si="4"/>
        <v>178.11868194628323</v>
      </c>
      <c r="AM24" s="59">
        <f t="shared" si="5"/>
        <v>471.45201527961655</v>
      </c>
      <c r="AN24" s="59">
        <f ca="1">AVERAGE(OFFSET($AM$3,0,0,'Données projet'!$E$10+1,1))-AVERAGE(OFFSET($H$3,0,0,'Données projet'!$E$10+1,1))</f>
        <v>356.320269084225</v>
      </c>
      <c r="AO24" s="59">
        <f t="shared" si="36"/>
        <v>208.88199836488002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2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19.5624</v>
      </c>
      <c r="D25" s="11">
        <f t="shared" si="32"/>
        <v>6.3775322468881095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200.23807348475032</v>
      </c>
      <c r="H25" s="67">
        <f t="shared" si="1"/>
        <v>338.51204866333012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5.6</v>
      </c>
      <c r="N25" s="13">
        <f>IF('Données projet'!$A$36&gt;35,N24+M25-V24,IF(A25&lt;'Données projet'!$A$36,$K$205^A25,IF(A25='Données projet'!$A$36,'Données projet'!$B$36,N24+M25-V24)))</f>
        <v>53.2</v>
      </c>
      <c r="O25" s="13">
        <f>N25*VLOOKUP('Données projet'!$B$9,Paramètres!$A$1:$I$89,3,0)*VLOOKUP('Données projet'!$B$9,Paramètres!$A$1:$I$89,5,0)</f>
        <v>48.135359999999999</v>
      </c>
      <c r="P25" s="13">
        <f t="shared" si="33"/>
        <v>14.131148275361113</v>
      </c>
      <c r="Q25" s="20">
        <f t="shared" si="2"/>
        <v>108.4475019129206</v>
      </c>
      <c r="R25" s="59">
        <f t="shared" si="0"/>
        <v>401.7808352462539</v>
      </c>
      <c r="S25" s="59">
        <f ca="1">AVERAGE(OFFSET($R$3,0,0,'Données projet'!$E$9+1,1))-AVERAGE(OFFSET($H$3,0,0,'Données projet'!$E$9+1,1))</f>
        <v>221.63427112734911</v>
      </c>
      <c r="T25" s="59">
        <f t="shared" si="34"/>
        <v>133.63266168802033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6</v>
      </c>
      <c r="AI25" s="13">
        <f>IF('Données projet'!$A$62&gt;35,AI24+AH25-AQ24,IF(A25&lt;'Données projet'!$A$62,$AF$205^A25,IF(A25='Données projet'!$A$62,'Données projet'!$B$62,AI24+AH25-AQ24)))</f>
        <v>85</v>
      </c>
      <c r="AJ25" s="13">
        <f>AI25*VLOOKUP('Données projet'!$B$10,Paramètres!$A$1:$I$89,3,0)*VLOOKUP('Données projet'!$B$10,Paramètres!$A$1:$I$89,5,0)</f>
        <v>86.19</v>
      </c>
      <c r="AK25" s="13">
        <f t="shared" si="35"/>
        <v>23.644044315518833</v>
      </c>
      <c r="AL25" s="20">
        <f t="shared" si="4"/>
        <v>191.29429384952866</v>
      </c>
      <c r="AM25" s="59">
        <f t="shared" si="5"/>
        <v>484.62762718286194</v>
      </c>
      <c r="AN25" s="59">
        <f ca="1">AVERAGE(OFFSET($AM$3,0,0,'Données projet'!$E$10+1,1))-AVERAGE(OFFSET($H$3,0,0,'Données projet'!$E$10+1,1))</f>
        <v>356.320269084225</v>
      </c>
      <c r="AO25" s="59">
        <f t="shared" si="36"/>
        <v>208.88199836488002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2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20.451599999999999</v>
      </c>
      <c r="D26" s="11">
        <f t="shared" si="32"/>
        <v>6.6330107072474558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209.07418791559442</v>
      </c>
      <c r="H26" s="67">
        <f t="shared" si="1"/>
        <v>340.5056969817893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5.6</v>
      </c>
      <c r="N26" s="13">
        <f>IF('Données projet'!$A$36&gt;35,N25+M26-V25,IF(A26&lt;'Données projet'!$A$36,$K$205^A26,IF(A26='Données projet'!$A$36,'Données projet'!$B$36,N25+M26-V25)))</f>
        <v>58.800000000000004</v>
      </c>
      <c r="O26" s="13">
        <f>N26*VLOOKUP('Données projet'!$B$9,Paramètres!$A$1:$I$89,3,0)*VLOOKUP('Données projet'!$B$9,Paramètres!$A$1:$I$89,5,0)</f>
        <v>53.202240000000003</v>
      </c>
      <c r="P26" s="13">
        <f t="shared" si="33"/>
        <v>15.437740642425908</v>
      </c>
      <c r="Q26" s="20">
        <f t="shared" si="2"/>
        <v>119.54796628555846</v>
      </c>
      <c r="R26" s="59">
        <f t="shared" si="0"/>
        <v>412.88129961889177</v>
      </c>
      <c r="S26" s="59">
        <f ca="1">AVERAGE(OFFSET($R$3,0,0,'Données projet'!$E$9+1,1))-AVERAGE(OFFSET($H$3,0,0,'Données projet'!$E$9+1,1))</f>
        <v>221.63427112734911</v>
      </c>
      <c r="T26" s="59">
        <f t="shared" si="34"/>
        <v>133.63266168802033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6</v>
      </c>
      <c r="AI26" s="13">
        <f>IF('Données projet'!$A$62&gt;35,AI25+AH26-AQ25,IF(A26&lt;'Données projet'!$A$62,$AF$205^A26,IF(A26='Données projet'!$A$62,'Données projet'!$B$62,AI25+AH26-AQ25)))</f>
        <v>91</v>
      </c>
      <c r="AJ26" s="13">
        <f>AI26*VLOOKUP('Données projet'!$B$10,Paramètres!$A$1:$I$89,3,0)*VLOOKUP('Données projet'!$B$10,Paramètres!$A$1:$I$89,5,0)</f>
        <v>92.274000000000001</v>
      </c>
      <c r="AK26" s="13">
        <f t="shared" si="35"/>
        <v>25.112860036087575</v>
      </c>
      <c r="AL26" s="20">
        <f t="shared" si="4"/>
        <v>204.4487812295192</v>
      </c>
      <c r="AM26" s="59">
        <f t="shared" si="5"/>
        <v>497.78211456285248</v>
      </c>
      <c r="AN26" s="59">
        <f ca="1">AVERAGE(OFFSET($AM$3,0,0,'Données projet'!$E$10+1,1))-AVERAGE(OFFSET($H$3,0,0,'Données projet'!$E$10+1,1))</f>
        <v>356.320269084225</v>
      </c>
      <c r="AO26" s="59">
        <f t="shared" si="36"/>
        <v>208.88199836488002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2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21.340799999999998</v>
      </c>
      <c r="D27" s="11">
        <f t="shared" si="32"/>
        <v>6.8871990614123195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217.90034363195477</v>
      </c>
      <c r="H27" s="67">
        <f t="shared" si="1"/>
        <v>342.49709836529308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5.6</v>
      </c>
      <c r="N27" s="13">
        <f>IF('Données projet'!$A$36&gt;35,N26+M27-V26,IF(A27&lt;'Données projet'!$A$36,$K$205^A27,IF(A27='Données projet'!$A$36,'Données projet'!$B$36,N26+M27-V26)))</f>
        <v>64.400000000000006</v>
      </c>
      <c r="O27" s="13">
        <f>N27*VLOOKUP('Données projet'!$B$9,Paramètres!$A$1:$I$89,3,0)*VLOOKUP('Données projet'!$B$9,Paramètres!$A$1:$I$89,5,0)</f>
        <v>58.269120000000008</v>
      </c>
      <c r="P27" s="13">
        <f t="shared" si="33"/>
        <v>16.729905486873804</v>
      </c>
      <c r="Q27" s="20">
        <f t="shared" si="2"/>
        <v>130.62330272297189</v>
      </c>
      <c r="R27" s="59">
        <f t="shared" si="0"/>
        <v>423.95663605630523</v>
      </c>
      <c r="S27" s="59">
        <f ca="1">AVERAGE(OFFSET($R$3,0,0,'Données projet'!$E$9+1,1))-AVERAGE(OFFSET($H$3,0,0,'Données projet'!$E$9+1,1))</f>
        <v>221.63427112734911</v>
      </c>
      <c r="T27" s="59">
        <f t="shared" si="34"/>
        <v>133.63266168802033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6</v>
      </c>
      <c r="AI27" s="13">
        <f>IF('Données projet'!$A$62&gt;35,AI26+AH27-AQ26,IF(A27&lt;'Données projet'!$A$62,$AF$205^A27,IF(A27='Données projet'!$A$62,'Données projet'!$B$62,AI26+AH27-AQ26)))</f>
        <v>97</v>
      </c>
      <c r="AJ27" s="13">
        <f>AI27*VLOOKUP('Données projet'!$B$10,Paramètres!$A$1:$I$89,3,0)*VLOOKUP('Données projet'!$B$10,Paramètres!$A$1:$I$89,5,0)</f>
        <v>98.358000000000004</v>
      </c>
      <c r="AK27" s="13">
        <f t="shared" si="35"/>
        <v>26.570437554143126</v>
      </c>
      <c r="AL27" s="20">
        <f t="shared" si="4"/>
        <v>217.58369540679928</v>
      </c>
      <c r="AM27" s="59">
        <f t="shared" si="5"/>
        <v>510.91702874013259</v>
      </c>
      <c r="AN27" s="59">
        <f ca="1">AVERAGE(OFFSET($AM$3,0,0,'Données projet'!$E$10+1,1))-AVERAGE(OFFSET($H$3,0,0,'Données projet'!$E$10+1,1))</f>
        <v>356.320269084225</v>
      </c>
      <c r="AO27" s="59">
        <f t="shared" si="36"/>
        <v>208.88199836488002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2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22.229999999999997</v>
      </c>
      <c r="D28" s="11">
        <f t="shared" si="32"/>
        <v>7.140157210880437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226.71700303135776</v>
      </c>
      <c r="H28" s="67">
        <f t="shared" si="1"/>
        <v>344.4863571422834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>
        <f>VLOOKUP(A28,'Données projet'!$A$35:$I$55,2,0)</f>
        <v>70</v>
      </c>
      <c r="L28" s="12">
        <f>VLOOKUP(A28,'Données projet'!$A$35:$I$55,9,0)</f>
        <v>5.6</v>
      </c>
      <c r="M28" s="12">
        <f t="array" ref="M28">INDEX(L:L,MIN(IF(ISNUMBER(L28:L224),ROW(L28:L224),"")))</f>
        <v>5.6</v>
      </c>
      <c r="N28" s="13">
        <f>IF('Données projet'!$A$36&gt;35,N27+M28-V27,IF(A28&lt;'Données projet'!$A$36,$K$205^A28,IF(A28='Données projet'!$A$36,'Données projet'!$B$36,N27+M28-V27)))</f>
        <v>70</v>
      </c>
      <c r="O28" s="13">
        <f>N28*VLOOKUP('Données projet'!$B$9,Paramètres!$A$1:$I$89,3,0)*VLOOKUP('Données projet'!$B$9,Paramètres!$A$1:$I$89,5,0)</f>
        <v>63.335999999999991</v>
      </c>
      <c r="P28" s="13">
        <f t="shared" si="33"/>
        <v>18.009040022946227</v>
      </c>
      <c r="Q28" s="20">
        <f t="shared" si="2"/>
        <v>141.67594470663133</v>
      </c>
      <c r="R28" s="59">
        <f t="shared" si="0"/>
        <v>435.00927803996467</v>
      </c>
      <c r="S28" s="59">
        <f ca="1">AVERAGE(OFFSET($R$3,0,0,'Données projet'!$E$9+1,1))-AVERAGE(OFFSET($H$3,0,0,'Données projet'!$E$9+1,1))</f>
        <v>221.63427112734911</v>
      </c>
      <c r="T28" s="59">
        <f t="shared" si="34"/>
        <v>133.63266168802033</v>
      </c>
      <c r="U28" s="15">
        <f>IF(ISNA(VLOOKUP(A28,'Données projet'!$A$35:$I$55,3,0)),0,VLOOKUP(A28,'Données projet'!$A$35:$I$55,3,0))</f>
        <v>2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>
        <f>VLOOKUP(A28,'Données projet'!$A$61:$I$81,2,0)</f>
        <v>103</v>
      </c>
      <c r="AG28" s="12">
        <f>VLOOKUP(A28,'Données projet'!$A$61:$I$81,9,0)</f>
        <v>6</v>
      </c>
      <c r="AH28" s="12">
        <f t="array" ref="AH28">INDEX(AG:AG,MIN(IF(ISNUMBER(AG28:AG224),ROW(AG28:AG224),"")))</f>
        <v>6</v>
      </c>
      <c r="AI28" s="13">
        <f>IF('Données projet'!$A$62&gt;35,AI27+AH28-AQ27,IF(A28&lt;'Données projet'!$A$62,$AF$205^A28,IF(A28='Données projet'!$A$62,'Données projet'!$B$62,AI27+AH28-AQ27)))</f>
        <v>103</v>
      </c>
      <c r="AJ28" s="13">
        <f>AI28*VLOOKUP('Données projet'!$B$10,Paramètres!$A$1:$I$89,3,0)*VLOOKUP('Données projet'!$B$10,Paramètres!$A$1:$I$89,5,0)</f>
        <v>104.44200000000001</v>
      </c>
      <c r="AK28" s="13">
        <f t="shared" si="35"/>
        <v>28.017551161766285</v>
      </c>
      <c r="AL28" s="20">
        <f t="shared" si="4"/>
        <v>230.70038494007625</v>
      </c>
      <c r="AM28" s="59">
        <f t="shared" si="5"/>
        <v>524.03371827340959</v>
      </c>
      <c r="AN28" s="59">
        <f ca="1">AVERAGE(OFFSET($AM$3,0,0,'Données projet'!$E$10+1,1))-AVERAGE(OFFSET($H$3,0,0,'Données projet'!$E$10+1,1))</f>
        <v>356.320269084225</v>
      </c>
      <c r="AO28" s="59">
        <f t="shared" si="36"/>
        <v>208.88199836488002</v>
      </c>
      <c r="AP28" s="15">
        <f>IF(ISNA(VLOOKUP(A28,'Données projet'!$A$61:$I$81,3,0)),0,VLOOKUP(A28,'Données projet'!$A$61:$I$81,3,0))</f>
        <v>2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2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23.119199999999996</v>
      </c>
      <c r="D29" s="11">
        <f t="shared" si="32"/>
        <v>7.3919399937804329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235.5245894256735</v>
      </c>
      <c r="H29" s="67">
        <f t="shared" si="1"/>
        <v>346.47356882250091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5.4</v>
      </c>
      <c r="N29" s="13">
        <f>IF('Données projet'!$A$36&gt;35,N28+M29-V28,IF(A29&lt;'Données projet'!$A$36,$K$205^A29,IF(A29='Données projet'!$A$36,'Données projet'!$B$36,N28+M29-V28)))</f>
        <v>75.400000000000006</v>
      </c>
      <c r="O29" s="13">
        <f>N29*VLOOKUP('Données projet'!$B$9,Paramètres!$A$1:$I$89,3,0)*VLOOKUP('Données projet'!$B$9,Paramètres!$A$1:$I$89,5,0)</f>
        <v>68.221919999999997</v>
      </c>
      <c r="P29" s="13">
        <f t="shared" si="33"/>
        <v>19.23123860664986</v>
      </c>
      <c r="Q29" s="20">
        <f t="shared" si="2"/>
        <v>152.31425123991514</v>
      </c>
      <c r="R29" s="59">
        <f t="shared" si="0"/>
        <v>445.64758457324842</v>
      </c>
      <c r="S29" s="59">
        <f ca="1">AVERAGE(OFFSET($R$3,0,0,'Données projet'!$E$9+1,1))-AVERAGE(OFFSET($H$3,0,0,'Données projet'!$E$9+1,1))</f>
        <v>221.63427112734911</v>
      </c>
      <c r="T29" s="59">
        <f t="shared" si="34"/>
        <v>133.63266168802033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3.6</v>
      </c>
      <c r="AI29" s="13">
        <f>IF('Données projet'!$A$62&gt;35,AI28+AH29-AQ28,IF(A29&lt;'Données projet'!$A$62,$AF$205^A29,IF(A29='Données projet'!$A$62,'Données projet'!$B$62,AI28+AH29-AQ28)))</f>
        <v>106.6</v>
      </c>
      <c r="AJ29" s="13">
        <f>AI29*VLOOKUP('Données projet'!$B$10,Paramètres!$A$1:$I$89,3,0)*VLOOKUP('Données projet'!$B$10,Paramètres!$A$1:$I$89,5,0)</f>
        <v>108.0924</v>
      </c>
      <c r="AK29" s="13">
        <f t="shared" si="35"/>
        <v>28.881082556732348</v>
      </c>
      <c r="AL29" s="20">
        <f t="shared" si="4"/>
        <v>238.56214878630877</v>
      </c>
      <c r="AM29" s="59">
        <f t="shared" si="5"/>
        <v>531.89548211964211</v>
      </c>
      <c r="AN29" s="59">
        <f ca="1">AVERAGE(OFFSET($AM$3,0,0,'Données projet'!$E$10+1,1))-AVERAGE(OFFSET($H$3,0,0,'Données projet'!$E$10+1,1))</f>
        <v>356.320269084225</v>
      </c>
      <c r="AO29" s="59">
        <f t="shared" si="36"/>
        <v>208.88199836488002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2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24.008399999999995</v>
      </c>
      <c r="D30" s="11">
        <f t="shared" si="32"/>
        <v>7.6425977910346958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244.32349172026781</v>
      </c>
      <c r="H30" s="67">
        <f t="shared" si="1"/>
        <v>348.45882115271871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5.4</v>
      </c>
      <c r="N30" s="13">
        <f>IF('Données projet'!$A$36&gt;35,N29+M30-V29,IF(A30&lt;'Données projet'!$A$36,$K$205^A30,IF(A30='Données projet'!$A$36,'Données projet'!$B$36,N29+M30-V29)))</f>
        <v>80.800000000000011</v>
      </c>
      <c r="O30" s="13">
        <f>N30*VLOOKUP('Données projet'!$B$9,Paramètres!$A$1:$I$89,3,0)*VLOOKUP('Données projet'!$B$9,Paramètres!$A$1:$I$89,5,0)</f>
        <v>73.10784000000001</v>
      </c>
      <c r="P30" s="13">
        <f t="shared" si="33"/>
        <v>20.443281718403117</v>
      </c>
      <c r="Q30" s="20">
        <f t="shared" si="2"/>
        <v>162.93487032621877</v>
      </c>
      <c r="R30" s="59">
        <f t="shared" si="0"/>
        <v>456.26820365955211</v>
      </c>
      <c r="S30" s="59">
        <f ca="1">AVERAGE(OFFSET($R$3,0,0,'Données projet'!$E$9+1,1))-AVERAGE(OFFSET($H$3,0,0,'Données projet'!$E$9+1,1))</f>
        <v>221.63427112734911</v>
      </c>
      <c r="T30" s="59">
        <f t="shared" si="34"/>
        <v>133.63266168802033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3.6</v>
      </c>
      <c r="AI30" s="13">
        <f>IF('Données projet'!$A$62&gt;35,AI29+AH30-AQ29,IF(A30&lt;'Données projet'!$A$62,$AF$205^A30,IF(A30='Données projet'!$A$62,'Données projet'!$B$62,AI29+AH30-AQ29)))</f>
        <v>110.19999999999999</v>
      </c>
      <c r="AJ30" s="13">
        <f>AI30*VLOOKUP('Données projet'!$B$10,Paramètres!$A$1:$I$89,3,0)*VLOOKUP('Données projet'!$B$10,Paramètres!$A$1:$I$89,5,0)</f>
        <v>111.7428</v>
      </c>
      <c r="AK30" s="13">
        <f t="shared" si="35"/>
        <v>29.741225429709573</v>
      </c>
      <c r="AL30" s="20">
        <f t="shared" si="4"/>
        <v>246.4180109567441</v>
      </c>
      <c r="AM30" s="59">
        <f t="shared" si="5"/>
        <v>539.75134429007744</v>
      </c>
      <c r="AN30" s="59">
        <f ca="1">AVERAGE(OFFSET($AM$3,0,0,'Données projet'!$E$10+1,1))-AVERAGE(OFFSET($H$3,0,0,'Données projet'!$E$10+1,1))</f>
        <v>356.320269084225</v>
      </c>
      <c r="AO30" s="59">
        <f t="shared" si="36"/>
        <v>208.88199836488002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2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24.897599999999994</v>
      </c>
      <c r="D31" s="11">
        <f t="shared" si="32"/>
        <v>7.8921770401958202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253.11406838045892</v>
      </c>
      <c r="H31" s="67">
        <f t="shared" si="1"/>
        <v>350.44219501167436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5.4</v>
      </c>
      <c r="N31" s="13">
        <f>IF('Données projet'!$A$36&gt;35,N30+M31-V30,IF(A31&lt;'Données projet'!$A$36,$K$205^A31,IF(A31='Données projet'!$A$36,'Données projet'!$B$36,N30+M31-V30)))</f>
        <v>86.200000000000017</v>
      </c>
      <c r="O31" s="13">
        <f>N31*VLOOKUP('Données projet'!$B$9,Paramètres!$A$1:$I$89,3,0)*VLOOKUP('Données projet'!$B$9,Paramètres!$A$1:$I$89,5,0)</f>
        <v>77.993760000000023</v>
      </c>
      <c r="P31" s="13">
        <f t="shared" si="33"/>
        <v>21.645925290308433</v>
      </c>
      <c r="Q31" s="20">
        <f t="shared" si="2"/>
        <v>173.53911854728722</v>
      </c>
      <c r="R31" s="59">
        <f t="shared" si="0"/>
        <v>466.87245188062053</v>
      </c>
      <c r="S31" s="59">
        <f ca="1">AVERAGE(OFFSET($R$3,0,0,'Données projet'!$E$9+1,1))-AVERAGE(OFFSET($H$3,0,0,'Données projet'!$E$9+1,1))</f>
        <v>221.63427112734911</v>
      </c>
      <c r="T31" s="59">
        <f t="shared" si="34"/>
        <v>133.63266168802033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3.6</v>
      </c>
      <c r="AI31" s="13">
        <f>IF('Données projet'!$A$62&gt;35,AI30+AH31-AQ30,IF(A31&lt;'Données projet'!$A$62,$AF$205^A31,IF(A31='Données projet'!$A$62,'Données projet'!$B$62,AI30+AH31-AQ30)))</f>
        <v>113.79999999999998</v>
      </c>
      <c r="AJ31" s="13">
        <f>AI31*VLOOKUP('Données projet'!$B$10,Paramètres!$A$1:$I$89,3,0)*VLOOKUP('Données projet'!$B$10,Paramètres!$A$1:$I$89,5,0)</f>
        <v>115.39319999999998</v>
      </c>
      <c r="AK31" s="13">
        <f t="shared" si="35"/>
        <v>30.598103171409555</v>
      </c>
      <c r="AL31" s="20">
        <f t="shared" si="4"/>
        <v>254.26818635687155</v>
      </c>
      <c r="AM31" s="59">
        <f t="shared" si="5"/>
        <v>547.6015196902049</v>
      </c>
      <c r="AN31" s="59">
        <f ca="1">AVERAGE(OFFSET($AM$3,0,0,'Données projet'!$E$10+1,1))-AVERAGE(OFFSET($H$3,0,0,'Données projet'!$E$10+1,1))</f>
        <v>356.320269084225</v>
      </c>
      <c r="AO31" s="59">
        <f t="shared" si="36"/>
        <v>208.88199836488002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2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25.786799999999992</v>
      </c>
      <c r="D32" s="11">
        <f t="shared" si="32"/>
        <v>8.1407206738151334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261.89665081541494</v>
      </c>
      <c r="H32" s="67">
        <f t="shared" si="1"/>
        <v>352.42376517356132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5.4</v>
      </c>
      <c r="N32" s="13">
        <f>IF('Données projet'!$A$36&gt;35,N31+M32-V31,IF(A32&lt;'Données projet'!$A$36,$K$205^A32,IF(A32='Données projet'!$A$36,'Données projet'!$B$36,N31+M32-V31)))</f>
        <v>91.600000000000023</v>
      </c>
      <c r="O32" s="13">
        <f>N32*VLOOKUP('Données projet'!$B$9,Paramètres!$A$1:$I$89,3,0)*VLOOKUP('Données projet'!$B$9,Paramètres!$A$1:$I$89,5,0)</f>
        <v>82.879680000000008</v>
      </c>
      <c r="P32" s="13">
        <f t="shared" si="33"/>
        <v>22.83982519050506</v>
      </c>
      <c r="Q32" s="20">
        <f t="shared" si="2"/>
        <v>184.12813820679631</v>
      </c>
      <c r="R32" s="59">
        <f t="shared" si="0"/>
        <v>477.46147154012965</v>
      </c>
      <c r="S32" s="59">
        <f ca="1">AVERAGE(OFFSET($R$3,0,0,'Données projet'!$E$9+1,1))-AVERAGE(OFFSET($H$3,0,0,'Données projet'!$E$9+1,1))</f>
        <v>221.63427112734911</v>
      </c>
      <c r="T32" s="59">
        <f t="shared" si="34"/>
        <v>133.63266168802033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3.6</v>
      </c>
      <c r="AI32" s="13">
        <f>IF('Données projet'!$A$62&gt;35,AI31+AH32-AQ31,IF(A32&lt;'Données projet'!$A$62,$AF$205^A32,IF(A32='Données projet'!$A$62,'Données projet'!$B$62,AI31+AH32-AQ31)))</f>
        <v>117.39999999999998</v>
      </c>
      <c r="AJ32" s="13">
        <f>AI32*VLOOKUP('Données projet'!$B$10,Paramètres!$A$1:$I$89,3,0)*VLOOKUP('Données projet'!$B$10,Paramètres!$A$1:$I$89,5,0)</f>
        <v>119.04359999999998</v>
      </c>
      <c r="AK32" s="13">
        <f t="shared" si="35"/>
        <v>31.451830922409044</v>
      </c>
      <c r="AL32" s="20">
        <f t="shared" si="4"/>
        <v>262.11287552319567</v>
      </c>
      <c r="AM32" s="59">
        <f t="shared" si="5"/>
        <v>555.44620885652898</v>
      </c>
      <c r="AN32" s="59">
        <f ca="1">AVERAGE(OFFSET($AM$3,0,0,'Données projet'!$E$10+1,1))-AVERAGE(OFFSET($H$3,0,0,'Données projet'!$E$10+1,1))</f>
        <v>356.320269084225</v>
      </c>
      <c r="AO32" s="59">
        <f t="shared" si="36"/>
        <v>208.88199836488002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2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26.675999999999991</v>
      </c>
      <c r="D33" s="11">
        <f t="shared" si="32"/>
        <v>8.388268495647786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270.67154628219339</v>
      </c>
      <c r="H33" s="67">
        <f t="shared" si="1"/>
        <v>354.40360096325321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97</v>
      </c>
      <c r="L33" s="12">
        <f>VLOOKUP(A33,'Données projet'!$A$35:$I$55,9,0)</f>
        <v>5.4</v>
      </c>
      <c r="M33" s="12">
        <f t="array" ref="M33">INDEX(L:L,MIN(IF(ISNUMBER(L33:L229),ROW(L33:L229),"")))</f>
        <v>5.4</v>
      </c>
      <c r="N33" s="13">
        <f>IF('Données projet'!$A$36&gt;35,N32+M33-V32,IF(A33&lt;'Données projet'!$A$36,$K$205^A33,IF(A33='Données projet'!$A$36,'Données projet'!$B$36,N32+M33-V32)))</f>
        <v>97.000000000000028</v>
      </c>
      <c r="O33" s="13">
        <f>N33*VLOOKUP('Données projet'!$B$9,Paramètres!$A$1:$I$89,3,0)*VLOOKUP('Données projet'!$B$9,Paramètres!$A$1:$I$89,5,0)</f>
        <v>87.76560000000002</v>
      </c>
      <c r="P33" s="13">
        <f t="shared" si="33"/>
        <v>24.025555589247954</v>
      </c>
      <c r="Q33" s="20">
        <f t="shared" si="2"/>
        <v>194.7029293179402</v>
      </c>
      <c r="R33" s="59">
        <f t="shared" si="0"/>
        <v>488.03626265127355</v>
      </c>
      <c r="S33" s="59">
        <f ca="1">AVERAGE(OFFSET($R$3,0,0,'Données projet'!$E$9+1,1))-AVERAGE(OFFSET($H$3,0,0,'Données projet'!$E$9+1,1))</f>
        <v>221.63427112734911</v>
      </c>
      <c r="T33" s="59">
        <f t="shared" si="34"/>
        <v>133.63266168802033</v>
      </c>
      <c r="U33" s="15">
        <f>IF(ISNA(VLOOKUP(A33,'Données projet'!$A$35:$I$55,3,0)),0,VLOOKUP(A33,'Données projet'!$A$35:$I$55,3,0))</f>
        <v>3</v>
      </c>
      <c r="V33" s="15">
        <f>IF(ISNA(VLOOKUP(A33,'Données projet'!$A$35:$I$55,4,0)),0,VLOOKUP(A33,'Données projet'!$A$35:$I$55,4,0))</f>
        <v>21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</v>
      </c>
      <c r="AC33" s="22">
        <f t="shared" si="3"/>
        <v>0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121</v>
      </c>
      <c r="AG33" s="12">
        <f>VLOOKUP(A33,'Données projet'!$A$61:$I$81,9,0)</f>
        <v>3.6</v>
      </c>
      <c r="AH33" s="12">
        <f t="array" ref="AH33">INDEX(AG:AG,MIN(IF(ISNUMBER(AG33:AG229),ROW(AG33:AG229),"")))</f>
        <v>3.6</v>
      </c>
      <c r="AI33" s="13">
        <f>IF('Données projet'!$A$62&gt;35,AI32+AH33-AQ32,IF(A33&lt;'Données projet'!$A$62,$AF$205^A33,IF(A33='Données projet'!$A$62,'Données projet'!$B$62,AI32+AH33-AQ32)))</f>
        <v>120.99999999999997</v>
      </c>
      <c r="AJ33" s="13">
        <f>AI33*VLOOKUP('Données projet'!$B$10,Paramètres!$A$1:$I$89,3,0)*VLOOKUP('Données projet'!$B$10,Paramètres!$A$1:$I$89,5,0)</f>
        <v>122.69399999999997</v>
      </c>
      <c r="AK33" s="13">
        <f t="shared" si="35"/>
        <v>32.302516360650685</v>
      </c>
      <c r="AL33" s="20">
        <f t="shared" si="4"/>
        <v>269.95226599479992</v>
      </c>
      <c r="AM33" s="59">
        <f t="shared" si="5"/>
        <v>563.28559932813323</v>
      </c>
      <c r="AN33" s="59">
        <f ca="1">AVERAGE(OFFSET($AM$3,0,0,'Données projet'!$E$10+1,1))-AVERAGE(OFFSET($H$3,0,0,'Données projet'!$E$10+1,1))</f>
        <v>356.320269084225</v>
      </c>
      <c r="AO33" s="59">
        <f t="shared" si="36"/>
        <v>208.88199836488002</v>
      </c>
      <c r="AP33" s="15">
        <f>IF(ISNA(VLOOKUP(A33,'Données projet'!$A$61:$I$81,3,0)),0,VLOOKUP(A33,'Données projet'!$A$61:$I$81,3,0))</f>
        <v>3</v>
      </c>
      <c r="AQ33" s="15">
        <f>IF(ISNA(VLOOKUP(A33,'Données projet'!$A$61:$I$81,4,0)),0,VLOOKUP(A33,'Données projet'!$A$61:$I$81,4,0))</f>
        <v>28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2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27.56519999999999</v>
      </c>
      <c r="D34" s="11">
        <f t="shared" si="32"/>
        <v>8.6348575052881742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279.43904039169814</v>
      </c>
      <c r="H34" s="67">
        <f t="shared" si="1"/>
        <v>356.38176682171019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8</v>
      </c>
      <c r="N34" s="13">
        <f>IF('Données projet'!$A$36&gt;35,N33+M34-V33,IF(A34&lt;'Données projet'!$A$36,$K$205^A34,IF(A34='Données projet'!$A$36,'Données projet'!$B$36,N33+M34-V33)))</f>
        <v>84.000000000000028</v>
      </c>
      <c r="O34" s="13">
        <f>N34*VLOOKUP('Données projet'!$B$9,Paramètres!$A$1:$I$89,3,0)*VLOOKUP('Données projet'!$B$9,Paramètres!$A$1:$I$89,5,0)</f>
        <v>76.003200000000021</v>
      </c>
      <c r="P34" s="13">
        <f t="shared" si="33"/>
        <v>21.157049992000456</v>
      </c>
      <c r="Q34" s="20">
        <f t="shared" si="2"/>
        <v>169.2207687360675</v>
      </c>
      <c r="R34" s="59">
        <f t="shared" si="0"/>
        <v>462.55410206940081</v>
      </c>
      <c r="S34" s="59">
        <f ca="1">AVERAGE(OFFSET($R$3,0,0,'Données projet'!$E$9+1,1))-AVERAGE(OFFSET($H$3,0,0,'Données projet'!$E$9+1,1))</f>
        <v>221.63427112734911</v>
      </c>
      <c r="T34" s="59">
        <f t="shared" si="34"/>
        <v>133.63266168802033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0</v>
      </c>
      <c r="AC34" s="22">
        <f t="shared" si="3"/>
        <v>0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10.8</v>
      </c>
      <c r="AI34" s="13">
        <f>IF('Données projet'!$A$62&gt;35,AI33+AH34-AQ33,IF(A34&lt;'Données projet'!$A$62,$AF$205^A34,IF(A34='Données projet'!$A$62,'Données projet'!$B$62,AI33+AH34-AQ33)))</f>
        <v>103.79999999999998</v>
      </c>
      <c r="AJ34" s="13">
        <f>AI34*VLOOKUP('Données projet'!$B$10,Paramètres!$A$1:$I$89,3,0)*VLOOKUP('Données projet'!$B$10,Paramètres!$A$1:$I$89,5,0)</f>
        <v>105.25319999999998</v>
      </c>
      <c r="AK34" s="13">
        <f t="shared" si="35"/>
        <v>28.209746498519397</v>
      </c>
      <c r="AL34" s="20">
        <f t="shared" si="4"/>
        <v>232.44796515158791</v>
      </c>
      <c r="AM34" s="59">
        <f t="shared" si="5"/>
        <v>525.78129848492119</v>
      </c>
      <c r="AN34" s="59">
        <f ca="1">AVERAGE(OFFSET($AM$3,0,0,'Données projet'!$E$10+1,1))-AVERAGE(OFFSET($H$3,0,0,'Données projet'!$E$10+1,1))</f>
        <v>356.320269084225</v>
      </c>
      <c r="AO34" s="59">
        <f t="shared" si="36"/>
        <v>208.88199836488002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2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28.454399999999989</v>
      </c>
      <c r="D35" s="11">
        <f t="shared" si="32"/>
        <v>8.8805221797401579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288.19939928220469</v>
      </c>
      <c r="H35" s="67">
        <f t="shared" si="1"/>
        <v>358.35832279638072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8</v>
      </c>
      <c r="N35" s="13">
        <f>IF('Données projet'!$A$36&gt;35,N34+M35-V34,IF(A35&lt;'Données projet'!$A$36,$K$205^A35,IF(A35='Données projet'!$A$36,'Données projet'!$B$36,N34+M35-V34)))</f>
        <v>92.000000000000028</v>
      </c>
      <c r="O35" s="13">
        <f>N35*VLOOKUP('Données projet'!$B$9,Paramètres!$A$1:$I$89,3,0)*VLOOKUP('Données projet'!$B$9,Paramètres!$A$1:$I$89,5,0)</f>
        <v>83.24160000000002</v>
      </c>
      <c r="P35" s="13">
        <f t="shared" si="33"/>
        <v>22.927930643846508</v>
      </c>
      <c r="Q35" s="20">
        <f t="shared" ref="Q35:Q66" si="53">(O35+P35)*0.475*44/12</f>
        <v>184.91193253803272</v>
      </c>
      <c r="R35" s="59">
        <f t="shared" si="0"/>
        <v>478.24526587136603</v>
      </c>
      <c r="S35" s="59">
        <f ca="1">AVERAGE(OFFSET($R$3,0,0,'Données projet'!$E$9+1,1))-AVERAGE(OFFSET($H$3,0,0,'Données projet'!$E$9+1,1))</f>
        <v>221.63427112734911</v>
      </c>
      <c r="T35" s="59">
        <f t="shared" si="34"/>
        <v>133.63266168802033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</v>
      </c>
      <c r="AC35" s="22">
        <f t="shared" si="3"/>
        <v>0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10.8</v>
      </c>
      <c r="AI35" s="13">
        <f>IF('Données projet'!$A$62&gt;35,AI34+AH35-AQ34,IF(A35&lt;'Données projet'!$A$62,$AF$205^A35,IF(A35='Données projet'!$A$62,'Données projet'!$B$62,AI34+AH35-AQ34)))</f>
        <v>114.59999999999998</v>
      </c>
      <c r="AJ35" s="13">
        <f>AI35*VLOOKUP('Données projet'!$B$10,Paramètres!$A$1:$I$89,3,0)*VLOOKUP('Données projet'!$B$10,Paramètres!$A$1:$I$89,5,0)</f>
        <v>116.20439999999999</v>
      </c>
      <c r="AK35" s="13">
        <f t="shared" si="35"/>
        <v>30.788088768016376</v>
      </c>
      <c r="AL35" s="20">
        <f t="shared" si="4"/>
        <v>256.01191793762843</v>
      </c>
      <c r="AM35" s="59">
        <f t="shared" si="5"/>
        <v>549.34525127096174</v>
      </c>
      <c r="AN35" s="59">
        <f ca="1">AVERAGE(OFFSET($AM$3,0,0,'Données projet'!$E$10+1,1))-AVERAGE(OFFSET($H$3,0,0,'Données projet'!$E$10+1,1))</f>
        <v>356.320269084225</v>
      </c>
      <c r="AO35" s="59">
        <f t="shared" si="36"/>
        <v>208.88199836488002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2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29.343599999999988</v>
      </c>
      <c r="D36" s="11">
        <f t="shared" si="32"/>
        <v>9.1252947188023139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296.95287151356166</v>
      </c>
      <c r="H36" s="67">
        <f t="shared" si="1"/>
        <v>360.33332496858065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8</v>
      </c>
      <c r="N36" s="13">
        <f>IF('Données projet'!$A$36&gt;35,N35+M36-V35,IF(A36&lt;'Données projet'!$A$36,$K$205^A36,IF(A36='Données projet'!$A$36,'Données projet'!$B$36,N35+M36-V35)))</f>
        <v>100.00000000000003</v>
      </c>
      <c r="O36" s="13">
        <f>N36*VLOOKUP('Données projet'!$B$9,Paramètres!$A$1:$I$89,3,0)*VLOOKUP('Données projet'!$B$9,Paramètres!$A$1:$I$89,5,0)</f>
        <v>90.480000000000018</v>
      </c>
      <c r="P36" s="13">
        <f t="shared" si="33"/>
        <v>24.680953573367994</v>
      </c>
      <c r="Q36" s="20">
        <f t="shared" si="53"/>
        <v>200.57199414028261</v>
      </c>
      <c r="R36" s="59">
        <f t="shared" si="0"/>
        <v>493.9053274736159</v>
      </c>
      <c r="S36" s="59">
        <f ca="1">AVERAGE(OFFSET($R$3,0,0,'Données projet'!$E$9+1,1))-AVERAGE(OFFSET($H$3,0,0,'Données projet'!$E$9+1,1))</f>
        <v>221.63427112734911</v>
      </c>
      <c r="T36" s="59">
        <f t="shared" si="34"/>
        <v>133.63266168802033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</v>
      </c>
      <c r="AC36" s="22">
        <f t="shared" si="3"/>
        <v>0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10.8</v>
      </c>
      <c r="AI36" s="13">
        <f>IF('Données projet'!$A$62&gt;35,AI35+AH36-AQ35,IF(A36&lt;'Données projet'!$A$62,$AF$205^A36,IF(A36='Données projet'!$A$62,'Données projet'!$B$62,AI35+AH36-AQ35)))</f>
        <v>125.39999999999998</v>
      </c>
      <c r="AJ36" s="13">
        <f>AI36*VLOOKUP('Données projet'!$B$10,Paramètres!$A$1:$I$89,3,0)*VLOOKUP('Données projet'!$B$10,Paramètres!$A$1:$I$89,5,0)</f>
        <v>127.15559999999999</v>
      </c>
      <c r="AK36" s="13">
        <f t="shared" si="35"/>
        <v>33.338258149231912</v>
      </c>
      <c r="AL36" s="20">
        <f t="shared" si="4"/>
        <v>279.52680294324551</v>
      </c>
      <c r="AM36" s="59">
        <f t="shared" si="5"/>
        <v>572.86013627657883</v>
      </c>
      <c r="AN36" s="59">
        <f ca="1">AVERAGE(OFFSET($AM$3,0,0,'Données projet'!$E$10+1,1))-AVERAGE(OFFSET($H$3,0,0,'Données projet'!$E$10+1,1))</f>
        <v>356.320269084225</v>
      </c>
      <c r="AO36" s="59">
        <f t="shared" si="36"/>
        <v>208.88199836488002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2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30.232799999999987</v>
      </c>
      <c r="D37" s="11">
        <f t="shared" si="32"/>
        <v>9.3692052598737909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305.69968972534144</v>
      </c>
      <c r="H37" s="67">
        <f t="shared" si="1"/>
        <v>362.30682582761347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8</v>
      </c>
      <c r="N37" s="13">
        <f>IF('Données projet'!$A$36&gt;35,N36+M37-V36,IF(A37&lt;'Données projet'!$A$36,$K$205^A37,IF(A37='Données projet'!$A$36,'Données projet'!$B$36,N36+M37-V36)))</f>
        <v>108.00000000000003</v>
      </c>
      <c r="O37" s="13">
        <f>N37*VLOOKUP('Données projet'!$B$9,Paramètres!$A$1:$I$89,3,0)*VLOOKUP('Données projet'!$B$9,Paramètres!$A$1:$I$89,5,0)</f>
        <v>97.718400000000031</v>
      </c>
      <c r="P37" s="13">
        <f t="shared" si="33"/>
        <v>26.417709819192194</v>
      </c>
      <c r="Q37" s="20">
        <f t="shared" si="53"/>
        <v>216.20372460175977</v>
      </c>
      <c r="R37" s="59">
        <f t="shared" si="0"/>
        <v>509.53705793509312</v>
      </c>
      <c r="S37" s="59">
        <f ca="1">AVERAGE(OFFSET($R$3,0,0,'Données projet'!$E$9+1,1))-AVERAGE(OFFSET($H$3,0,0,'Données projet'!$E$9+1,1))</f>
        <v>221.63427112734911</v>
      </c>
      <c r="T37" s="59">
        <f t="shared" si="34"/>
        <v>133.63266168802033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0</v>
      </c>
      <c r="AC37" s="22">
        <f t="shared" si="3"/>
        <v>0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10.8</v>
      </c>
      <c r="AI37" s="13">
        <f>IF('Données projet'!$A$62&gt;35,AI36+AH37-AQ36,IF(A37&lt;'Données projet'!$A$62,$AF$205^A37,IF(A37='Données projet'!$A$62,'Données projet'!$B$62,AI36+AH37-AQ36)))</f>
        <v>136.19999999999999</v>
      </c>
      <c r="AJ37" s="13">
        <f>AI37*VLOOKUP('Données projet'!$B$10,Paramètres!$A$1:$I$89,3,0)*VLOOKUP('Données projet'!$B$10,Paramètres!$A$1:$I$89,5,0)</f>
        <v>138.10679999999999</v>
      </c>
      <c r="AK37" s="13">
        <f t="shared" si="35"/>
        <v>35.862956890686135</v>
      </c>
      <c r="AL37" s="20">
        <f t="shared" si="4"/>
        <v>302.9973265846117</v>
      </c>
      <c r="AM37" s="59">
        <f t="shared" si="5"/>
        <v>596.33065991794501</v>
      </c>
      <c r="AN37" s="59">
        <f ca="1">AVERAGE(OFFSET($AM$3,0,0,'Données projet'!$E$10+1,1))-AVERAGE(OFFSET($H$3,0,0,'Données projet'!$E$10+1,1))</f>
        <v>356.320269084225</v>
      </c>
      <c r="AO37" s="59">
        <f t="shared" si="36"/>
        <v>208.88199836488002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2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31.121999999999986</v>
      </c>
      <c r="D38" s="11">
        <f t="shared" si="32"/>
        <v>9.612282066778798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314.44007209443271</v>
      </c>
      <c r="H38" s="67">
        <f t="shared" si="1"/>
        <v>364.27887459963966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116</v>
      </c>
      <c r="L38" s="12">
        <f>VLOOKUP(A38,'Données projet'!$A$35:$I$55,9,0)</f>
        <v>8</v>
      </c>
      <c r="M38" s="12">
        <f t="array" ref="M38">INDEX(L:L,MIN(IF(ISNUMBER(L38:L234),ROW(L38:L234),"")))</f>
        <v>8</v>
      </c>
      <c r="N38" s="13">
        <f>IF('Données projet'!$A$36&gt;35,N37+M38-V37,IF(A38&lt;'Données projet'!$A$36,$K$205^A38,IF(A38='Données projet'!$A$36,'Données projet'!$B$36,N37+M38-V37)))</f>
        <v>116.00000000000003</v>
      </c>
      <c r="O38" s="13">
        <f>N38*VLOOKUP('Données projet'!$B$9,Paramètres!$A$1:$I$89,3,0)*VLOOKUP('Données projet'!$B$9,Paramètres!$A$1:$I$89,5,0)</f>
        <v>104.95680000000003</v>
      </c>
      <c r="P38" s="13">
        <f t="shared" si="33"/>
        <v>28.139541339232398</v>
      </c>
      <c r="Q38" s="20">
        <f t="shared" si="53"/>
        <v>231.80946116582979</v>
      </c>
      <c r="R38" s="59">
        <f t="shared" si="0"/>
        <v>525.14279449916307</v>
      </c>
      <c r="S38" s="59">
        <f ca="1">AVERAGE(OFFSET($R$3,0,0,'Données projet'!$E$9+1,1))-AVERAGE(OFFSET($H$3,0,0,'Données projet'!$E$9+1,1))</f>
        <v>221.63427112734911</v>
      </c>
      <c r="T38" s="59">
        <f t="shared" si="34"/>
        <v>133.63266168802033</v>
      </c>
      <c r="U38" s="15">
        <f>IF(ISNA(VLOOKUP(A38,'Données projet'!$A$35:$I$55,3,0)),0,VLOOKUP(A38,'Données projet'!$A$35:$I$55,3,0))</f>
        <v>4</v>
      </c>
      <c r="V38" s="15">
        <f>IF(ISNA(VLOOKUP(A38,'Données projet'!$A$35:$I$55,4,0)),0,VLOOKUP(A38,'Données projet'!$A$35:$I$55,4,0))</f>
        <v>21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0</v>
      </c>
      <c r="AC38" s="22">
        <f t="shared" si="3"/>
        <v>0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147</v>
      </c>
      <c r="AG38" s="12">
        <f>VLOOKUP(A38,'Données projet'!$A$61:$I$81,9,0)</f>
        <v>10.8</v>
      </c>
      <c r="AH38" s="12">
        <f t="array" ref="AH38">INDEX(AG:AG,MIN(IF(ISNUMBER(AG38:AG234),ROW(AG38:AG234),"")))</f>
        <v>10.8</v>
      </c>
      <c r="AI38" s="13">
        <f>IF('Données projet'!$A$62&gt;35,AI37+AH38-AQ37,IF(A38&lt;'Données projet'!$A$62,$AF$205^A38,IF(A38='Données projet'!$A$62,'Données projet'!$B$62,AI37+AH38-AQ37)))</f>
        <v>147</v>
      </c>
      <c r="AJ38" s="13">
        <f>AI38*VLOOKUP('Données projet'!$B$10,Paramètres!$A$1:$I$89,3,0)*VLOOKUP('Données projet'!$B$10,Paramètres!$A$1:$I$89,5,0)</f>
        <v>149.05799999999999</v>
      </c>
      <c r="AK38" s="13">
        <f t="shared" si="35"/>
        <v>38.364434314370335</v>
      </c>
      <c r="AL38" s="20">
        <f t="shared" si="4"/>
        <v>326.42740643086165</v>
      </c>
      <c r="AM38" s="59">
        <f t="shared" si="5"/>
        <v>619.76073976419502</v>
      </c>
      <c r="AN38" s="59">
        <f ca="1">AVERAGE(OFFSET($AM$3,0,0,'Données projet'!$E$10+1,1))-AVERAGE(OFFSET($H$3,0,0,'Données projet'!$E$10+1,1))</f>
        <v>356.320269084225</v>
      </c>
      <c r="AO38" s="59">
        <f t="shared" si="36"/>
        <v>208.88199836488002</v>
      </c>
      <c r="AP38" s="15">
        <f>IF(ISNA(VLOOKUP(A38,'Données projet'!$A$61:$I$81,3,0)),0,VLOOKUP(A38,'Données projet'!$A$61:$I$81,3,0))</f>
        <v>4</v>
      </c>
      <c r="AQ38" s="15">
        <f>IF(ISNA(VLOOKUP(A38,'Données projet'!$A$61:$I$81,4,0)),0,VLOOKUP(A38,'Données projet'!$A$61:$I$81,4,0))</f>
        <v>28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2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32.011199999999988</v>
      </c>
      <c r="D39" s="11">
        <f t="shared" si="32"/>
        <v>9.8545516964045738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323.17422362136853</v>
      </c>
      <c r="H39" s="67">
        <f t="shared" si="1"/>
        <v>366.24951753790458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8.4</v>
      </c>
      <c r="N39" s="13">
        <f>IF('Données projet'!$A$36&gt;35,N38+M39-V38,IF(A39&lt;'Données projet'!$A$36,$K$205^A39,IF(A39='Données projet'!$A$36,'Données projet'!$B$36,N38+M39-V38)))</f>
        <v>103.40000000000003</v>
      </c>
      <c r="O39" s="13">
        <f>N39*VLOOKUP('Données projet'!$B$9,Paramètres!$A$1:$I$89,3,0)*VLOOKUP('Données projet'!$B$9,Paramètres!$A$1:$I$89,5,0)</f>
        <v>93.556320000000028</v>
      </c>
      <c r="P39" s="13">
        <f t="shared" si="33"/>
        <v>25.420979659258094</v>
      </c>
      <c r="Q39" s="20">
        <f t="shared" si="53"/>
        <v>207.21879690654123</v>
      </c>
      <c r="R39" s="59">
        <f t="shared" si="0"/>
        <v>500.55213023987454</v>
      </c>
      <c r="S39" s="59">
        <f ca="1">AVERAGE(OFFSET($R$3,0,0,'Données projet'!$E$9+1,1))-AVERAGE(OFFSET($H$3,0,0,'Données projet'!$E$9+1,1))</f>
        <v>221.63427112734911</v>
      </c>
      <c r="T39" s="59">
        <f t="shared" si="34"/>
        <v>133.63266168802033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0</v>
      </c>
      <c r="AC39" s="22">
        <f t="shared" si="3"/>
        <v>0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11.2</v>
      </c>
      <c r="AI39" s="13">
        <f>IF('Données projet'!$A$62&gt;35,AI38+AH39-AQ38,IF(A39&lt;'Données projet'!$A$62,$AF$205^A39,IF(A39='Données projet'!$A$62,'Données projet'!$B$62,AI38+AH39-AQ38)))</f>
        <v>130.19999999999999</v>
      </c>
      <c r="AJ39" s="13">
        <f>AI39*VLOOKUP('Données projet'!$B$10,Paramètres!$A$1:$I$89,3,0)*VLOOKUP('Données projet'!$B$10,Paramètres!$A$1:$I$89,5,0)</f>
        <v>132.02279999999999</v>
      </c>
      <c r="AK39" s="13">
        <f t="shared" si="35"/>
        <v>34.463348169992798</v>
      </c>
      <c r="AL39" s="20">
        <f t="shared" si="4"/>
        <v>289.96337472940411</v>
      </c>
      <c r="AM39" s="59">
        <f t="shared" si="5"/>
        <v>583.29670806273748</v>
      </c>
      <c r="AN39" s="59">
        <f ca="1">AVERAGE(OFFSET($AM$3,0,0,'Données projet'!$E$10+1,1))-AVERAGE(OFFSET($H$3,0,0,'Données projet'!$E$10+1,1))</f>
        <v>356.320269084225</v>
      </c>
      <c r="AO39" s="59">
        <f t="shared" si="36"/>
        <v>208.88199836488002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2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32.900399999999991</v>
      </c>
      <c r="D40" s="11">
        <f t="shared" si="32"/>
        <v>10.096039146303498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331.90233726971115</v>
      </c>
      <c r="H40" s="67">
        <f t="shared" si="1"/>
        <v>368.21879817981187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8.4</v>
      </c>
      <c r="N40" s="13">
        <f>IF('Données projet'!$A$36&gt;35,N39+M40-V39,IF(A40&lt;'Données projet'!$A$36,$K$205^A40,IF(A40='Données projet'!$A$36,'Données projet'!$B$36,N39+M40-V39)))</f>
        <v>111.80000000000004</v>
      </c>
      <c r="O40" s="13">
        <f>N40*VLOOKUP('Données projet'!$B$9,Paramètres!$A$1:$I$89,3,0)*VLOOKUP('Données projet'!$B$9,Paramètres!$A$1:$I$89,5,0)</f>
        <v>101.15664000000004</v>
      </c>
      <c r="P40" s="13">
        <f t="shared" si="33"/>
        <v>27.237366379381669</v>
      </c>
      <c r="Q40" s="20">
        <f t="shared" si="53"/>
        <v>223.61956111075651</v>
      </c>
      <c r="R40" s="59">
        <f t="shared" si="0"/>
        <v>516.95289444408979</v>
      </c>
      <c r="S40" s="59">
        <f ca="1">AVERAGE(OFFSET($R$3,0,0,'Données projet'!$E$9+1,1))-AVERAGE(OFFSET($H$3,0,0,'Données projet'!$E$9+1,1))</f>
        <v>221.63427112734911</v>
      </c>
      <c r="T40" s="59">
        <f t="shared" si="34"/>
        <v>133.63266168802033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0</v>
      </c>
      <c r="AC40" s="22">
        <f t="shared" si="3"/>
        <v>0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11.2</v>
      </c>
      <c r="AI40" s="13">
        <f>IF('Données projet'!$A$62&gt;35,AI39+AH40-AQ39,IF(A40&lt;'Données projet'!$A$62,$AF$205^A40,IF(A40='Données projet'!$A$62,'Données projet'!$B$62,AI39+AH40-AQ39)))</f>
        <v>141.39999999999998</v>
      </c>
      <c r="AJ40" s="13">
        <f>AI40*VLOOKUP('Données projet'!$B$10,Paramètres!$A$1:$I$89,3,0)*VLOOKUP('Données projet'!$B$10,Paramètres!$A$1:$I$89,5,0)</f>
        <v>143.37959999999998</v>
      </c>
      <c r="AK40" s="13">
        <f t="shared" si="35"/>
        <v>37.070146308317469</v>
      </c>
      <c r="AL40" s="20">
        <f t="shared" si="4"/>
        <v>314.28330815365291</v>
      </c>
      <c r="AM40" s="59">
        <f t="shared" si="5"/>
        <v>607.61664148698628</v>
      </c>
      <c r="AN40" s="59">
        <f ca="1">AVERAGE(OFFSET($AM$3,0,0,'Données projet'!$E$10+1,1))-AVERAGE(OFFSET($H$3,0,0,'Données projet'!$E$10+1,1))</f>
        <v>356.320269084225</v>
      </c>
      <c r="AO40" s="59">
        <f t="shared" si="36"/>
        <v>208.88199836488002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2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33.789599999999993</v>
      </c>
      <c r="D41" s="11">
        <f t="shared" si="32"/>
        <v>10.336767985889495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340.62459497879604</v>
      </c>
      <c r="H41" s="67">
        <f t="shared" si="1"/>
        <v>370.18675757542417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8.4</v>
      </c>
      <c r="N41" s="13">
        <f>IF('Données projet'!$A$36&gt;35,N40+M41-V40,IF(A41&lt;'Données projet'!$A$36,$K$205^A41,IF(A41='Données projet'!$A$36,'Données projet'!$B$36,N40+M41-V40)))</f>
        <v>120.20000000000005</v>
      </c>
      <c r="O41" s="13">
        <f>N41*VLOOKUP('Données projet'!$B$9,Paramètres!$A$1:$I$89,3,0)*VLOOKUP('Données projet'!$B$9,Paramètres!$A$1:$I$89,5,0)</f>
        <v>108.75696000000003</v>
      </c>
      <c r="P41" s="13">
        <f t="shared" si="33"/>
        <v>29.037921223305609</v>
      </c>
      <c r="Q41" s="20">
        <f t="shared" si="53"/>
        <v>239.99275146392401</v>
      </c>
      <c r="R41" s="59">
        <f t="shared" si="0"/>
        <v>533.32608479725729</v>
      </c>
      <c r="S41" s="59">
        <f ca="1">AVERAGE(OFFSET($R$3,0,0,'Données projet'!$E$9+1,1))-AVERAGE(OFFSET($H$3,0,0,'Données projet'!$E$9+1,1))</f>
        <v>221.63427112734911</v>
      </c>
      <c r="T41" s="59">
        <f t="shared" si="34"/>
        <v>133.63266168802033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0</v>
      </c>
      <c r="AC41" s="22">
        <f t="shared" si="3"/>
        <v>0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11.2</v>
      </c>
      <c r="AI41" s="13">
        <f>IF('Données projet'!$A$62&gt;35,AI40+AH41-AQ40,IF(A41&lt;'Données projet'!$A$62,$AF$205^A41,IF(A41='Données projet'!$A$62,'Données projet'!$B$62,AI40+AH41-AQ40)))</f>
        <v>152.59999999999997</v>
      </c>
      <c r="AJ41" s="13">
        <f>AI41*VLOOKUP('Données projet'!$B$10,Paramètres!$A$1:$I$89,3,0)*VLOOKUP('Données projet'!$B$10,Paramètres!$A$1:$I$89,5,0)</f>
        <v>154.73639999999997</v>
      </c>
      <c r="AK41" s="13">
        <f t="shared" si="35"/>
        <v>39.652994320183666</v>
      </c>
      <c r="AL41" s="20">
        <f t="shared" si="4"/>
        <v>338.56152844098648</v>
      </c>
      <c r="AM41" s="59">
        <f t="shared" si="5"/>
        <v>631.89486177431979</v>
      </c>
      <c r="AN41" s="59">
        <f ca="1">AVERAGE(OFFSET($AM$3,0,0,'Données projet'!$E$10+1,1))-AVERAGE(OFFSET($H$3,0,0,'Données projet'!$E$10+1,1))</f>
        <v>356.320269084225</v>
      </c>
      <c r="AO41" s="59">
        <f t="shared" si="36"/>
        <v>208.88199836488002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2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34.678799999999995</v>
      </c>
      <c r="D42" s="11">
        <f t="shared" si="32"/>
        <v>10.576760473435781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349.34116856687268</v>
      </c>
      <c r="H42" s="67">
        <f t="shared" si="1"/>
        <v>372.15343449123395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8.4</v>
      </c>
      <c r="N42" s="13">
        <f>IF('Données projet'!$A$36&gt;35,N41+M42-V41,IF(A42&lt;'Données projet'!$A$36,$K$205^A42,IF(A42='Données projet'!$A$36,'Données projet'!$B$36,N41+M42-V41)))</f>
        <v>128.60000000000005</v>
      </c>
      <c r="O42" s="13">
        <f>N42*VLOOKUP('Données projet'!$B$9,Paramètres!$A$1:$I$89,3,0)*VLOOKUP('Données projet'!$B$9,Paramètres!$A$1:$I$89,5,0)</f>
        <v>116.35728000000005</v>
      </c>
      <c r="P42" s="13">
        <f t="shared" si="33"/>
        <v>30.823876427820704</v>
      </c>
      <c r="Q42" s="20">
        <f t="shared" si="53"/>
        <v>256.3405141117878</v>
      </c>
      <c r="R42" s="59">
        <f t="shared" si="0"/>
        <v>549.67384744512105</v>
      </c>
      <c r="S42" s="59">
        <f ca="1">AVERAGE(OFFSET($R$3,0,0,'Données projet'!$E$9+1,1))-AVERAGE(OFFSET($H$3,0,0,'Données projet'!$E$9+1,1))</f>
        <v>221.63427112734911</v>
      </c>
      <c r="T42" s="59">
        <f t="shared" si="34"/>
        <v>133.63266168802033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0</v>
      </c>
      <c r="AC42" s="22">
        <f t="shared" si="3"/>
        <v>0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11.2</v>
      </c>
      <c r="AI42" s="13">
        <f>IF('Données projet'!$A$62&gt;35,AI41+AH42-AQ41,IF(A42&lt;'Données projet'!$A$62,$AF$205^A42,IF(A42='Données projet'!$A$62,'Données projet'!$B$62,AI41+AH42-AQ41)))</f>
        <v>163.79999999999995</v>
      </c>
      <c r="AJ42" s="13">
        <f>AI42*VLOOKUP('Données projet'!$B$10,Paramètres!$A$1:$I$89,3,0)*VLOOKUP('Données projet'!$B$10,Paramètres!$A$1:$I$89,5,0)</f>
        <v>166.09319999999997</v>
      </c>
      <c r="AK42" s="13">
        <f t="shared" si="35"/>
        <v>42.213849908165905</v>
      </c>
      <c r="AL42" s="20">
        <f t="shared" si="4"/>
        <v>362.80144525672222</v>
      </c>
      <c r="AM42" s="59">
        <f t="shared" si="5"/>
        <v>656.13477859005548</v>
      </c>
      <c r="AN42" s="59">
        <f ca="1">AVERAGE(OFFSET($AM$3,0,0,'Données projet'!$E$10+1,1))-AVERAGE(OFFSET($H$3,0,0,'Données projet'!$E$10+1,1))</f>
        <v>356.320269084225</v>
      </c>
      <c r="AO42" s="59">
        <f t="shared" si="36"/>
        <v>208.88199836488002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2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35.567999999999998</v>
      </c>
      <c r="D43" s="11">
        <f t="shared" si="32"/>
        <v>10.816037660735208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358.0522205390086</v>
      </c>
      <c r="H43" s="67">
        <f t="shared" si="1"/>
        <v>374.11886559244715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137</v>
      </c>
      <c r="L43" s="12">
        <f>VLOOKUP(A43,'Données projet'!$A$35:$I$55,9,0)</f>
        <v>8.4</v>
      </c>
      <c r="M43" s="12">
        <f t="array" ref="M43">INDEX(L:L,MIN(IF(ISNUMBER(L43:L239),ROW(L43:L239),"")))</f>
        <v>8.4</v>
      </c>
      <c r="N43" s="13">
        <f>IF('Données projet'!$A$36&gt;35,N42+M43-V42,IF(A43&lt;'Données projet'!$A$36,$K$205^A43,IF(A43='Données projet'!$A$36,'Données projet'!$B$36,N42+M43-V42)))</f>
        <v>137.00000000000006</v>
      </c>
      <c r="O43" s="13">
        <f>N43*VLOOKUP('Données projet'!$B$9,Paramètres!$A$1:$I$89,3,0)*VLOOKUP('Données projet'!$B$9,Paramètres!$A$1:$I$89,5,0)</f>
        <v>123.95760000000004</v>
      </c>
      <c r="P43" s="13">
        <f t="shared" si="33"/>
        <v>32.59629414926458</v>
      </c>
      <c r="Q43" s="20">
        <f t="shared" si="53"/>
        <v>272.66469897663586</v>
      </c>
      <c r="R43" s="59">
        <f t="shared" si="0"/>
        <v>565.99803230996918</v>
      </c>
      <c r="S43" s="59">
        <f ca="1">AVERAGE(OFFSET($R$3,0,0,'Données projet'!$E$9+1,1))-AVERAGE(OFFSET($H$3,0,0,'Données projet'!$E$9+1,1))</f>
        <v>221.63427112734911</v>
      </c>
      <c r="T43" s="59">
        <f t="shared" si="34"/>
        <v>133.63266168802033</v>
      </c>
      <c r="U43" s="15">
        <f>IF(ISNA(VLOOKUP(A43,'Données projet'!$A$35:$I$55,3,0)),0,VLOOKUP(A43,'Données projet'!$A$35:$I$55,3,0))</f>
        <v>5</v>
      </c>
      <c r="V43" s="15">
        <f>IF(ISNA(VLOOKUP(A43,'Données projet'!$A$35:$I$55,4,0)),0,VLOOKUP(A43,'Données projet'!$A$35:$I$55,4,0))</f>
        <v>21</v>
      </c>
      <c r="W43" s="16">
        <f>IF(ISNA(VLOOKUP(A43,'Données projet'!$A$35:$I$55,5,0)),0%,VLOOKUP(A43,'Données projet'!$A$35:$I$55,5,0)*VLOOKUP('Données projet'!$B$9,Paramètres!$A$1:$I$89,7,0))</f>
        <v>8.6000000000000007E-2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1.8064146565189523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0</v>
      </c>
      <c r="AC43" s="22">
        <f t="shared" si="3"/>
        <v>1.8064146565189523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175</v>
      </c>
      <c r="AG43" s="12">
        <f>VLOOKUP(A43,'Données projet'!$A$61:$I$81,9,0)</f>
        <v>11.2</v>
      </c>
      <c r="AH43" s="12">
        <f t="array" ref="AH43">INDEX(AG:AG,MIN(IF(ISNUMBER(AG43:AG239),ROW(AG43:AG239),"")))</f>
        <v>11.2</v>
      </c>
      <c r="AI43" s="13">
        <f>IF('Données projet'!$A$62&gt;35,AI42+AH43-AQ42,IF(A43&lt;'Données projet'!$A$62,$AF$205^A43,IF(A43='Données projet'!$A$62,'Données projet'!$B$62,AI42+AH43-AQ42)))</f>
        <v>174.99999999999994</v>
      </c>
      <c r="AJ43" s="13">
        <f>AI43*VLOOKUP('Données projet'!$B$10,Paramètres!$A$1:$I$89,3,0)*VLOOKUP('Données projet'!$B$10,Paramètres!$A$1:$I$89,5,0)</f>
        <v>177.44999999999996</v>
      </c>
      <c r="AK43" s="13">
        <f t="shared" si="35"/>
        <v>44.754387900936791</v>
      </c>
      <c r="AL43" s="20">
        <f t="shared" si="4"/>
        <v>387.00597559413154</v>
      </c>
      <c r="AM43" s="59">
        <f t="shared" si="5"/>
        <v>680.3393089274648</v>
      </c>
      <c r="AN43" s="59">
        <f ca="1">AVERAGE(OFFSET($AM$3,0,0,'Données projet'!$E$10+1,1))-AVERAGE(OFFSET($H$3,0,0,'Données projet'!$E$10+1,1))</f>
        <v>356.320269084225</v>
      </c>
      <c r="AO43" s="59">
        <f t="shared" si="36"/>
        <v>208.88199836488002</v>
      </c>
      <c r="AP43" s="15">
        <f>IF(ISNA(VLOOKUP(A43,'Données projet'!$A$61:$I$81,3,0)),0,VLOOKUP(A43,'Données projet'!$A$61:$I$81,3,0))</f>
        <v>5</v>
      </c>
      <c r="AQ43" s="15">
        <f>IF(ISNA(VLOOKUP(A43,'Données projet'!$A$61:$I$81,4,0)),0,VLOOKUP(A43,'Données projet'!$A$61:$I$81,4,0))</f>
        <v>28</v>
      </c>
      <c r="AR43" s="16">
        <f>IF(ISNA(VLOOKUP(A43,'Données projet'!$A$61:$I$81,5,0)),0%,VLOOKUP(A43,'Données projet'!$A$61:$I$81,5,0)*VLOOKUP('Données projet'!$B$10,Paramètres!$A$1:$I$89,7,0))</f>
        <v>8.6000000000000007E-2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2.6992402913501592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2.6992402913501592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2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36.4572</v>
      </c>
      <c r="D44" s="11">
        <f t="shared" si="32"/>
        <v>11.054619486999963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366.75790481192956</v>
      </c>
      <c r="H44" s="67">
        <f t="shared" si="1"/>
        <v>376.08308560652495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8.4</v>
      </c>
      <c r="N44" s="13">
        <f>IF('Données projet'!$A$36&gt;35,N43+M44-V43,IF(A44&lt;'Données projet'!$A$36,$K$205^A44,IF(A44='Données projet'!$A$36,'Données projet'!$B$36,N43+M44-V43)))</f>
        <v>124.40000000000006</v>
      </c>
      <c r="O44" s="13">
        <f>N44*VLOOKUP('Données projet'!$B$9,Paramètres!$A$1:$I$89,3,0)*VLOOKUP('Données projet'!$B$9,Paramètres!$A$1:$I$89,5,0)</f>
        <v>112.55712000000005</v>
      </c>
      <c r="P44" s="13">
        <f t="shared" si="33"/>
        <v>29.932653834140599</v>
      </c>
      <c r="Q44" s="20">
        <f t="shared" si="53"/>
        <v>248.16968942779499</v>
      </c>
      <c r="R44" s="59">
        <f t="shared" si="0"/>
        <v>541.50302276112825</v>
      </c>
      <c r="S44" s="59">
        <f ca="1">AVERAGE(OFFSET($R$3,0,0,'Données projet'!$E$9+1,1))-AVERAGE(OFFSET($H$3,0,0,'Données projet'!$E$9+1,1))</f>
        <v>221.63427112734911</v>
      </c>
      <c r="T44" s="59">
        <f t="shared" si="34"/>
        <v>133.63266168802033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1.7709919669087619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</v>
      </c>
      <c r="AC44" s="22">
        <f t="shared" si="3"/>
        <v>1.7709919669087619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11.4</v>
      </c>
      <c r="AI44" s="13">
        <f>IF('Données projet'!$A$62&gt;35,AI43+AH44-AQ43,IF(A44&lt;'Données projet'!$A$62,$AF$205^A44,IF(A44='Données projet'!$A$62,'Données projet'!$B$62,AI43+AH44-AQ43)))</f>
        <v>158.39999999999995</v>
      </c>
      <c r="AJ44" s="13">
        <f>AI44*VLOOKUP('Données projet'!$B$10,Paramètres!$A$1:$I$89,3,0)*VLOOKUP('Données projet'!$B$10,Paramètres!$A$1:$I$89,5,0)</f>
        <v>160.61759999999995</v>
      </c>
      <c r="AK44" s="13">
        <f t="shared" si="35"/>
        <v>40.981785561145074</v>
      </c>
      <c r="AL44" s="20">
        <f t="shared" si="4"/>
        <v>351.11892985232754</v>
      </c>
      <c r="AM44" s="59">
        <f t="shared" si="5"/>
        <v>644.45226318566085</v>
      </c>
      <c r="AN44" s="59">
        <f ca="1">AVERAGE(OFFSET($AM$3,0,0,'Données projet'!$E$10+1,1))-AVERAGE(OFFSET($H$3,0,0,'Données projet'!$E$10+1,1))</f>
        <v>356.320269084225</v>
      </c>
      <c r="AO44" s="59">
        <f t="shared" si="36"/>
        <v>208.88199836488002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2.6463098356107944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2.6463098356107944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2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37.346400000000003</v>
      </c>
      <c r="D45" s="11">
        <f t="shared" si="32"/>
        <v>11.292524863342397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375.45836736615183</v>
      </c>
      <c r="H45" s="67">
        <f t="shared" si="1"/>
        <v>378.04612747032132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8.4</v>
      </c>
      <c r="N45" s="13">
        <f>IF('Données projet'!$A$36&gt;35,N44+M45-V44,IF(A45&lt;'Données projet'!$A$36,$K$205^A45,IF(A45='Données projet'!$A$36,'Données projet'!$B$36,N44+M45-V44)))</f>
        <v>132.80000000000007</v>
      </c>
      <c r="O45" s="13">
        <f>N45*VLOOKUP('Données projet'!$B$9,Paramètres!$A$1:$I$89,3,0)*VLOOKUP('Données projet'!$B$9,Paramètres!$A$1:$I$89,5,0)</f>
        <v>120.15744000000005</v>
      </c>
      <c r="P45" s="13">
        <f t="shared" si="33"/>
        <v>31.711716786129845</v>
      </c>
      <c r="Q45" s="20">
        <f t="shared" si="53"/>
        <v>264.50544806917623</v>
      </c>
      <c r="R45" s="59">
        <f t="shared" si="0"/>
        <v>557.83878140250954</v>
      </c>
      <c r="S45" s="59">
        <f ca="1">AVERAGE(OFFSET($R$3,0,0,'Données projet'!$E$9+1,1))-AVERAGE(OFFSET($H$3,0,0,'Données projet'!$E$9+1,1))</f>
        <v>221.63427112734911</v>
      </c>
      <c r="T45" s="59">
        <f t="shared" si="34"/>
        <v>133.63266168802033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1.7362638946361202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0</v>
      </c>
      <c r="AC45" s="22">
        <f t="shared" si="3"/>
        <v>1.7362638946361202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11.4</v>
      </c>
      <c r="AI45" s="13">
        <f>IF('Données projet'!$A$62&gt;35,AI44+AH45-AQ44,IF(A45&lt;'Données projet'!$A$62,$AF$205^A45,IF(A45='Données projet'!$A$62,'Données projet'!$B$62,AI44+AH45-AQ44)))</f>
        <v>169.79999999999995</v>
      </c>
      <c r="AJ45" s="13">
        <f>AI45*VLOOKUP('Données projet'!$B$10,Paramètres!$A$1:$I$89,3,0)*VLOOKUP('Données projet'!$B$10,Paramètres!$A$1:$I$89,5,0)</f>
        <v>172.17719999999997</v>
      </c>
      <c r="AK45" s="13">
        <f t="shared" si="35"/>
        <v>43.577282221917017</v>
      </c>
      <c r="AL45" s="20">
        <f t="shared" si="4"/>
        <v>375.77238986983872</v>
      </c>
      <c r="AM45" s="59">
        <f t="shared" si="5"/>
        <v>669.10572320317203</v>
      </c>
      <c r="AN45" s="59">
        <f ca="1">AVERAGE(OFFSET($AM$3,0,0,'Données projet'!$E$10+1,1))-AVERAGE(OFFSET($H$3,0,0,'Données projet'!$E$10+1,1))</f>
        <v>356.320269084225</v>
      </c>
      <c r="AO45" s="59">
        <f t="shared" si="36"/>
        <v>208.88199836488002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2.5944173138240885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2.5944173138240885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2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38.235600000000005</v>
      </c>
      <c r="D46" s="11">
        <f t="shared" si="32"/>
        <v>11.529771748983352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384.15374683425745</v>
      </c>
      <c r="H46" s="67">
        <f t="shared" si="1"/>
        <v>380.00802246281268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8.4</v>
      </c>
      <c r="N46" s="13">
        <f>IF('Données projet'!$A$36&gt;35,N45+M46-V45,IF(A46&lt;'Données projet'!$A$36,$K$205^A46,IF(A46='Données projet'!$A$36,'Données projet'!$B$36,N45+M46-V45)))</f>
        <v>141.20000000000007</v>
      </c>
      <c r="O46" s="13">
        <f>N46*VLOOKUP('Données projet'!$B$9,Paramètres!$A$1:$I$89,3,0)*VLOOKUP('Données projet'!$B$9,Paramètres!$A$1:$I$89,5,0)</f>
        <v>127.75776000000008</v>
      </c>
      <c r="P46" s="13">
        <f t="shared" si="33"/>
        <v>33.477720030956604</v>
      </c>
      <c r="Q46" s="20">
        <f t="shared" si="53"/>
        <v>280.81846105391622</v>
      </c>
      <c r="R46" s="59">
        <f t="shared" si="0"/>
        <v>574.15179438724954</v>
      </c>
      <c r="S46" s="59">
        <f ca="1">AVERAGE(OFFSET($R$3,0,0,'Données projet'!$E$9+1,1))-AVERAGE(OFFSET($H$3,0,0,'Données projet'!$E$9+1,1))</f>
        <v>221.63427112734911</v>
      </c>
      <c r="T46" s="59">
        <f t="shared" si="34"/>
        <v>133.63266168802033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1.7022168186787123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0</v>
      </c>
      <c r="AC46" s="22">
        <f t="shared" si="3"/>
        <v>1.7022168186787123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11.4</v>
      </c>
      <c r="AI46" s="13">
        <f>IF('Données projet'!$A$62&gt;35,AI45+AH46-AQ45,IF(A46&lt;'Données projet'!$A$62,$AF$205^A46,IF(A46='Données projet'!$A$62,'Données projet'!$B$62,AI45+AH46-AQ45)))</f>
        <v>181.19999999999996</v>
      </c>
      <c r="AJ46" s="13">
        <f>AI46*VLOOKUP('Données projet'!$B$10,Paramètres!$A$1:$I$89,3,0)*VLOOKUP('Données projet'!$B$10,Paramètres!$A$1:$I$89,5,0)</f>
        <v>183.73679999999996</v>
      </c>
      <c r="AK46" s="13">
        <f t="shared" si="35"/>
        <v>46.152558509293854</v>
      </c>
      <c r="AL46" s="20">
        <f t="shared" si="4"/>
        <v>400.39063273702004</v>
      </c>
      <c r="AM46" s="59">
        <f t="shared" si="5"/>
        <v>693.7239660703533</v>
      </c>
      <c r="AN46" s="59">
        <f ca="1">AVERAGE(OFFSET($AM$3,0,0,'Données projet'!$E$10+1,1))-AVERAGE(OFFSET($H$3,0,0,'Données projet'!$E$10+1,1))</f>
        <v>356.320269084225</v>
      </c>
      <c r="AO46" s="59">
        <f t="shared" si="36"/>
        <v>208.88199836488002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2.5435423727383069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2.5435423727383069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2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39.124800000000008</v>
      </c>
      <c r="D47" s="11">
        <f t="shared" si="32"/>
        <v>11.766377220171686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392.84417503290433</v>
      </c>
      <c r="H47" s="67">
        <f t="shared" si="1"/>
        <v>381.96880032513235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8.4</v>
      </c>
      <c r="N47" s="13">
        <f>IF('Données projet'!$A$36&gt;35,N46+M47-V46,IF(A47&lt;'Données projet'!$A$36,$K$205^A47,IF(A47='Données projet'!$A$36,'Données projet'!$B$36,N46+M47-V46)))</f>
        <v>149.60000000000008</v>
      </c>
      <c r="O47" s="13">
        <f>N47*VLOOKUP('Données projet'!$B$9,Paramètres!$A$1:$I$89,3,0)*VLOOKUP('Données projet'!$B$9,Paramètres!$A$1:$I$89,5,0)</f>
        <v>135.35808000000009</v>
      </c>
      <c r="P47" s="13">
        <f t="shared" si="33"/>
        <v>35.231528980112863</v>
      </c>
      <c r="Q47" s="20">
        <f t="shared" si="53"/>
        <v>297.11023564036338</v>
      </c>
      <c r="R47" s="59">
        <f t="shared" si="0"/>
        <v>590.44356897369676</v>
      </c>
      <c r="S47" s="59">
        <f ca="1">AVERAGE(OFFSET($R$3,0,0,'Données projet'!$E$9+1,1))-AVERAGE(OFFSET($H$3,0,0,'Données projet'!$E$9+1,1))</f>
        <v>221.63427112734911</v>
      </c>
      <c r="T47" s="59">
        <f t="shared" si="34"/>
        <v>133.63266168802033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1.6688373851141636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0</v>
      </c>
      <c r="AC47" s="22">
        <f t="shared" si="3"/>
        <v>1.6688373851141636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11.4</v>
      </c>
      <c r="AI47" s="13">
        <f>IF('Données projet'!$A$62&gt;35,AI46+AH47-AQ46,IF(A47&lt;'Données projet'!$A$62,$AF$205^A47,IF(A47='Données projet'!$A$62,'Données projet'!$B$62,AI46+AH47-AQ46)))</f>
        <v>192.59999999999997</v>
      </c>
      <c r="AJ47" s="13">
        <f>AI47*VLOOKUP('Données projet'!$B$10,Paramètres!$A$1:$I$89,3,0)*VLOOKUP('Données projet'!$B$10,Paramètres!$A$1:$I$89,5,0)</f>
        <v>195.29639999999998</v>
      </c>
      <c r="AK47" s="13">
        <f t="shared" si="35"/>
        <v>48.709031383366153</v>
      </c>
      <c r="AL47" s="20">
        <f t="shared" si="4"/>
        <v>424.97612632602932</v>
      </c>
      <c r="AM47" s="59">
        <f t="shared" si="5"/>
        <v>718.30945965936257</v>
      </c>
      <c r="AN47" s="59">
        <f ca="1">AVERAGE(OFFSET($AM$3,0,0,'Données projet'!$E$10+1,1))-AVERAGE(OFFSET($H$3,0,0,'Données projet'!$E$10+1,1))</f>
        <v>356.320269084225</v>
      </c>
      <c r="AO47" s="59">
        <f t="shared" si="36"/>
        <v>208.88199836488002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2.4936650582165671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2.4936650582165671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2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40.01400000000001</v>
      </c>
      <c r="D48" s="11">
        <f t="shared" si="32"/>
        <v>12.002357532661732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401.52977744510821</v>
      </c>
      <c r="H48" s="67">
        <f t="shared" si="1"/>
        <v>383.92848936938583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158</v>
      </c>
      <c r="L48" s="12">
        <f>VLOOKUP(A48,'Données projet'!$A$35:$I$55,9,0)</f>
        <v>8.4</v>
      </c>
      <c r="M48" s="12">
        <f t="array" ref="M48">INDEX(L:L,MIN(IF(ISNUMBER(L48:L244),ROW(L48:L244),"")))</f>
        <v>8.4</v>
      </c>
      <c r="N48" s="13">
        <f>IF('Données projet'!$A$36&gt;35,N47+M48-V47,IF(A48&lt;'Données projet'!$A$36,$K$205^A48,IF(A48='Données projet'!$A$36,'Données projet'!$B$36,N47+M48-V47)))</f>
        <v>158.00000000000009</v>
      </c>
      <c r="O48" s="13">
        <f>N48*VLOOKUP('Données projet'!$B$9,Paramètres!$A$1:$I$89,3,0)*VLOOKUP('Données projet'!$B$9,Paramètres!$A$1:$I$89,5,0)</f>
        <v>142.95840000000007</v>
      </c>
      <c r="P48" s="13">
        <f t="shared" si="33"/>
        <v>36.973906370811264</v>
      </c>
      <c r="Q48" s="20">
        <f t="shared" si="53"/>
        <v>313.38210026249641</v>
      </c>
      <c r="R48" s="59">
        <f t="shared" si="0"/>
        <v>606.71543359582972</v>
      </c>
      <c r="S48" s="59">
        <f ca="1">AVERAGE(OFFSET($R$3,0,0,'Données projet'!$E$9+1,1))-AVERAGE(OFFSET($H$3,0,0,'Données projet'!$E$9+1,1))</f>
        <v>221.63427112734911</v>
      </c>
      <c r="T48" s="59">
        <f t="shared" si="34"/>
        <v>133.63266168802033</v>
      </c>
      <c r="U48" s="15">
        <f>IF(ISNA(VLOOKUP(A48,'Données projet'!$A$35:$I$55,3,0)),0,VLOOKUP(A48,'Données projet'!$A$35:$I$55,3,0))</f>
        <v>6</v>
      </c>
      <c r="V48" s="15">
        <f>IF(ISNA(VLOOKUP(A48,'Données projet'!$A$35:$I$55,4,0)),0,VLOOKUP(A48,'Données projet'!$A$35:$I$55,4,0))</f>
        <v>21</v>
      </c>
      <c r="W48" s="16">
        <f>IF(ISNA(VLOOKUP(A48,'Données projet'!$A$35:$I$55,5,0)),0%,VLOOKUP(A48,'Données projet'!$A$35:$I$55,5,0)*VLOOKUP('Données projet'!$B$9,Paramètres!$A$1:$I$89,7,0))</f>
        <v>8.6000000000000007E-2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3.4425271584013237</v>
      </c>
      <c r="AA48" s="21">
        <f>EXP(-LN(2)/25)*AA47+(1-EXP(-LN(2)/25))/(LN(2)/25)*Calculateur!V48*Calculateur!X48*VLOOKUP('Données projet'!$B$9,Paramètres!$A$1:$I$89,3,0)*0.475*44/12</f>
        <v>0</v>
      </c>
      <c r="AB48" s="21">
        <f>EXP(-LN(2)/2)*AB47+(1-EXP(-LN(2)/2))/(LN(2)/2)*V48*Y48*VLOOKUP('Données projet'!$B$9,Paramètres!$A$1:$I$89,3,0)*0.475*44/12</f>
        <v>0</v>
      </c>
      <c r="AC48" s="22">
        <f t="shared" si="3"/>
        <v>3.4425271584013237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204</v>
      </c>
      <c r="AG48" s="12">
        <f>VLOOKUP(A48,'Données projet'!$A$61:$I$81,9,0)</f>
        <v>11.4</v>
      </c>
      <c r="AH48" s="12">
        <f t="array" ref="AH48">INDEX(AG:AG,MIN(IF(ISNUMBER(AG48:AG244),ROW(AG48:AG244),"")))</f>
        <v>11.4</v>
      </c>
      <c r="AI48" s="13">
        <f>IF('Données projet'!$A$62&gt;35,AI47+AH48-AQ47,IF(A48&lt;'Données projet'!$A$62,$AF$205^A48,IF(A48='Données projet'!$A$62,'Données projet'!$B$62,AI47+AH48-AQ47)))</f>
        <v>203.99999999999997</v>
      </c>
      <c r="AJ48" s="13">
        <f>AI48*VLOOKUP('Données projet'!$B$10,Paramètres!$A$1:$I$89,3,0)*VLOOKUP('Données projet'!$B$10,Paramètres!$A$1:$I$89,5,0)</f>
        <v>206.85599999999999</v>
      </c>
      <c r="AK48" s="13">
        <f t="shared" si="35"/>
        <v>51.247940588293027</v>
      </c>
      <c r="AL48" s="20">
        <f t="shared" si="4"/>
        <v>449.53102985794368</v>
      </c>
      <c r="AM48" s="59">
        <f t="shared" si="5"/>
        <v>742.86436319127699</v>
      </c>
      <c r="AN48" s="59">
        <f ca="1">AVERAGE(OFFSET($AM$3,0,0,'Données projet'!$E$10+1,1))-AVERAGE(OFFSET($H$3,0,0,'Données projet'!$E$10+1,1))</f>
        <v>356.320269084225</v>
      </c>
      <c r="AO48" s="59">
        <f t="shared" si="36"/>
        <v>208.88199836488002</v>
      </c>
      <c r="AP48" s="15">
        <f>IF(ISNA(VLOOKUP(A48,'Données projet'!$A$61:$I$81,3,0)),0,VLOOKUP(A48,'Données projet'!$A$61:$I$81,3,0))</f>
        <v>6</v>
      </c>
      <c r="AQ48" s="15">
        <f>IF(ISNA(VLOOKUP(A48,'Données projet'!$A$61:$I$81,4,0)),0,VLOOKUP(A48,'Données projet'!$A$61:$I$81,4,0))</f>
        <v>28</v>
      </c>
      <c r="AR48" s="16">
        <f>IF(ISNA(VLOOKUP(A48,'Données projet'!$A$61:$I$81,5,0)),0%,VLOOKUP(A48,'Données projet'!$A$61:$I$81,5,0)*VLOOKUP('Données projet'!$B$10,Paramètres!$A$1:$I$89,7,0))</f>
        <v>8.6000000000000007E-2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5.1440060987606007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5.1440060987606007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2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40.903200000000012</v>
      </c>
      <c r="D49" s="11">
        <f t="shared" si="32"/>
        <v>12.237728178480605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410.21067365844692</v>
      </c>
      <c r="H49" s="67">
        <f t="shared" si="1"/>
        <v>385.88711657752037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8.1999999999999993</v>
      </c>
      <c r="N49" s="13">
        <f>IF('Données projet'!$A$36&gt;35,N48+M49-V48,IF(A49&lt;'Données projet'!$A$36,$K$205^A49,IF(A49='Données projet'!$A$36,'Données projet'!$B$36,N48+M49-V48)))</f>
        <v>145.20000000000007</v>
      </c>
      <c r="O49" s="13">
        <f>N49*VLOOKUP('Données projet'!$B$9,Paramètres!$A$1:$I$89,3,0)*VLOOKUP('Données projet'!$B$9,Paramètres!$A$1:$I$89,5,0)</f>
        <v>131.37696000000005</v>
      </c>
      <c r="P49" s="13">
        <f t="shared" si="33"/>
        <v>34.314338988223334</v>
      </c>
      <c r="Q49" s="20">
        <f t="shared" si="53"/>
        <v>288.57901240448905</v>
      </c>
      <c r="R49" s="59">
        <f t="shared" si="0"/>
        <v>581.91234573782231</v>
      </c>
      <c r="S49" s="59">
        <f ca="1">AVERAGE(OFFSET($R$3,0,0,'Données projet'!$E$9+1,1))-AVERAGE(OFFSET($H$3,0,0,'Données projet'!$E$9+1,1))</f>
        <v>221.63427112734911</v>
      </c>
      <c r="T49" s="59">
        <f t="shared" si="34"/>
        <v>133.63266168802033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3.3750213005593088</v>
      </c>
      <c r="AA49" s="21">
        <f>EXP(-LN(2)/25)*AA48+(1-EXP(-LN(2)/25))/(LN(2)/25)*Calculateur!V49*Calculateur!X49*VLOOKUP('Données projet'!$B$9,Paramètres!$A$1:$I$89,3,0)*0.475*44/12</f>
        <v>0</v>
      </c>
      <c r="AB49" s="21">
        <f>EXP(-LN(2)/2)*AB48+(1-EXP(-LN(2)/2))/(LN(2)/2)*V49*Y49*VLOOKUP('Données projet'!$B$9,Paramètres!$A$1:$I$89,3,0)*0.475*44/12</f>
        <v>0</v>
      </c>
      <c r="AC49" s="22">
        <f t="shared" si="3"/>
        <v>3.3750213005593088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11</v>
      </c>
      <c r="AI49" s="13">
        <f>IF('Données projet'!$A$62&gt;35,AI48+AH49-AQ48,IF(A49&lt;'Données projet'!$A$62,$AF$205^A49,IF(A49='Données projet'!$A$62,'Données projet'!$B$62,AI48+AH49-AQ48)))</f>
        <v>186.99999999999997</v>
      </c>
      <c r="AJ49" s="13">
        <f>AI49*VLOOKUP('Données projet'!$B$10,Paramètres!$A$1:$I$89,3,0)*VLOOKUP('Données projet'!$B$10,Paramètres!$A$1:$I$89,5,0)</f>
        <v>189.61799999999997</v>
      </c>
      <c r="AK49" s="13">
        <f t="shared" si="35"/>
        <v>47.4554881852685</v>
      </c>
      <c r="AL49" s="20">
        <f t="shared" si="4"/>
        <v>412.90299192267588</v>
      </c>
      <c r="AM49" s="59">
        <f t="shared" si="5"/>
        <v>706.2363252560092</v>
      </c>
      <c r="AN49" s="59">
        <f ca="1">AVERAGE(OFFSET($AM$3,0,0,'Données projet'!$E$10+1,1))-AVERAGE(OFFSET($H$3,0,0,'Données projet'!$E$10+1,1))</f>
        <v>356.320269084225</v>
      </c>
      <c r="AO49" s="59">
        <f t="shared" si="36"/>
        <v>208.88199836488002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5.0431352766978197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5.0431352766978197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2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41.792400000000015</v>
      </c>
      <c r="D50" s="11">
        <f t="shared" si="32"/>
        <v>12.472503937619972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418.88697776408418</v>
      </c>
      <c r="H50" s="67">
        <f t="shared" si="1"/>
        <v>387.84470769135481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8.1999999999999993</v>
      </c>
      <c r="N50" s="13">
        <f>IF('Données projet'!$A$36&gt;35,N49+M50-V49,IF(A50&lt;'Données projet'!$A$36,$K$205^A50,IF(A50='Données projet'!$A$36,'Données projet'!$B$36,N49+M50-V49)))</f>
        <v>153.40000000000006</v>
      </c>
      <c r="O50" s="13">
        <f>N50*VLOOKUP('Données projet'!$B$9,Paramètres!$A$1:$I$89,3,0)*VLOOKUP('Données projet'!$B$9,Paramètres!$A$1:$I$89,5,0)</f>
        <v>138.79632000000007</v>
      </c>
      <c r="P50" s="13">
        <f t="shared" si="33"/>
        <v>36.021120886354588</v>
      </c>
      <c r="Q50" s="20">
        <f t="shared" si="53"/>
        <v>304.47370954373434</v>
      </c>
      <c r="R50" s="59">
        <f t="shared" si="0"/>
        <v>597.80704287706772</v>
      </c>
      <c r="S50" s="59">
        <f ca="1">AVERAGE(OFFSET($R$3,0,0,'Données projet'!$E$9+1,1))-AVERAGE(OFFSET($H$3,0,0,'Données projet'!$E$9+1,1))</f>
        <v>221.63427112734911</v>
      </c>
      <c r="T50" s="59">
        <f t="shared" si="34"/>
        <v>133.63266168802033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3.3088391914150681</v>
      </c>
      <c r="AA50" s="21">
        <f>EXP(-LN(2)/25)*AA49+(1-EXP(-LN(2)/25))/(LN(2)/25)*Calculateur!V50*Calculateur!X50*VLOOKUP('Données projet'!$B$9,Paramètres!$A$1:$I$89,3,0)*0.475*44/12</f>
        <v>0</v>
      </c>
      <c r="AB50" s="21">
        <f>EXP(-LN(2)/2)*AB49+(1-EXP(-LN(2)/2))/(LN(2)/2)*V50*Y50*VLOOKUP('Données projet'!$B$9,Paramètres!$A$1:$I$89,3,0)*0.475*44/12</f>
        <v>0</v>
      </c>
      <c r="AC50" s="22">
        <f t="shared" si="3"/>
        <v>3.3088391914150681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11</v>
      </c>
      <c r="AI50" s="13">
        <f>IF('Données projet'!$A$62&gt;35,AI49+AH50-AQ49,IF(A50&lt;'Données projet'!$A$62,$AF$205^A50,IF(A50='Données projet'!$A$62,'Données projet'!$B$62,AI49+AH50-AQ49)))</f>
        <v>197.99999999999997</v>
      </c>
      <c r="AJ50" s="13">
        <f>AI50*VLOOKUP('Données projet'!$B$10,Paramètres!$A$1:$I$89,3,0)*VLOOKUP('Données projet'!$B$10,Paramètres!$A$1:$I$89,5,0)</f>
        <v>200.77199999999999</v>
      </c>
      <c r="AK50" s="13">
        <f t="shared" si="35"/>
        <v>49.913791898945412</v>
      </c>
      <c r="AL50" s="20">
        <f t="shared" si="4"/>
        <v>436.61108755732994</v>
      </c>
      <c r="AM50" s="59">
        <f t="shared" si="5"/>
        <v>729.9444208906632</v>
      </c>
      <c r="AN50" s="59">
        <f ca="1">AVERAGE(OFFSET($AM$3,0,0,'Données projet'!$E$10+1,1))-AVERAGE(OFFSET($H$3,0,0,'Données projet'!$E$10+1,1))</f>
        <v>356.320269084225</v>
      </c>
      <c r="AO50" s="59">
        <f t="shared" si="36"/>
        <v>208.88199836488002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4.9442424699305638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4.9442424699305638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2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42.681600000000017</v>
      </c>
      <c r="D51" s="11">
        <f t="shared" si="32"/>
        <v>12.706698925204435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427.55879872087644</v>
      </c>
      <c r="H51" s="67">
        <f t="shared" si="1"/>
        <v>389.80128729473108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8.1999999999999993</v>
      </c>
      <c r="N51" s="13">
        <f>IF('Données projet'!$A$36&gt;35,N50+M51-V50,IF(A51&lt;'Données projet'!$A$36,$K$205^A51,IF(A51='Données projet'!$A$36,'Données projet'!$B$36,N50+M51-V50)))</f>
        <v>161.60000000000005</v>
      </c>
      <c r="O51" s="13">
        <f>N51*VLOOKUP('Données projet'!$B$9,Paramètres!$A$1:$I$89,3,0)*VLOOKUP('Données projet'!$B$9,Paramètres!$A$1:$I$89,5,0)</f>
        <v>146.21568000000005</v>
      </c>
      <c r="P51" s="13">
        <f t="shared" si="33"/>
        <v>37.717310552893402</v>
      </c>
      <c r="Q51" s="20">
        <f t="shared" si="53"/>
        <v>320.34995854628943</v>
      </c>
      <c r="R51" s="59">
        <f t="shared" si="0"/>
        <v>613.68329187962274</v>
      </c>
      <c r="S51" s="59">
        <f ca="1">AVERAGE(OFFSET($R$3,0,0,'Données projet'!$E$9+1,1))-AVERAGE(OFFSET($H$3,0,0,'Données projet'!$E$9+1,1))</f>
        <v>221.63427112734911</v>
      </c>
      <c r="T51" s="59">
        <f t="shared" si="34"/>
        <v>133.63266168802033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3.2439548730640455</v>
      </c>
      <c r="AA51" s="21">
        <f>EXP(-LN(2)/25)*AA50+(1-EXP(-LN(2)/25))/(LN(2)/25)*Calculateur!V51*Calculateur!X51*VLOOKUP('Données projet'!$B$9,Paramètres!$A$1:$I$89,3,0)*0.475*44/12</f>
        <v>0</v>
      </c>
      <c r="AB51" s="21">
        <f>EXP(-LN(2)/2)*AB50+(1-EXP(-LN(2)/2))/(LN(2)/2)*V51*Y51*VLOOKUP('Données projet'!$B$9,Paramètres!$A$1:$I$89,3,0)*0.475*44/12</f>
        <v>0</v>
      </c>
      <c r="AC51" s="22">
        <f t="shared" si="3"/>
        <v>3.2439548730640455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11</v>
      </c>
      <c r="AI51" s="13">
        <f>IF('Données projet'!$A$62&gt;35,AI50+AH51-AQ50,IF(A51&lt;'Données projet'!$A$62,$AF$205^A51,IF(A51='Données projet'!$A$62,'Données projet'!$B$62,AI50+AH51-AQ50)))</f>
        <v>208.99999999999997</v>
      </c>
      <c r="AJ51" s="13">
        <f>AI51*VLOOKUP('Données projet'!$B$10,Paramètres!$A$1:$I$89,3,0)*VLOOKUP('Données projet'!$B$10,Paramètres!$A$1:$I$89,5,0)</f>
        <v>211.92599999999999</v>
      </c>
      <c r="AK51" s="13">
        <f t="shared" si="35"/>
        <v>52.356241262970116</v>
      </c>
      <c r="AL51" s="20">
        <f t="shared" si="4"/>
        <v>460.29157019967289</v>
      </c>
      <c r="AM51" s="59">
        <f t="shared" si="5"/>
        <v>753.6249035330062</v>
      </c>
      <c r="AN51" s="59">
        <f ca="1">AVERAGE(OFFSET($AM$3,0,0,'Données projet'!$E$10+1,1))-AVERAGE(OFFSET($H$3,0,0,'Données projet'!$E$10+1,1))</f>
        <v>356.320269084225</v>
      </c>
      <c r="AO51" s="59">
        <f t="shared" si="36"/>
        <v>208.88199836488002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4.8472888907853573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4.8472888907853573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2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43.57080000000002</v>
      </c>
      <c r="D52" s="11">
        <f t="shared" si="32"/>
        <v>12.940326634618209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436.22624068828105</v>
      </c>
      <c r="H52" s="67">
        <f t="shared" si="1"/>
        <v>391.75687888862672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8.1999999999999993</v>
      </c>
      <c r="N52" s="13">
        <f>IF('Données projet'!$A$36&gt;35,N51+M52-V51,IF(A52&lt;'Données projet'!$A$36,$K$205^A52,IF(A52='Données projet'!$A$36,'Données projet'!$B$36,N51+M52-V51)))</f>
        <v>169.80000000000004</v>
      </c>
      <c r="O52" s="13">
        <f>N52*VLOOKUP('Données projet'!$B$9,Paramètres!$A$1:$I$89,3,0)*VLOOKUP('Données projet'!$B$9,Paramètres!$A$1:$I$89,5,0)</f>
        <v>153.63504000000003</v>
      </c>
      <c r="P52" s="13">
        <f t="shared" si="33"/>
        <v>39.403506785222667</v>
      </c>
      <c r="Q52" s="20">
        <f t="shared" si="53"/>
        <v>336.20880231759622</v>
      </c>
      <c r="R52" s="59">
        <f t="shared" si="0"/>
        <v>629.54213565092959</v>
      </c>
      <c r="S52" s="59">
        <f ca="1">AVERAGE(OFFSET($R$3,0,0,'Données projet'!$E$9+1,1))-AVERAGE(OFFSET($H$3,0,0,'Données projet'!$E$9+1,1))</f>
        <v>221.63427112734911</v>
      </c>
      <c r="T52" s="59">
        <f t="shared" si="34"/>
        <v>133.63266168802033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3.1803428966203597</v>
      </c>
      <c r="AA52" s="21">
        <f>EXP(-LN(2)/25)*AA51+(1-EXP(-LN(2)/25))/(LN(2)/25)*Calculateur!V52*Calculateur!X52*VLOOKUP('Données projet'!$B$9,Paramètres!$A$1:$I$89,3,0)*0.475*44/12</f>
        <v>0</v>
      </c>
      <c r="AB52" s="21">
        <f>EXP(-LN(2)/2)*AB51+(1-EXP(-LN(2)/2))/(LN(2)/2)*V52*Y52*VLOOKUP('Données projet'!$B$9,Paramètres!$A$1:$I$89,3,0)*0.475*44/12</f>
        <v>0</v>
      </c>
      <c r="AC52" s="22">
        <f t="shared" si="3"/>
        <v>3.1803428966203597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11</v>
      </c>
      <c r="AI52" s="13">
        <f>IF('Données projet'!$A$62&gt;35,AI51+AH52-AQ51,IF(A52&lt;'Données projet'!$A$62,$AF$205^A52,IF(A52='Données projet'!$A$62,'Données projet'!$B$62,AI51+AH52-AQ51)))</f>
        <v>219.99999999999997</v>
      </c>
      <c r="AJ52" s="13">
        <f>AI52*VLOOKUP('Données projet'!$B$10,Paramètres!$A$1:$I$89,3,0)*VLOOKUP('Données projet'!$B$10,Paramètres!$A$1:$I$89,5,0)</f>
        <v>223.08</v>
      </c>
      <c r="AK52" s="13">
        <f t="shared" si="35"/>
        <v>54.783765878062667</v>
      </c>
      <c r="AL52" s="20">
        <f t="shared" si="4"/>
        <v>483.94605890429244</v>
      </c>
      <c r="AM52" s="59">
        <f t="shared" si="5"/>
        <v>777.27939223762576</v>
      </c>
      <c r="AN52" s="59">
        <f ca="1">AVERAGE(OFFSET($AM$3,0,0,'Données projet'!$E$10+1,1))-AVERAGE(OFFSET($H$3,0,0,'Données projet'!$E$10+1,1))</f>
        <v>356.320269084225</v>
      </c>
      <c r="AO52" s="59">
        <f t="shared" si="36"/>
        <v>208.88199836488002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4.7522365121913444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4.7522365121913444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2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44.460000000000022</v>
      </c>
      <c r="D53" s="11">
        <f t="shared" si="32"/>
        <v>13.17339997701186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444.88940333131978</v>
      </c>
      <c r="H53" s="67">
        <f t="shared" si="1"/>
        <v>393.71150495996233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178</v>
      </c>
      <c r="L53" s="12">
        <f>VLOOKUP(A53,'Données projet'!$A$35:$I$55,9,0)</f>
        <v>8.1999999999999993</v>
      </c>
      <c r="M53" s="12">
        <f t="array" ref="M53">INDEX(L:L,MIN(IF(ISNUMBER(L53:L249),ROW(L53:L249),"")))</f>
        <v>8.1999999999999993</v>
      </c>
      <c r="N53" s="13">
        <f>IF('Données projet'!$A$36&gt;35,N52+M53-V52,IF(A53&lt;'Données projet'!$A$36,$K$205^A53,IF(A53='Données projet'!$A$36,'Données projet'!$B$36,N52+M53-V52)))</f>
        <v>178.00000000000003</v>
      </c>
      <c r="O53" s="13">
        <f>N53*VLOOKUP('Données projet'!$B$9,Paramètres!$A$1:$I$89,3,0)*VLOOKUP('Données projet'!$B$9,Paramètres!$A$1:$I$89,5,0)</f>
        <v>161.05440000000002</v>
      </c>
      <c r="P53" s="13">
        <f t="shared" si="33"/>
        <v>41.080247278685491</v>
      </c>
      <c r="Q53" s="20">
        <f t="shared" si="53"/>
        <v>352.05117734371061</v>
      </c>
      <c r="R53" s="59">
        <f t="shared" si="0"/>
        <v>645.38451067704386</v>
      </c>
      <c r="S53" s="59">
        <f ca="1">AVERAGE(OFFSET($R$3,0,0,'Données projet'!$E$9+1,1))-AVERAGE(OFFSET($H$3,0,0,'Données projet'!$E$9+1,1))</f>
        <v>221.63427112734911</v>
      </c>
      <c r="T53" s="59">
        <f t="shared" si="34"/>
        <v>133.63266168802033</v>
      </c>
      <c r="U53" s="15">
        <f>IF(ISNA(VLOOKUP(A53,'Données projet'!$A$35:$I$55,3,0)),0,VLOOKUP(A53,'Données projet'!$A$35:$I$55,3,0))</f>
        <v>7</v>
      </c>
      <c r="V53" s="15">
        <f>IF(ISNA(VLOOKUP(A53,'Données projet'!$A$35:$I$55,4,0)),0,VLOOKUP(A53,'Données projet'!$A$35:$I$55,4,0))</f>
        <v>21</v>
      </c>
      <c r="W53" s="16">
        <f>IF(ISNA(VLOOKUP(A53,'Données projet'!$A$35:$I$55,5,0)),0%,VLOOKUP(A53,'Données projet'!$A$35:$I$55,5,0)*VLOOKUP('Données projet'!$B$9,Paramètres!$A$1:$I$89,7,0))</f>
        <v>0.129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5.8276002970136886</v>
      </c>
      <c r="AA53" s="21">
        <f>EXP(-LN(2)/25)*AA52+(1-EXP(-LN(2)/25))/(LN(2)/25)*Calculateur!V53*Calculateur!X53*VLOOKUP('Données projet'!$B$9,Paramètres!$A$1:$I$89,3,0)*0.475*44/12</f>
        <v>0</v>
      </c>
      <c r="AB53" s="21">
        <f>EXP(-LN(2)/2)*AB52+(1-EXP(-LN(2)/2))/(LN(2)/2)*V53*Y53*VLOOKUP('Données projet'!$B$9,Paramètres!$A$1:$I$89,3,0)*0.475*44/12</f>
        <v>0</v>
      </c>
      <c r="AC53" s="22">
        <f t="shared" si="3"/>
        <v>5.8276002970136886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231</v>
      </c>
      <c r="AG53" s="12">
        <f>VLOOKUP(A53,'Données projet'!$A$61:$I$81,9,0)</f>
        <v>11</v>
      </c>
      <c r="AH53" s="12">
        <f t="array" ref="AH53">INDEX(AG:AG,MIN(IF(ISNUMBER(AG53:AG249),ROW(AG53:AG249),"")))</f>
        <v>11</v>
      </c>
      <c r="AI53" s="13">
        <f>IF('Données projet'!$A$62&gt;35,AI52+AH53-AQ52,IF(A53&lt;'Données projet'!$A$62,$AF$205^A53,IF(A53='Données projet'!$A$62,'Données projet'!$B$62,AI52+AH53-AQ52)))</f>
        <v>230.99999999999997</v>
      </c>
      <c r="AJ53" s="13">
        <f>AI53*VLOOKUP('Données projet'!$B$10,Paramètres!$A$1:$I$89,3,0)*VLOOKUP('Données projet'!$B$10,Paramètres!$A$1:$I$89,5,0)</f>
        <v>234.23399999999998</v>
      </c>
      <c r="AK53" s="13">
        <f t="shared" si="35"/>
        <v>57.197197133603488</v>
      </c>
      <c r="AL53" s="20">
        <f t="shared" si="4"/>
        <v>507.5760016743593</v>
      </c>
      <c r="AM53" s="59">
        <f t="shared" si="5"/>
        <v>800.90933500769256</v>
      </c>
      <c r="AN53" s="59">
        <f ca="1">AVERAGE(OFFSET($AM$3,0,0,'Données projet'!$E$10+1,1))-AVERAGE(OFFSET($H$3,0,0,'Données projet'!$E$10+1,1))</f>
        <v>356.320269084225</v>
      </c>
      <c r="AO53" s="59">
        <f t="shared" si="36"/>
        <v>208.88199836488002</v>
      </c>
      <c r="AP53" s="15">
        <f>IF(ISNA(VLOOKUP(A53,'Données projet'!$A$61:$I$81,3,0)),0,VLOOKUP(A53,'Données projet'!$A$61:$I$81,3,0))</f>
        <v>7</v>
      </c>
      <c r="AQ53" s="15">
        <f>IF(ISNA(VLOOKUP(A53,'Données projet'!$A$61:$I$81,4,0)),0,VLOOKUP(A53,'Données projet'!$A$61:$I$81,4,0))</f>
        <v>28</v>
      </c>
      <c r="AR53" s="16">
        <f>IF(ISNA(VLOOKUP(A53,'Données projet'!$A$61:$I$81,5,0)),0%,VLOOKUP(A53,'Données projet'!$A$61:$I$81,5,0)*VLOOKUP('Données projet'!$B$10,Paramètres!$A$1:$I$89,7,0))</f>
        <v>0.129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8.7079084897905723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8.7079084897905723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2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45.349200000000025</v>
      </c>
      <c r="D54" s="11">
        <f t="shared" si="32"/>
        <v>13.405931317559242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453.54838210045756</v>
      </c>
      <c r="H54" s="67">
        <f t="shared" si="1"/>
        <v>395.66518704474902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8</v>
      </c>
      <c r="N54" s="13">
        <f>IF('Données projet'!$A$36&gt;35,N53+M54-V53,IF(A54&lt;'Données projet'!$A$36,$K$205^A54,IF(A54='Données projet'!$A$36,'Données projet'!$B$36,N53+M54-V53)))</f>
        <v>165.00000000000003</v>
      </c>
      <c r="O54" s="13">
        <f>N54*VLOOKUP('Données projet'!$B$9,Paramètres!$A$1:$I$89,3,0)*VLOOKUP('Données projet'!$B$9,Paramètres!$A$1:$I$89,5,0)</f>
        <v>149.292</v>
      </c>
      <c r="P54" s="13">
        <f t="shared" si="33"/>
        <v>38.417645803815446</v>
      </c>
      <c r="Q54" s="20">
        <f t="shared" si="53"/>
        <v>326.92763310831185</v>
      </c>
      <c r="R54" s="59">
        <f t="shared" si="0"/>
        <v>620.26096644164522</v>
      </c>
      <c r="S54" s="59">
        <f ca="1">AVERAGE(OFFSET($R$3,0,0,'Données projet'!$E$9+1,1))-AVERAGE(OFFSET($H$3,0,0,'Données projet'!$E$9+1,1))</f>
        <v>221.63427112734911</v>
      </c>
      <c r="T54" s="59">
        <f t="shared" si="34"/>
        <v>133.63266168802033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5.713324609674455</v>
      </c>
      <c r="AA54" s="21">
        <f>EXP(-LN(2)/25)*AA53+(1-EXP(-LN(2)/25))/(LN(2)/25)*Calculateur!V54*Calculateur!X54*VLOOKUP('Données projet'!$B$9,Paramètres!$A$1:$I$89,3,0)*0.475*44/12</f>
        <v>0</v>
      </c>
      <c r="AB54" s="21">
        <f>EXP(-LN(2)/2)*AB53+(1-EXP(-LN(2)/2))/(LN(2)/2)*V54*Y54*VLOOKUP('Données projet'!$B$9,Paramètres!$A$1:$I$89,3,0)*0.475*44/12</f>
        <v>0</v>
      </c>
      <c r="AC54" s="22">
        <f t="shared" si="3"/>
        <v>5.713324609674455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10.199999999999999</v>
      </c>
      <c r="AI54" s="13">
        <f>IF('Données projet'!$A$62&gt;35,AI53+AH54-AQ53,IF(A54&lt;'Données projet'!$A$62,$AF$205^A54,IF(A54='Données projet'!$A$62,'Données projet'!$B$62,AI53+AH54-AQ53)))</f>
        <v>213.19999999999996</v>
      </c>
      <c r="AJ54" s="13">
        <f>AI54*VLOOKUP('Données projet'!$B$10,Paramètres!$A$1:$I$89,3,0)*VLOOKUP('Données projet'!$B$10,Paramètres!$A$1:$I$89,5,0)</f>
        <v>216.1848</v>
      </c>
      <c r="AK54" s="13">
        <f t="shared" si="35"/>
        <v>53.284828478170375</v>
      </c>
      <c r="AL54" s="20">
        <f t="shared" si="4"/>
        <v>469.32626959947999</v>
      </c>
      <c r="AM54" s="59">
        <f t="shared" si="5"/>
        <v>762.6596029328133</v>
      </c>
      <c r="AN54" s="59">
        <f ca="1">AVERAGE(OFFSET($AM$3,0,0,'Données projet'!$E$10+1,1))-AVERAGE(OFFSET($H$3,0,0,'Données projet'!$E$10+1,1))</f>
        <v>356.320269084225</v>
      </c>
      <c r="AO54" s="59">
        <f t="shared" si="36"/>
        <v>208.88199836488002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8.5371517156055106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8.5371517156055106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2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46.238400000000027</v>
      </c>
      <c r="D55" s="11">
        <f t="shared" si="32"/>
        <v>13.637932508790366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462.20326848890824</v>
      </c>
      <c r="H55" s="67">
        <f t="shared" si="1"/>
        <v>397.61794578614325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8</v>
      </c>
      <c r="N55" s="13">
        <f>IF('Données projet'!$A$36&gt;35,N54+M55-V54,IF(A55&lt;'Données projet'!$A$36,$K$205^A55,IF(A55='Données projet'!$A$36,'Données projet'!$B$36,N54+M55-V54)))</f>
        <v>173.00000000000003</v>
      </c>
      <c r="O55" s="13">
        <f>N55*VLOOKUP('Données projet'!$B$9,Paramètres!$A$1:$I$89,3,0)*VLOOKUP('Données projet'!$B$9,Paramètres!$A$1:$I$89,5,0)</f>
        <v>156.53040000000001</v>
      </c>
      <c r="P55" s="13">
        <f t="shared" si="33"/>
        <v>40.058941713182037</v>
      </c>
      <c r="Q55" s="20">
        <f t="shared" si="53"/>
        <v>342.39310348379212</v>
      </c>
      <c r="R55" s="59">
        <f t="shared" si="0"/>
        <v>635.72643681712543</v>
      </c>
      <c r="S55" s="59">
        <f ca="1">AVERAGE(OFFSET($R$3,0,0,'Données projet'!$E$9+1,1))-AVERAGE(OFFSET($H$3,0,0,'Données projet'!$E$9+1,1))</f>
        <v>221.63427112734911</v>
      </c>
      <c r="T55" s="59">
        <f t="shared" si="34"/>
        <v>133.63266168802033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5.6012897988626573</v>
      </c>
      <c r="AA55" s="21">
        <f>EXP(-LN(2)/25)*AA54+(1-EXP(-LN(2)/25))/(LN(2)/25)*Calculateur!V55*Calculateur!X55*VLOOKUP('Données projet'!$B$9,Paramètres!$A$1:$I$89,3,0)*0.475*44/12</f>
        <v>0</v>
      </c>
      <c r="AB55" s="21">
        <f>EXP(-LN(2)/2)*AB54+(1-EXP(-LN(2)/2))/(LN(2)/2)*V55*Y55*VLOOKUP('Données projet'!$B$9,Paramètres!$A$1:$I$89,3,0)*0.475*44/12</f>
        <v>0</v>
      </c>
      <c r="AC55" s="22">
        <f t="shared" si="3"/>
        <v>5.6012897988626573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10.199999999999999</v>
      </c>
      <c r="AI55" s="13">
        <f>IF('Données projet'!$A$62&gt;35,AI54+AH55-AQ54,IF(A55&lt;'Données projet'!$A$62,$AF$205^A55,IF(A55='Données projet'!$A$62,'Données projet'!$B$62,AI54+AH55-AQ54)))</f>
        <v>223.39999999999995</v>
      </c>
      <c r="AJ55" s="13">
        <f>AI55*VLOOKUP('Données projet'!$B$10,Paramètres!$A$1:$I$89,3,0)*VLOOKUP('Données projet'!$B$10,Paramètres!$A$1:$I$89,5,0)</f>
        <v>226.52759999999998</v>
      </c>
      <c r="AK55" s="13">
        <f t="shared" si="35"/>
        <v>55.531204013656371</v>
      </c>
      <c r="AL55" s="20">
        <f t="shared" si="4"/>
        <v>491.25241699045142</v>
      </c>
      <c r="AM55" s="59">
        <f t="shared" si="5"/>
        <v>784.58575032378474</v>
      </c>
      <c r="AN55" s="59">
        <f ca="1">AVERAGE(OFFSET($AM$3,0,0,'Données projet'!$E$10+1,1))-AVERAGE(OFFSET($H$3,0,0,'Données projet'!$E$10+1,1))</f>
        <v>356.320269084225</v>
      </c>
      <c r="AO55" s="59">
        <f t="shared" si="36"/>
        <v>208.88199836488002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8.3697433776108703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8.3697433776108703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2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47.127600000000029</v>
      </c>
      <c r="D56" s="11">
        <f t="shared" si="32"/>
        <v>13.869414921287754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470.85415026958998</v>
      </c>
      <c r="H56" s="67">
        <f t="shared" si="1"/>
        <v>399.56980098790956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8</v>
      </c>
      <c r="N56" s="13">
        <f>IF('Données projet'!$A$36&gt;35,N55+M56-V55,IF(A56&lt;'Données projet'!$A$36,$K$205^A56,IF(A56='Données projet'!$A$36,'Données projet'!$B$36,N55+M56-V55)))</f>
        <v>181.00000000000003</v>
      </c>
      <c r="O56" s="13">
        <f>N56*VLOOKUP('Données projet'!$B$9,Paramètres!$A$1:$I$89,3,0)*VLOOKUP('Données projet'!$B$9,Paramètres!$A$1:$I$89,5,0)</f>
        <v>163.7688</v>
      </c>
      <c r="P56" s="13">
        <f t="shared" si="33"/>
        <v>41.691423503509803</v>
      </c>
      <c r="Q56" s="20">
        <f t="shared" si="53"/>
        <v>357.84322260194625</v>
      </c>
      <c r="R56" s="59">
        <f t="shared" si="0"/>
        <v>651.17655593527957</v>
      </c>
      <c r="S56" s="59">
        <f ca="1">AVERAGE(OFFSET($R$3,0,0,'Données projet'!$E$9+1,1))-AVERAGE(OFFSET($H$3,0,0,'Données projet'!$E$9+1,1))</f>
        <v>221.63427112734911</v>
      </c>
      <c r="T56" s="59">
        <f t="shared" si="34"/>
        <v>133.63266168802033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5.4914519223563918</v>
      </c>
      <c r="AA56" s="21">
        <f>EXP(-LN(2)/25)*AA55+(1-EXP(-LN(2)/25))/(LN(2)/25)*Calculateur!V56*Calculateur!X56*VLOOKUP('Données projet'!$B$9,Paramètres!$A$1:$I$89,3,0)*0.475*44/12</f>
        <v>0</v>
      </c>
      <c r="AB56" s="21">
        <f>EXP(-LN(2)/2)*AB55+(1-EXP(-LN(2)/2))/(LN(2)/2)*V56*Y56*VLOOKUP('Données projet'!$B$9,Paramètres!$A$1:$I$89,3,0)*0.475*44/12</f>
        <v>0</v>
      </c>
      <c r="AC56" s="22">
        <f t="shared" si="3"/>
        <v>5.4914519223563918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10.199999999999999</v>
      </c>
      <c r="AI56" s="13">
        <f>IF('Données projet'!$A$62&gt;35,AI55+AH56-AQ55,IF(A56&lt;'Données projet'!$A$62,$AF$205^A56,IF(A56='Données projet'!$A$62,'Données projet'!$B$62,AI55+AH56-AQ55)))</f>
        <v>233.59999999999994</v>
      </c>
      <c r="AJ56" s="13">
        <f>AI56*VLOOKUP('Données projet'!$B$10,Paramètres!$A$1:$I$89,3,0)*VLOOKUP('Données projet'!$B$10,Paramètres!$A$1:$I$89,5,0)</f>
        <v>236.87039999999996</v>
      </c>
      <c r="AK56" s="13">
        <f t="shared" si="35"/>
        <v>57.765668276484661</v>
      </c>
      <c r="AL56" s="20">
        <f t="shared" si="4"/>
        <v>513.15781891487734</v>
      </c>
      <c r="AM56" s="59">
        <f t="shared" si="5"/>
        <v>806.49115224821071</v>
      </c>
      <c r="AN56" s="59">
        <f ca="1">AVERAGE(OFFSET($AM$3,0,0,'Données projet'!$E$10+1,1))-AVERAGE(OFFSET($H$3,0,0,'Données projet'!$E$10+1,1))</f>
        <v>356.320269084225</v>
      </c>
      <c r="AO56" s="59">
        <f t="shared" si="36"/>
        <v>208.88199836488002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8.2056178150152999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8.2056178150152999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2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48.016800000000032</v>
      </c>
      <c r="D57" s="11">
        <f t="shared" si="32"/>
        <v>14.100389472000563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479.50111171368889</v>
      </c>
      <c r="H57" s="67">
        <f t="shared" si="1"/>
        <v>401.52077166373437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8</v>
      </c>
      <c r="N57" s="13">
        <f>IF('Données projet'!$A$36&gt;35,N56+M57-V56,IF(A57&lt;'Données projet'!$A$36,$K$205^A57,IF(A57='Données projet'!$A$36,'Données projet'!$B$36,N56+M57-V56)))</f>
        <v>189.00000000000003</v>
      </c>
      <c r="O57" s="13">
        <f>N57*VLOOKUP('Données projet'!$B$9,Paramètres!$A$1:$I$89,3,0)*VLOOKUP('Données projet'!$B$9,Paramètres!$A$1:$I$89,5,0)</f>
        <v>171.00720000000001</v>
      </c>
      <c r="P57" s="13">
        <f t="shared" si="33"/>
        <v>43.315525267338089</v>
      </c>
      <c r="Q57" s="20">
        <f t="shared" si="53"/>
        <v>373.27874650728057</v>
      </c>
      <c r="R57" s="59">
        <f t="shared" si="0"/>
        <v>666.61207984061389</v>
      </c>
      <c r="S57" s="59">
        <f ca="1">AVERAGE(OFFSET($R$3,0,0,'Données projet'!$E$9+1,1))-AVERAGE(OFFSET($H$3,0,0,'Données projet'!$E$9+1,1))</f>
        <v>221.63427112734911</v>
      </c>
      <c r="T57" s="59">
        <f t="shared" si="34"/>
        <v>133.63266168802033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5.3837678996139244</v>
      </c>
      <c r="AA57" s="21">
        <f>EXP(-LN(2)/25)*AA56+(1-EXP(-LN(2)/25))/(LN(2)/25)*Calculateur!V57*Calculateur!X57*VLOOKUP('Données projet'!$B$9,Paramètres!$A$1:$I$89,3,0)*0.475*44/12</f>
        <v>0</v>
      </c>
      <c r="AB57" s="21">
        <f>EXP(-LN(2)/2)*AB56+(1-EXP(-LN(2)/2))/(LN(2)/2)*V57*Y57*VLOOKUP('Données projet'!$B$9,Paramètres!$A$1:$I$89,3,0)*0.475*44/12</f>
        <v>0</v>
      </c>
      <c r="AC57" s="22">
        <f t="shared" si="3"/>
        <v>5.3837678996139244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10.199999999999999</v>
      </c>
      <c r="AI57" s="13">
        <f>IF('Données projet'!$A$62&gt;35,AI56+AH57-AQ56,IF(A57&lt;'Données projet'!$A$62,$AF$205^A57,IF(A57='Données projet'!$A$62,'Données projet'!$B$62,AI56+AH57-AQ56)))</f>
        <v>243.79999999999993</v>
      </c>
      <c r="AJ57" s="13">
        <f>AI57*VLOOKUP('Données projet'!$B$10,Paramètres!$A$1:$I$89,3,0)*VLOOKUP('Données projet'!$B$10,Paramètres!$A$1:$I$89,5,0)</f>
        <v>247.21319999999997</v>
      </c>
      <c r="AK57" s="13">
        <f t="shared" si="35"/>
        <v>59.988800807398761</v>
      </c>
      <c r="AL57" s="20">
        <f t="shared" si="4"/>
        <v>535.04348473955281</v>
      </c>
      <c r="AM57" s="59">
        <f t="shared" si="5"/>
        <v>828.37681807288618</v>
      </c>
      <c r="AN57" s="59">
        <f ca="1">AVERAGE(OFFSET($AM$3,0,0,'Données projet'!$E$10+1,1))-AVERAGE(OFFSET($H$3,0,0,'Données projet'!$E$10+1,1))</f>
        <v>356.320269084225</v>
      </c>
      <c r="AO57" s="59">
        <f t="shared" si="36"/>
        <v>208.88199836488002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8.0447106545955211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8.0447106545955211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2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48.906000000000034</v>
      </c>
      <c r="D58" s="11">
        <f t="shared" si="32"/>
        <v>14.330866650402033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488.14423379257738</v>
      </c>
      <c r="H58" s="67">
        <f t="shared" si="1"/>
        <v>403.47087608278355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>
        <f>VLOOKUP(A58,'Données projet'!$A$35:$I$55,2,0)</f>
        <v>197</v>
      </c>
      <c r="L58" s="12">
        <f>VLOOKUP(A58,'Données projet'!$A$35:$I$55,9,0)</f>
        <v>8</v>
      </c>
      <c r="M58" s="12">
        <f t="array" ref="M58">INDEX(L:L,MIN(IF(ISNUMBER(L58:L254),ROW(L58:L254),"")))</f>
        <v>8</v>
      </c>
      <c r="N58" s="13">
        <f>IF('Données projet'!$A$36&gt;35,N57+M58-V57,IF(A58&lt;'Données projet'!$A$36,$K$205^A58,IF(A58='Données projet'!$A$36,'Données projet'!$B$36,N57+M58-V57)))</f>
        <v>197.00000000000003</v>
      </c>
      <c r="O58" s="13">
        <f>N58*VLOOKUP('Données projet'!$B$9,Paramètres!$A$1:$I$89,3,0)*VLOOKUP('Données projet'!$B$9,Paramètres!$A$1:$I$89,5,0)</f>
        <v>178.24560000000002</v>
      </c>
      <c r="P58" s="13">
        <f t="shared" si="33"/>
        <v>44.931642269910427</v>
      </c>
      <c r="Q58" s="20">
        <f t="shared" si="53"/>
        <v>388.70036362009404</v>
      </c>
      <c r="R58" s="59">
        <f t="shared" si="0"/>
        <v>682.03369695342735</v>
      </c>
      <c r="S58" s="59">
        <f ca="1">AVERAGE(OFFSET($R$3,0,0,'Données projet'!$E$9+1,1))-AVERAGE(OFFSET($H$3,0,0,'Données projet'!$E$9+1,1))</f>
        <v>221.63427112734911</v>
      </c>
      <c r="T58" s="59">
        <f t="shared" si="34"/>
        <v>133.63266168802033</v>
      </c>
      <c r="U58" s="15">
        <f>IF(ISNA(VLOOKUP(A58,'Données projet'!$A$35:$I$55,3,0)),0,VLOOKUP(A58,'Données projet'!$A$35:$I$55,3,0))</f>
        <v>8</v>
      </c>
      <c r="V58" s="15">
        <f>IF(ISNA(VLOOKUP(A58,'Données projet'!$A$35:$I$55,4,0)),0,VLOOKUP(A58,'Données projet'!$A$35:$I$55,4,0))</f>
        <v>21</v>
      </c>
      <c r="W58" s="16">
        <f>IF(ISNA(VLOOKUP(A58,'Données projet'!$A$35:$I$55,5,0)),0%,VLOOKUP(A58,'Données projet'!$A$35:$I$55,5,0)*VLOOKUP('Données projet'!$B$9,Paramètres!$A$1:$I$89,7,0))</f>
        <v>0.129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7.9878174796550976</v>
      </c>
      <c r="AA58" s="21">
        <f>EXP(-LN(2)/25)*AA57+(1-EXP(-LN(2)/25))/(LN(2)/25)*Calculateur!V58*Calculateur!X58*VLOOKUP('Données projet'!$B$9,Paramètres!$A$1:$I$89,3,0)*0.475*44/12</f>
        <v>0</v>
      </c>
      <c r="AB58" s="21">
        <f>EXP(-LN(2)/2)*AB57+(1-EXP(-LN(2)/2))/(LN(2)/2)*V58*Y58*VLOOKUP('Données projet'!$B$9,Paramètres!$A$1:$I$89,3,0)*0.475*44/12</f>
        <v>0</v>
      </c>
      <c r="AC58" s="22">
        <f t="shared" si="3"/>
        <v>7.9878174796550976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>
        <f>VLOOKUP(A58,'Données projet'!$A$61:$I$81,2,0)</f>
        <v>254</v>
      </c>
      <c r="AG58" s="12">
        <f>VLOOKUP(A58,'Données projet'!$A$61:$I$81,9,0)</f>
        <v>10.199999999999999</v>
      </c>
      <c r="AH58" s="12">
        <f t="array" ref="AH58">INDEX(AG:AG,MIN(IF(ISNUMBER(AG58:AG254),ROW(AG58:AG254),"")))</f>
        <v>10.199999999999999</v>
      </c>
      <c r="AI58" s="13">
        <f>IF('Données projet'!$A$62&gt;35,AI57+AH58-AQ57,IF(A58&lt;'Données projet'!$A$62,$AF$205^A58,IF(A58='Données projet'!$A$62,'Données projet'!$B$62,AI57+AH58-AQ57)))</f>
        <v>253.99999999999991</v>
      </c>
      <c r="AJ58" s="13">
        <f>AI58*VLOOKUP('Données projet'!$B$10,Paramètres!$A$1:$I$89,3,0)*VLOOKUP('Données projet'!$B$10,Paramètres!$A$1:$I$89,5,0)</f>
        <v>257.55599999999993</v>
      </c>
      <c r="AK58" s="13">
        <f t="shared" si="35"/>
        <v>62.201129910568184</v>
      </c>
      <c r="AL58" s="20">
        <f t="shared" si="4"/>
        <v>556.91033459423932</v>
      </c>
      <c r="AM58" s="59">
        <f t="shared" si="5"/>
        <v>850.24366792757269</v>
      </c>
      <c r="AN58" s="59">
        <f ca="1">AVERAGE(OFFSET($AM$3,0,0,'Données projet'!$E$10+1,1))-AVERAGE(OFFSET($H$3,0,0,'Données projet'!$E$10+1,1))</f>
        <v>356.320269084225</v>
      </c>
      <c r="AO58" s="59">
        <f t="shared" si="36"/>
        <v>208.88199836488002</v>
      </c>
      <c r="AP58" s="15">
        <f>IF(ISNA(VLOOKUP(A58,'Données projet'!$A$61:$I$81,3,0)),0,VLOOKUP(A58,'Données projet'!$A$61:$I$81,3,0))</f>
        <v>8</v>
      </c>
      <c r="AQ58" s="15">
        <f>IF(ISNA(VLOOKUP(A58,'Données projet'!$A$61:$I$81,4,0)),0,VLOOKUP(A58,'Données projet'!$A$61:$I$81,4,0))</f>
        <v>28</v>
      </c>
      <c r="AR58" s="16">
        <f>IF(ISNA(VLOOKUP(A58,'Données projet'!$A$61:$I$81,5,0)),0%,VLOOKUP(A58,'Données projet'!$A$61:$I$81,5,0)*VLOOKUP('Données projet'!$B$10,Paramètres!$A$1:$I$89,7,0))</f>
        <v>0.129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11.935819222473135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11.935819222473135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2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49.795200000000037</v>
      </c>
      <c r="D59" s="11">
        <f t="shared" si="32"/>
        <v>14.560856542690786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496.78359436463097</v>
      </c>
      <c r="H59" s="67">
        <f t="shared" si="1"/>
        <v>405.42013181185314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7.6</v>
      </c>
      <c r="N59" s="13">
        <f>IF('Données projet'!$A$36&gt;35,N58+M59-V58,IF(A59&lt;'Données projet'!$A$36,$K$205^A59,IF(A59='Données projet'!$A$36,'Données projet'!$B$36,N58+M59-V58)))</f>
        <v>183.60000000000002</v>
      </c>
      <c r="O59" s="13">
        <f>N59*VLOOKUP('Données projet'!$B$9,Paramètres!$A$1:$I$89,3,0)*VLOOKUP('Données projet'!$B$9,Paramètres!$A$1:$I$89,5,0)</f>
        <v>166.12128000000001</v>
      </c>
      <c r="P59" s="13">
        <f t="shared" si="33"/>
        <v>42.220155874487318</v>
      </c>
      <c r="Q59" s="20">
        <f t="shared" si="53"/>
        <v>362.86133414806545</v>
      </c>
      <c r="R59" s="59">
        <f t="shared" si="0"/>
        <v>656.19466748139871</v>
      </c>
      <c r="S59" s="59">
        <f ca="1">AVERAGE(OFFSET($R$3,0,0,'Données projet'!$E$9+1,1))-AVERAGE(OFFSET($H$3,0,0,'Données projet'!$E$9+1,1))</f>
        <v>221.63427112734911</v>
      </c>
      <c r="T59" s="59">
        <f t="shared" si="34"/>
        <v>133.63266168802033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7.8311812509666447</v>
      </c>
      <c r="AA59" s="21">
        <f>EXP(-LN(2)/25)*AA58+(1-EXP(-LN(2)/25))/(LN(2)/25)*Calculateur!V59*Calculateur!X59*VLOOKUP('Données projet'!$B$9,Paramètres!$A$1:$I$89,3,0)*0.475*44/12</f>
        <v>0</v>
      </c>
      <c r="AB59" s="21">
        <f>EXP(-LN(2)/2)*AB58+(1-EXP(-LN(2)/2))/(LN(2)/2)*V59*Y59*VLOOKUP('Données projet'!$B$9,Paramètres!$A$1:$I$89,3,0)*0.475*44/12</f>
        <v>0</v>
      </c>
      <c r="AC59" s="22">
        <f t="shared" si="3"/>
        <v>7.8311812509666447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9.4</v>
      </c>
      <c r="AI59" s="13">
        <f>IF('Données projet'!$A$62&gt;35,AI58+AH59-AQ58,IF(A59&lt;'Données projet'!$A$62,$AF$205^A59,IF(A59='Données projet'!$A$62,'Données projet'!$B$62,AI58+AH59-AQ58)))</f>
        <v>235.39999999999992</v>
      </c>
      <c r="AJ59" s="13">
        <f>AI59*VLOOKUP('Données projet'!$B$10,Paramètres!$A$1:$I$89,3,0)*VLOOKUP('Données projet'!$B$10,Paramètres!$A$1:$I$89,5,0)</f>
        <v>238.69559999999996</v>
      </c>
      <c r="AK59" s="13">
        <f t="shared" si="35"/>
        <v>58.158793514165929</v>
      </c>
      <c r="AL59" s="20">
        <f t="shared" si="4"/>
        <v>517.02140203717238</v>
      </c>
      <c r="AM59" s="59">
        <f t="shared" si="5"/>
        <v>810.35473537050575</v>
      </c>
      <c r="AN59" s="59">
        <f ca="1">AVERAGE(OFFSET($AM$3,0,0,'Données projet'!$E$10+1,1))-AVERAGE(OFFSET($H$3,0,0,'Données projet'!$E$10+1,1))</f>
        <v>356.320269084225</v>
      </c>
      <c r="AO59" s="59">
        <f t="shared" si="36"/>
        <v>208.88199836488002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11.70176508765131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11.70176508765131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2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50.684400000000039</v>
      </c>
      <c r="D60" s="11">
        <f t="shared" si="32"/>
        <v>14.790368854214481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505.41926834832265</v>
      </c>
      <c r="H60" s="67">
        <f t="shared" si="1"/>
        <v>407.3685557544236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7.6</v>
      </c>
      <c r="N60" s="13">
        <f>IF('Données projet'!$A$36&gt;35,N59+M60-V59,IF(A60&lt;'Données projet'!$A$36,$K$205^A60,IF(A60='Données projet'!$A$36,'Données projet'!$B$36,N59+M60-V59)))</f>
        <v>191.20000000000002</v>
      </c>
      <c r="O60" s="13">
        <f>N60*VLOOKUP('Données projet'!$B$9,Paramètres!$A$1:$I$89,3,0)*VLOOKUP('Données projet'!$B$9,Paramètres!$A$1:$I$89,5,0)</f>
        <v>172.99776</v>
      </c>
      <c r="P60" s="13">
        <f t="shared" si="33"/>
        <v>43.760737531919609</v>
      </c>
      <c r="Q60" s="20">
        <f t="shared" si="53"/>
        <v>377.52104986809331</v>
      </c>
      <c r="R60" s="59">
        <f t="shared" si="0"/>
        <v>670.85438320142657</v>
      </c>
      <c r="S60" s="59">
        <f ca="1">AVERAGE(OFFSET($R$3,0,0,'Données projet'!$E$9+1,1))-AVERAGE(OFFSET($H$3,0,0,'Données projet'!$E$9+1,1))</f>
        <v>221.63427112734911</v>
      </c>
      <c r="T60" s="59">
        <f t="shared" si="34"/>
        <v>133.63266168802033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7.6776165631841069</v>
      </c>
      <c r="AA60" s="21">
        <f>EXP(-LN(2)/25)*AA59+(1-EXP(-LN(2)/25))/(LN(2)/25)*Calculateur!V60*Calculateur!X60*VLOOKUP('Données projet'!$B$9,Paramètres!$A$1:$I$89,3,0)*0.475*44/12</f>
        <v>0</v>
      </c>
      <c r="AB60" s="21">
        <f>EXP(-LN(2)/2)*AB59+(1-EXP(-LN(2)/2))/(LN(2)/2)*V60*Y60*VLOOKUP('Données projet'!$B$9,Paramètres!$A$1:$I$89,3,0)*0.475*44/12</f>
        <v>0</v>
      </c>
      <c r="AC60" s="22">
        <f t="shared" si="3"/>
        <v>7.6776165631841069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9.4</v>
      </c>
      <c r="AI60" s="13">
        <f>IF('Données projet'!$A$62&gt;35,AI59+AH60-AQ59,IF(A60&lt;'Données projet'!$A$62,$AF$205^A60,IF(A60='Données projet'!$A$62,'Données projet'!$B$62,AI59+AH60-AQ59)))</f>
        <v>244.79999999999993</v>
      </c>
      <c r="AJ60" s="13">
        <f>AI60*VLOOKUP('Données projet'!$B$10,Paramètres!$A$1:$I$89,3,0)*VLOOKUP('Données projet'!$B$10,Paramètres!$A$1:$I$89,5,0)</f>
        <v>248.22719999999993</v>
      </c>
      <c r="AK60" s="13">
        <f t="shared" si="35"/>
        <v>60.20616532763993</v>
      </c>
      <c r="AL60" s="20">
        <f t="shared" si="4"/>
        <v>537.18811127897277</v>
      </c>
      <c r="AM60" s="59">
        <f t="shared" si="5"/>
        <v>830.52144461230614</v>
      </c>
      <c r="AN60" s="59">
        <f ca="1">AVERAGE(OFFSET($AM$3,0,0,'Données projet'!$E$10+1,1))-AVERAGE(OFFSET($H$3,0,0,'Données projet'!$E$10+1,1))</f>
        <v>356.320269084225</v>
      </c>
      <c r="AO60" s="59">
        <f t="shared" si="36"/>
        <v>208.88199836488002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11.472300611654415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11.472300611654415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2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51.573600000000042</v>
      </c>
      <c r="D61" s="11">
        <f t="shared" si="32"/>
        <v>15.01941293027533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514.05132788282742</v>
      </c>
      <c r="H61" s="67">
        <f t="shared" si="1"/>
        <v>409.31616418689623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7.6</v>
      </c>
      <c r="N61" s="13">
        <f>IF('Données projet'!$A$36&gt;35,N60+M61-V60,IF(A61&lt;'Données projet'!$A$36,$K$205^A61,IF(A61='Données projet'!$A$36,'Données projet'!$B$36,N60+M61-V60)))</f>
        <v>198.8</v>
      </c>
      <c r="O61" s="13">
        <f>N61*VLOOKUP('Données projet'!$B$9,Paramètres!$A$1:$I$89,3,0)*VLOOKUP('Données projet'!$B$9,Paramètres!$A$1:$I$89,5,0)</f>
        <v>179.87424000000001</v>
      </c>
      <c r="P61" s="13">
        <f t="shared" si="33"/>
        <v>45.294205745553846</v>
      </c>
      <c r="Q61" s="20">
        <f t="shared" si="53"/>
        <v>392.16837634017293</v>
      </c>
      <c r="R61" s="59">
        <f t="shared" si="0"/>
        <v>685.50170967350618</v>
      </c>
      <c r="S61" s="59">
        <f ca="1">AVERAGE(OFFSET($R$3,0,0,'Données projet'!$E$9+1,1))-AVERAGE(OFFSET($H$3,0,0,'Données projet'!$E$9+1,1))</f>
        <v>221.63427112734911</v>
      </c>
      <c r="T61" s="59">
        <f t="shared" si="34"/>
        <v>133.63266168802033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7.5270631852637742</v>
      </c>
      <c r="AA61" s="21">
        <f>EXP(-LN(2)/25)*AA60+(1-EXP(-LN(2)/25))/(LN(2)/25)*Calculateur!V61*Calculateur!X61*VLOOKUP('Données projet'!$B$9,Paramètres!$A$1:$I$89,3,0)*0.475*44/12</f>
        <v>0</v>
      </c>
      <c r="AB61" s="21">
        <f>EXP(-LN(2)/2)*AB60+(1-EXP(-LN(2)/2))/(LN(2)/2)*V61*Y61*VLOOKUP('Données projet'!$B$9,Paramètres!$A$1:$I$89,3,0)*0.475*44/12</f>
        <v>0</v>
      </c>
      <c r="AC61" s="22">
        <f t="shared" si="3"/>
        <v>7.5270631852637742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9.4</v>
      </c>
      <c r="AI61" s="13">
        <f>IF('Données projet'!$A$62&gt;35,AI60+AH61-AQ60,IF(A61&lt;'Données projet'!$A$62,$AF$205^A61,IF(A61='Données projet'!$A$62,'Données projet'!$B$62,AI60+AH61-AQ60)))</f>
        <v>254.19999999999993</v>
      </c>
      <c r="AJ61" s="13">
        <f>AI61*VLOOKUP('Données projet'!$B$10,Paramètres!$A$1:$I$89,3,0)*VLOOKUP('Données projet'!$B$10,Paramètres!$A$1:$I$89,5,0)</f>
        <v>257.75879999999995</v>
      </c>
      <c r="AK61" s="13">
        <f t="shared" si="35"/>
        <v>62.244404241627407</v>
      </c>
      <c r="AL61" s="20">
        <f t="shared" si="4"/>
        <v>557.33891405416773</v>
      </c>
      <c r="AM61" s="59">
        <f t="shared" si="5"/>
        <v>850.6722473875011</v>
      </c>
      <c r="AN61" s="59">
        <f ca="1">AVERAGE(OFFSET($AM$3,0,0,'Données projet'!$E$10+1,1))-AVERAGE(OFFSET($H$3,0,0,'Données projet'!$E$10+1,1))</f>
        <v>356.320269084225</v>
      </c>
      <c r="AO61" s="59">
        <f t="shared" si="36"/>
        <v>208.88199836488002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11.247335794072308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11.247335794072308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2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52.462800000000044</v>
      </c>
      <c r="D62" s="11">
        <f t="shared" si="32"/>
        <v>15.247997775460181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522.67984247723678</v>
      </c>
      <c r="H62" s="67">
        <f t="shared" si="1"/>
        <v>411.26297279225986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7.6</v>
      </c>
      <c r="N62" s="13">
        <f>IF('Données projet'!$A$36&gt;35,N61+M62-V61,IF(A62&lt;'Données projet'!$A$36,$K$205^A62,IF(A62='Données projet'!$A$36,'Données projet'!$B$36,N61+M62-V61)))</f>
        <v>206.4</v>
      </c>
      <c r="O62" s="13">
        <f>N62*VLOOKUP('Données projet'!$B$9,Paramètres!$A$1:$I$89,3,0)*VLOOKUP('Données projet'!$B$9,Paramètres!$A$1:$I$89,5,0)</f>
        <v>186.75072</v>
      </c>
      <c r="P62" s="13">
        <f t="shared" si="33"/>
        <v>46.820863587839391</v>
      </c>
      <c r="Q62" s="20">
        <f t="shared" si="53"/>
        <v>406.80384141548689</v>
      </c>
      <c r="R62" s="59">
        <f t="shared" si="0"/>
        <v>700.13717474882014</v>
      </c>
      <c r="S62" s="59">
        <f ca="1">AVERAGE(OFFSET($R$3,0,0,'Données projet'!$E$9+1,1))-AVERAGE(OFFSET($H$3,0,0,'Données projet'!$E$9+1,1))</f>
        <v>221.63427112734911</v>
      </c>
      <c r="T62" s="59">
        <f t="shared" si="34"/>
        <v>133.63266168802033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7.3794620672559654</v>
      </c>
      <c r="AA62" s="21">
        <f>EXP(-LN(2)/25)*AA61+(1-EXP(-LN(2)/25))/(LN(2)/25)*Calculateur!V62*Calculateur!X62*VLOOKUP('Données projet'!$B$9,Paramètres!$A$1:$I$89,3,0)*0.475*44/12</f>
        <v>0</v>
      </c>
      <c r="AB62" s="21">
        <f>EXP(-LN(2)/2)*AB61+(1-EXP(-LN(2)/2))/(LN(2)/2)*V62*Y62*VLOOKUP('Données projet'!$B$9,Paramètres!$A$1:$I$89,3,0)*0.475*44/12</f>
        <v>0</v>
      </c>
      <c r="AC62" s="22">
        <f t="shared" si="3"/>
        <v>7.3794620672559654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9.4</v>
      </c>
      <c r="AI62" s="13">
        <f>IF('Données projet'!$A$62&gt;35,AI61+AH62-AQ61,IF(A62&lt;'Données projet'!$A$62,$AF$205^A62,IF(A62='Données projet'!$A$62,'Données projet'!$B$62,AI61+AH62-AQ61)))</f>
        <v>263.59999999999991</v>
      </c>
      <c r="AJ62" s="13">
        <f>AI62*VLOOKUP('Données projet'!$B$10,Paramètres!$A$1:$I$89,3,0)*VLOOKUP('Données projet'!$B$10,Paramètres!$A$1:$I$89,5,0)</f>
        <v>267.29039999999992</v>
      </c>
      <c r="AK62" s="13">
        <f t="shared" si="35"/>
        <v>64.273886654661325</v>
      </c>
      <c r="AL62" s="20">
        <f t="shared" si="4"/>
        <v>577.47446592353504</v>
      </c>
      <c r="AM62" s="59">
        <f t="shared" si="5"/>
        <v>870.80779925686829</v>
      </c>
      <c r="AN62" s="59">
        <f ca="1">AVERAGE(OFFSET($AM$3,0,0,'Données projet'!$E$10+1,1))-AVERAGE(OFFSET($H$3,0,0,'Données projet'!$E$10+1,1))</f>
        <v>356.320269084225</v>
      </c>
      <c r="AO62" s="59">
        <f t="shared" si="36"/>
        <v>208.88199836488002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11.026782399347995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11.026782399347995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2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53.352000000000046</v>
      </c>
      <c r="D63" s="11">
        <f t="shared" si="32"/>
        <v>15.476132071622855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531.30487914936975</v>
      </c>
      <c r="H63" s="67">
        <f t="shared" si="1"/>
        <v>413.20899669140988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214</v>
      </c>
      <c r="L63" s="12">
        <f>VLOOKUP(A63,'Données projet'!$A$35:$I$55,9,0)</f>
        <v>7.6</v>
      </c>
      <c r="M63" s="12">
        <f t="array" ref="M63">INDEX(L:L,MIN(IF(ISNUMBER(L63:L259),ROW(L63:L259),"")))</f>
        <v>7.6</v>
      </c>
      <c r="N63" s="13">
        <f>IF('Données projet'!$A$36&gt;35,N62+M63-V62,IF(A63&lt;'Données projet'!$A$36,$K$205^A63,IF(A63='Données projet'!$A$36,'Données projet'!$B$36,N62+M63-V62)))</f>
        <v>214</v>
      </c>
      <c r="O63" s="13">
        <f>N63*VLOOKUP('Données projet'!$B$9,Paramètres!$A$1:$I$89,3,0)*VLOOKUP('Données projet'!$B$9,Paramètres!$A$1:$I$89,5,0)</f>
        <v>193.62719999999999</v>
      </c>
      <c r="P63" s="13">
        <f t="shared" si="33"/>
        <v>48.340990547231193</v>
      </c>
      <c r="Q63" s="20">
        <f t="shared" si="53"/>
        <v>421.42793186976093</v>
      </c>
      <c r="R63" s="59">
        <f t="shared" si="0"/>
        <v>714.76126520309424</v>
      </c>
      <c r="S63" s="59">
        <f ca="1">AVERAGE(OFFSET($R$3,0,0,'Données projet'!$E$9+1,1))-AVERAGE(OFFSET($H$3,0,0,'Données projet'!$E$9+1,1))</f>
        <v>221.63427112734911</v>
      </c>
      <c r="T63" s="59">
        <f t="shared" si="34"/>
        <v>133.63266168802033</v>
      </c>
      <c r="U63" s="15">
        <f>IF(ISNA(VLOOKUP(A63,'Données projet'!$A$35:$I$55,3,0)),0,VLOOKUP(A63,'Données projet'!$A$35:$I$55,3,0))</f>
        <v>9</v>
      </c>
      <c r="V63" s="15">
        <f>IF(ISNA(VLOOKUP(A63,'Données projet'!$A$35:$I$55,4,0)),0,VLOOKUP(A63,'Données projet'!$A$35:$I$55,4,0))</f>
        <v>21</v>
      </c>
      <c r="W63" s="16">
        <f>IF(ISNA(VLOOKUP(A63,'Données projet'!$A$35:$I$55,5,0)),0%,VLOOKUP(A63,'Données projet'!$A$35:$I$55,5,0)*VLOOKUP('Données projet'!$B$9,Paramètres!$A$1:$I$89,7,0))</f>
        <v>0.17200000000000001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10.847584630182402</v>
      </c>
      <c r="AA63" s="21">
        <f>EXP(-LN(2)/25)*AA62+(1-EXP(-LN(2)/25))/(LN(2)/25)*Calculateur!V63*Calculateur!X63*VLOOKUP('Données projet'!$B$9,Paramètres!$A$1:$I$89,3,0)*0.475*44/12</f>
        <v>0</v>
      </c>
      <c r="AB63" s="21">
        <f>EXP(-LN(2)/2)*AB62+(1-EXP(-LN(2)/2))/(LN(2)/2)*V63*Y63*VLOOKUP('Données projet'!$B$9,Paramètres!$A$1:$I$89,3,0)*0.475*44/12</f>
        <v>0</v>
      </c>
      <c r="AC63" s="22">
        <f t="shared" si="3"/>
        <v>10.847584630182402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273</v>
      </c>
      <c r="AG63" s="12">
        <f>VLOOKUP(A63,'Données projet'!$A$61:$I$81,9,0)</f>
        <v>9.4</v>
      </c>
      <c r="AH63" s="12">
        <f t="array" ref="AH63">INDEX(AG:AG,MIN(IF(ISNUMBER(AG63:AG259),ROW(AG63:AG259),"")))</f>
        <v>9.4</v>
      </c>
      <c r="AI63" s="13">
        <f>IF('Données projet'!$A$62&gt;35,AI62+AH63-AQ62,IF(A63&lt;'Données projet'!$A$62,$AF$205^A63,IF(A63='Données projet'!$A$62,'Données projet'!$B$62,AI62+AH63-AQ62)))</f>
        <v>272.99999999999989</v>
      </c>
      <c r="AJ63" s="13">
        <f>AI63*VLOOKUP('Données projet'!$B$10,Paramètres!$A$1:$I$89,3,0)*VLOOKUP('Données projet'!$B$10,Paramètres!$A$1:$I$89,5,0)</f>
        <v>276.82199999999989</v>
      </c>
      <c r="AK63" s="13">
        <f t="shared" si="35"/>
        <v>66.29496059864374</v>
      </c>
      <c r="AL63" s="20">
        <f t="shared" si="4"/>
        <v>597.59537304263756</v>
      </c>
      <c r="AM63" s="59">
        <f t="shared" si="5"/>
        <v>890.92870637597093</v>
      </c>
      <c r="AN63" s="59">
        <f ca="1">AVERAGE(OFFSET($AM$3,0,0,'Données projet'!$E$10+1,1))-AVERAGE(OFFSET($H$3,0,0,'Données projet'!$E$10+1,1))</f>
        <v>356.320269084225</v>
      </c>
      <c r="AO63" s="59">
        <f t="shared" si="36"/>
        <v>208.88199836488002</v>
      </c>
      <c r="AP63" s="15">
        <f>IF(ISNA(VLOOKUP(A63,'Données projet'!$A$61:$I$81,3,0)),0,VLOOKUP(A63,'Données projet'!$A$61:$I$81,3,0))</f>
        <v>9</v>
      </c>
      <c r="AQ63" s="15">
        <f>IF(ISNA(VLOOKUP(A63,'Données projet'!$A$61:$I$81,4,0)),0,VLOOKUP(A63,'Données projet'!$A$61:$I$81,4,0))</f>
        <v>28</v>
      </c>
      <c r="AR63" s="16">
        <f>IF(ISNA(VLOOKUP(A63,'Données projet'!$A$61:$I$81,5,0)),0%,VLOOKUP(A63,'Données projet'!$A$61:$I$81,5,0)*VLOOKUP('Données projet'!$B$10,Paramètres!$A$1:$I$89,7,0))</f>
        <v>0.17200000000000001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16.209034504870257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16.209034504870257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2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54.241200000000049</v>
      </c>
      <c r="D64" s="11">
        <f t="shared" si="32"/>
        <v>15.703824194633762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539.92650255506805</v>
      </c>
      <c r="H64" s="67">
        <f t="shared" si="1"/>
        <v>415.15425047232054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7.2</v>
      </c>
      <c r="N64" s="13">
        <f>IF('Données projet'!$A$36&gt;35,N63+M64-V63,IF(A64&lt;'Données projet'!$A$36,$K$205^A64,IF(A64='Données projet'!$A$36,'Données projet'!$B$36,N63+M64-V63)))</f>
        <v>200.2</v>
      </c>
      <c r="O64" s="13">
        <f>N64*VLOOKUP('Données projet'!$B$9,Paramètres!$A$1:$I$89,3,0)*VLOOKUP('Données projet'!$B$9,Paramètres!$A$1:$I$89,5,0)</f>
        <v>181.14095999999998</v>
      </c>
      <c r="P64" s="13">
        <f t="shared" si="33"/>
        <v>45.575935320610945</v>
      </c>
      <c r="Q64" s="20">
        <f t="shared" si="53"/>
        <v>394.86525935006398</v>
      </c>
      <c r="R64" s="59">
        <f t="shared" si="0"/>
        <v>688.19859268339724</v>
      </c>
      <c r="S64" s="59">
        <f ca="1">AVERAGE(OFFSET($R$3,0,0,'Données projet'!$E$9+1,1))-AVERAGE(OFFSET($H$3,0,0,'Données projet'!$E$9+1,1))</f>
        <v>221.63427112734911</v>
      </c>
      <c r="T64" s="59">
        <f t="shared" si="34"/>
        <v>133.63266168802033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10.634870111957836</v>
      </c>
      <c r="AA64" s="21">
        <f>EXP(-LN(2)/25)*AA63+(1-EXP(-LN(2)/25))/(LN(2)/25)*Calculateur!V64*Calculateur!X64*VLOOKUP('Données projet'!$B$9,Paramètres!$A$1:$I$89,3,0)*0.475*44/12</f>
        <v>0</v>
      </c>
      <c r="AB64" s="21">
        <f>EXP(-LN(2)/2)*AB63+(1-EXP(-LN(2)/2))/(LN(2)/2)*V64*Y64*VLOOKUP('Données projet'!$B$9,Paramètres!$A$1:$I$89,3,0)*0.475*44/12</f>
        <v>0</v>
      </c>
      <c r="AC64" s="22">
        <f t="shared" si="3"/>
        <v>10.634870111957836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8.8000000000000007</v>
      </c>
      <c r="AI64" s="13">
        <f>IF('Données projet'!$A$62&gt;35,AI63+AH64-AQ63,IF(A64&lt;'Données projet'!$A$62,$AF$205^A64,IF(A64='Données projet'!$A$62,'Données projet'!$B$62,AI63+AH64-AQ63)))</f>
        <v>253.7999999999999</v>
      </c>
      <c r="AJ64" s="13">
        <f>AI64*VLOOKUP('Données projet'!$B$10,Paramètres!$A$1:$I$89,3,0)*VLOOKUP('Données projet'!$B$10,Paramètres!$A$1:$I$89,5,0)</f>
        <v>257.3531999999999</v>
      </c>
      <c r="AK64" s="13">
        <f t="shared" si="35"/>
        <v>62.157851613080908</v>
      </c>
      <c r="AL64" s="20">
        <f t="shared" si="4"/>
        <v>556.48174822611566</v>
      </c>
      <c r="AM64" s="59">
        <f t="shared" si="5"/>
        <v>849.81508155944903</v>
      </c>
      <c r="AN64" s="59">
        <f ca="1">AVERAGE(OFFSET($AM$3,0,0,'Données projet'!$E$10+1,1))-AVERAGE(OFFSET($H$3,0,0,'Données projet'!$E$10+1,1))</f>
        <v>356.320269084225</v>
      </c>
      <c r="AO64" s="59">
        <f t="shared" si="36"/>
        <v>208.88199836488002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15.891185224764584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15.891185224764584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2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55.130400000000051</v>
      </c>
      <c r="D65" s="11">
        <f t="shared" si="32"/>
        <v>15.931082230000042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548.54477510877268</v>
      </c>
      <c r="H65" s="67">
        <f t="shared" si="1"/>
        <v>417.09874821725015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7.2</v>
      </c>
      <c r="N65" s="13">
        <f>IF('Données projet'!$A$36&gt;35,N64+M65-V64,IF(A65&lt;'Données projet'!$A$36,$K$205^A65,IF(A65='Données projet'!$A$36,'Données projet'!$B$36,N64+M65-V64)))</f>
        <v>207.39999999999998</v>
      </c>
      <c r="O65" s="13">
        <f>N65*VLOOKUP('Données projet'!$B$9,Paramètres!$A$1:$I$89,3,0)*VLOOKUP('Données projet'!$B$9,Paramètres!$A$1:$I$89,5,0)</f>
        <v>187.65551999999997</v>
      </c>
      <c r="P65" s="13">
        <f t="shared" si="33"/>
        <v>47.021247649900147</v>
      </c>
      <c r="Q65" s="20">
        <f t="shared" si="53"/>
        <v>408.72870365690937</v>
      </c>
      <c r="R65" s="59">
        <f t="shared" si="0"/>
        <v>702.06203699024263</v>
      </c>
      <c r="S65" s="59">
        <f ca="1">AVERAGE(OFFSET($R$3,0,0,'Données projet'!$E$9+1,1))-AVERAGE(OFFSET($H$3,0,0,'Données projet'!$E$9+1,1))</f>
        <v>221.63427112734911</v>
      </c>
      <c r="T65" s="59">
        <f t="shared" si="34"/>
        <v>133.63266168802033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10.42632679569261</v>
      </c>
      <c r="AA65" s="21">
        <f>EXP(-LN(2)/25)*AA64+(1-EXP(-LN(2)/25))/(LN(2)/25)*Calculateur!V65*Calculateur!X65*VLOOKUP('Données projet'!$B$9,Paramètres!$A$1:$I$89,3,0)*0.475*44/12</f>
        <v>0</v>
      </c>
      <c r="AB65" s="21">
        <f>EXP(-LN(2)/2)*AB64+(1-EXP(-LN(2)/2))/(LN(2)/2)*V65*Y65*VLOOKUP('Données projet'!$B$9,Paramètres!$A$1:$I$89,3,0)*0.475*44/12</f>
        <v>0</v>
      </c>
      <c r="AC65" s="22">
        <f t="shared" si="3"/>
        <v>10.42632679569261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8.8000000000000007</v>
      </c>
      <c r="AI65" s="13">
        <f>IF('Données projet'!$A$62&gt;35,AI64+AH65-AQ64,IF(A65&lt;'Données projet'!$A$62,$AF$205^A65,IF(A65='Données projet'!$A$62,'Données projet'!$B$62,AI64+AH65-AQ64)))</f>
        <v>262.59999999999991</v>
      </c>
      <c r="AJ65" s="13">
        <f>AI65*VLOOKUP('Données projet'!$B$10,Paramètres!$A$1:$I$89,3,0)*VLOOKUP('Données projet'!$B$10,Paramètres!$A$1:$I$89,5,0)</f>
        <v>266.27639999999991</v>
      </c>
      <c r="AK65" s="13">
        <f t="shared" si="35"/>
        <v>64.05838982943969</v>
      </c>
      <c r="AL65" s="20">
        <f t="shared" si="4"/>
        <v>575.333092286274</v>
      </c>
      <c r="AM65" s="59">
        <f t="shared" si="5"/>
        <v>868.66642561960725</v>
      </c>
      <c r="AN65" s="59">
        <f ca="1">AVERAGE(OFFSET($AM$3,0,0,'Données projet'!$E$10+1,1))-AVERAGE(OFFSET($H$3,0,0,'Données projet'!$E$10+1,1))</f>
        <v>356.320269084225</v>
      </c>
      <c r="AO65" s="59">
        <f t="shared" si="36"/>
        <v>208.88199836488002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15.579568775172866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15.579568775172866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2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56.019600000000054</v>
      </c>
      <c r="D66" s="11">
        <f t="shared" si="32"/>
        <v>16.157913987449295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557.15975709610018</v>
      </c>
      <c r="H66" s="67">
        <f t="shared" si="1"/>
        <v>419.04250352814091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7.2</v>
      </c>
      <c r="N66" s="13">
        <f>IF('Données projet'!$A$36&gt;35,N65+M66-V65,IF(A66&lt;'Données projet'!$A$36,$K$205^A66,IF(A66='Données projet'!$A$36,'Données projet'!$B$36,N65+M66-V65)))</f>
        <v>214.59999999999997</v>
      </c>
      <c r="O66" s="13">
        <f>N66*VLOOKUP('Données projet'!$B$9,Paramètres!$A$1:$I$89,3,0)*VLOOKUP('Données projet'!$B$9,Paramètres!$A$1:$I$89,5,0)</f>
        <v>194.17007999999996</v>
      </c>
      <c r="P66" s="13">
        <f t="shared" si="33"/>
        <v>48.460730182351035</v>
      </c>
      <c r="Q66" s="20">
        <f t="shared" si="53"/>
        <v>422.5819944009279</v>
      </c>
      <c r="R66" s="59">
        <f t="shared" si="0"/>
        <v>715.91532773426115</v>
      </c>
      <c r="S66" s="59">
        <f ca="1">AVERAGE(OFFSET($R$3,0,0,'Données projet'!$E$9+1,1))-AVERAGE(OFFSET($H$3,0,0,'Données projet'!$E$9+1,1))</f>
        <v>221.63427112734911</v>
      </c>
      <c r="T66" s="59">
        <f t="shared" si="34"/>
        <v>133.63266168802033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10.221872886660481</v>
      </c>
      <c r="AA66" s="21">
        <f>EXP(-LN(2)/25)*AA65+(1-EXP(-LN(2)/25))/(LN(2)/25)*Calculateur!V66*Calculateur!X66*VLOOKUP('Données projet'!$B$9,Paramètres!$A$1:$I$89,3,0)*0.475*44/12</f>
        <v>0</v>
      </c>
      <c r="AB66" s="21">
        <f>EXP(-LN(2)/2)*AB65+(1-EXP(-LN(2)/2))/(LN(2)/2)*V66*Y66*VLOOKUP('Données projet'!$B$9,Paramètres!$A$1:$I$89,3,0)*0.475*44/12</f>
        <v>0</v>
      </c>
      <c r="AC66" s="22">
        <f t="shared" si="3"/>
        <v>10.221872886660481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8.8000000000000007</v>
      </c>
      <c r="AI66" s="13">
        <f>IF('Données projet'!$A$62&gt;35,AI65+AH66-AQ65,IF(A66&lt;'Données projet'!$A$62,$AF$205^A66,IF(A66='Données projet'!$A$62,'Données projet'!$B$62,AI65+AH66-AQ65)))</f>
        <v>271.39999999999992</v>
      </c>
      <c r="AJ66" s="13">
        <f>AI66*VLOOKUP('Données projet'!$B$10,Paramètres!$A$1:$I$89,3,0)*VLOOKUP('Données projet'!$B$10,Paramètres!$A$1:$I$89,5,0)</f>
        <v>275.19959999999998</v>
      </c>
      <c r="AK66" s="13">
        <f t="shared" si="35"/>
        <v>65.951527620662617</v>
      </c>
      <c r="AL66" s="20">
        <f t="shared" si="4"/>
        <v>594.17154727265404</v>
      </c>
      <c r="AM66" s="59">
        <f t="shared" si="5"/>
        <v>887.50488060598741</v>
      </c>
      <c r="AN66" s="59">
        <f ca="1">AVERAGE(OFFSET($AM$3,0,0,'Données projet'!$E$10+1,1))-AVERAGE(OFFSET($H$3,0,0,'Données projet'!$E$10+1,1))</f>
        <v>356.320269084225</v>
      </c>
      <c r="AO66" s="59">
        <f t="shared" si="36"/>
        <v>208.88199836488002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15.274062934090376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15.274062934090376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2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56.908800000000056</v>
      </c>
      <c r="D67" s="11">
        <f t="shared" si="32"/>
        <v>16.384327014561212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565.77150677906945</v>
      </c>
      <c r="H67" s="67">
        <f t="shared" si="1"/>
        <v>420.98552955036087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7.2</v>
      </c>
      <c r="N67" s="13">
        <f>IF('Données projet'!$A$36&gt;35,N66+M67-V66,IF(A67&lt;'Données projet'!$A$36,$K$205^A67,IF(A67='Données projet'!$A$36,'Données projet'!$B$36,N66+M67-V66)))</f>
        <v>221.79999999999995</v>
      </c>
      <c r="O67" s="13">
        <f>N67*VLOOKUP('Données projet'!$B$9,Paramètres!$A$1:$I$89,3,0)*VLOOKUP('Données projet'!$B$9,Paramètres!$A$1:$I$89,5,0)</f>
        <v>200.68463999999997</v>
      </c>
      <c r="P67" s="13">
        <f t="shared" si="33"/>
        <v>49.894600936700193</v>
      </c>
      <c r="Q67" s="20">
        <f t="shared" ref="Q67:Q98" si="54">(O67+P67)*0.475*44/12</f>
        <v>436.42551129808612</v>
      </c>
      <c r="R67" s="59">
        <f t="shared" ref="R67:R130" si="55">Q67+(I67+J67)*44/12</f>
        <v>729.75884463141938</v>
      </c>
      <c r="S67" s="59">
        <f ca="1">AVERAGE(OFFSET($R$3,0,0,'Données projet'!$E$9+1,1))-AVERAGE(OFFSET($H$3,0,0,'Données projet'!$E$9+1,1))</f>
        <v>221.63427112734911</v>
      </c>
      <c r="T67" s="59">
        <f t="shared" si="34"/>
        <v>133.63266168802033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10.021428194079903</v>
      </c>
      <c r="AA67" s="21">
        <f>EXP(-LN(2)/25)*AA66+(1-EXP(-LN(2)/25))/(LN(2)/25)*Calculateur!V67*Calculateur!X67*VLOOKUP('Données projet'!$B$9,Paramètres!$A$1:$I$89,3,0)*0.475*44/12</f>
        <v>0</v>
      </c>
      <c r="AB67" s="21">
        <f>EXP(-LN(2)/2)*AB66+(1-EXP(-LN(2)/2))/(LN(2)/2)*V67*Y67*VLOOKUP('Données projet'!$B$9,Paramètres!$A$1:$I$89,3,0)*0.475*44/12</f>
        <v>0</v>
      </c>
      <c r="AC67" s="22">
        <f t="shared" si="3"/>
        <v>10.021428194079903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8.8000000000000007</v>
      </c>
      <c r="AI67" s="13">
        <f>IF('Données projet'!$A$62&gt;35,AI66+AH67-AQ66,IF(A67&lt;'Données projet'!$A$62,$AF$205^A67,IF(A67='Données projet'!$A$62,'Données projet'!$B$62,AI66+AH67-AQ66)))</f>
        <v>280.19999999999993</v>
      </c>
      <c r="AJ67" s="13">
        <f>AI67*VLOOKUP('Données projet'!$B$10,Paramètres!$A$1:$I$89,3,0)*VLOOKUP('Données projet'!$B$10,Paramètres!$A$1:$I$89,5,0)</f>
        <v>284.12279999999998</v>
      </c>
      <c r="AK67" s="13">
        <f t="shared" si="35"/>
        <v>67.837532462585557</v>
      </c>
      <c r="AL67" s="20">
        <f t="shared" si="4"/>
        <v>612.99757903900309</v>
      </c>
      <c r="AM67" s="59">
        <f t="shared" si="5"/>
        <v>906.33091237233634</v>
      </c>
      <c r="AN67" s="59">
        <f ca="1">AVERAGE(OFFSET($AM$3,0,0,'Données projet'!$E$10+1,1))-AVERAGE(OFFSET($H$3,0,0,'Données projet'!$E$10+1,1))</f>
        <v>356.320269084225</v>
      </c>
      <c r="AO67" s="59">
        <f t="shared" si="36"/>
        <v>208.88199836488002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14.974547876211348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14.974547876211348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2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57.798000000000059</v>
      </c>
      <c r="D68" s="11">
        <f t="shared" si="32"/>
        <v>16.610328609523005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574.38008049456403</v>
      </c>
      <c r="H68" s="67">
        <f t="shared" ref="H68:H131" si="56">(B68+E68+F68)*44/12+(C68+D68)*0.475*44/12</f>
        <v>422.92783899491928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>
        <f>VLOOKUP(A68,'Données projet'!$A$35:$I$55,2,0)</f>
        <v>229</v>
      </c>
      <c r="L68" s="12">
        <f>VLOOKUP(A68,'Données projet'!$A$35:$I$55,9,0)</f>
        <v>7.2</v>
      </c>
      <c r="M68" s="12">
        <f t="array" ref="M68">INDEX(L:L,MIN(IF(ISNUMBER(L68:L264),ROW(L68:L264),"")))</f>
        <v>7.2</v>
      </c>
      <c r="N68" s="13">
        <f>IF('Données projet'!$A$36&gt;35,N67+M68-V67,IF(A68&lt;'Données projet'!$A$36,$K$205^A68,IF(A68='Données projet'!$A$36,'Données projet'!$B$36,N67+M68-V67)))</f>
        <v>228.99999999999994</v>
      </c>
      <c r="O68" s="13">
        <f>N68*VLOOKUP('Données projet'!$B$9,Paramètres!$A$1:$I$89,3,0)*VLOOKUP('Données projet'!$B$9,Paramètres!$A$1:$I$89,5,0)</f>
        <v>207.19919999999996</v>
      </c>
      <c r="P68" s="13">
        <f t="shared" si="33"/>
        <v>51.32306297366555</v>
      </c>
      <c r="Q68" s="20">
        <f t="shared" si="54"/>
        <v>450.25960801246742</v>
      </c>
      <c r="R68" s="59">
        <f t="shared" si="55"/>
        <v>743.59294134580068</v>
      </c>
      <c r="S68" s="59">
        <f ca="1">AVERAGE(OFFSET($R$3,0,0,'Données projet'!$E$9+1,1))-AVERAGE(OFFSET($H$3,0,0,'Données projet'!$E$9+1,1))</f>
        <v>221.63427112734911</v>
      </c>
      <c r="T68" s="59">
        <f t="shared" si="34"/>
        <v>133.63266168802033</v>
      </c>
      <c r="U68" s="15">
        <f>IF(ISNA(VLOOKUP(A68,'Données projet'!$A$35:$I$55,3,0)),0,VLOOKUP(A68,'Données projet'!$A$35:$I$55,3,0))</f>
        <v>10</v>
      </c>
      <c r="V68" s="15">
        <f>IF(ISNA(VLOOKUP(A68,'Données projet'!$A$35:$I$55,4,0)),0,VLOOKUP(A68,'Données projet'!$A$35:$I$55,4,0))</f>
        <v>21</v>
      </c>
      <c r="W68" s="16">
        <f>IF(ISNA(VLOOKUP(A68,'Données projet'!$A$35:$I$55,5,0)),0%,VLOOKUP(A68,'Données projet'!$A$35:$I$55,5,0)*VLOOKUP('Données projet'!$B$9,Paramètres!$A$1:$I$89,7,0))</f>
        <v>0.17200000000000001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13.437743412699543</v>
      </c>
      <c r="AA68" s="21">
        <f>EXP(-LN(2)/25)*AA67+(1-EXP(-LN(2)/25))/(LN(2)/25)*Calculateur!V68*Calculateur!X68*VLOOKUP('Données projet'!$B$9,Paramètres!$A$1:$I$89,3,0)*0.475*44/12</f>
        <v>0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13.437743412699543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>
        <f>VLOOKUP(A68,'Données projet'!$A$61:$I$81,2,0)</f>
        <v>289</v>
      </c>
      <c r="AG68" s="12">
        <f>VLOOKUP(A68,'Données projet'!$A$61:$I$81,9,0)</f>
        <v>8.8000000000000007</v>
      </c>
      <c r="AH68" s="12">
        <f t="array" ref="AH68">INDEX(AG:AG,MIN(IF(ISNUMBER(AG68:AG264),ROW(AG68:AG264),"")))</f>
        <v>8.8000000000000007</v>
      </c>
      <c r="AI68" s="13">
        <f>IF('Données projet'!$A$62&gt;35,AI67+AH68-AQ67,IF(A68&lt;'Données projet'!$A$62,$AF$205^A68,IF(A68='Données projet'!$A$62,'Données projet'!$B$62,AI67+AH68-AQ67)))</f>
        <v>288.99999999999994</v>
      </c>
      <c r="AJ68" s="13">
        <f>AI68*VLOOKUP('Données projet'!$B$10,Paramètres!$A$1:$I$89,3,0)*VLOOKUP('Données projet'!$B$10,Paramètres!$A$1:$I$89,5,0)</f>
        <v>293.04599999999994</v>
      </c>
      <c r="AK68" s="13">
        <f t="shared" si="35"/>
        <v>69.716654076072615</v>
      </c>
      <c r="AL68" s="20">
        <f t="shared" ref="AL68:AL131" si="58">(AJ68+AK68)*0.475*44/12</f>
        <v>631.81162251582634</v>
      </c>
      <c r="AM68" s="59">
        <f t="shared" ref="AM68:AM131" si="59">AL68+(AD68+AE68)*44/12</f>
        <v>925.14495584915971</v>
      </c>
      <c r="AN68" s="59">
        <f ca="1">AVERAGE(OFFSET($AM$3,0,0,'Données projet'!$E$10+1,1))-AVERAGE(OFFSET($H$3,0,0,'Données projet'!$E$10+1,1))</f>
        <v>356.320269084225</v>
      </c>
      <c r="AO68" s="59">
        <f t="shared" si="36"/>
        <v>208.88199836488002</v>
      </c>
      <c r="AP68" s="15">
        <f>IF(ISNA(VLOOKUP(A68,'Données projet'!$A$61:$I$81,3,0)),0,VLOOKUP(A68,'Données projet'!$A$61:$I$81,3,0))</f>
        <v>10</v>
      </c>
      <c r="AQ68" s="15">
        <f>IF(ISNA(VLOOKUP(A68,'Données projet'!$A$61:$I$81,4,0)),0,VLOOKUP(A68,'Données projet'!$A$61:$I$81,4,0))</f>
        <v>28</v>
      </c>
      <c r="AR68" s="16">
        <f>IF(ISNA(VLOOKUP(A68,'Données projet'!$A$61:$I$81,5,0)),0%,VLOOKUP(A68,'Données projet'!$A$61:$I$81,5,0)*VLOOKUP('Données projet'!$B$10,Paramètres!$A$1:$I$89,7,0))</f>
        <v>0.17200000000000001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20.0793867086315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20.0793867086315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2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58.687200000000061</v>
      </c>
      <c r="D69" s="11">
        <f t="shared" ref="D69:D132" si="86">IFERROR(EXP(-1.0587+0.8836*LN(C69)+0.284),0)</f>
        <v>16.835925833077553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582.98553274656399</v>
      </c>
      <c r="H69" s="67">
        <f t="shared" si="56"/>
        <v>424.86944415927678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6.8</v>
      </c>
      <c r="N69" s="13">
        <f>IF('Données projet'!$A$36&gt;35,N68+M69-V68,IF(A69&lt;'Données projet'!$A$36,$K$205^A69,IF(A69='Données projet'!$A$36,'Données projet'!$B$36,N68+M69-V68)))</f>
        <v>214.79999999999995</v>
      </c>
      <c r="O69" s="13">
        <f>N69*VLOOKUP('Données projet'!$B$9,Paramètres!$A$1:$I$89,3,0)*VLOOKUP('Données projet'!$B$9,Paramètres!$A$1:$I$89,5,0)</f>
        <v>194.35103999999995</v>
      </c>
      <c r="P69" s="13">
        <f t="shared" ref="P69:P132" si="87">EXP(-1.0587+0.8836*LN(O69)+0.284)</f>
        <v>48.500634729810159</v>
      </c>
      <c r="Q69" s="20">
        <f t="shared" si="54"/>
        <v>422.96666682108594</v>
      </c>
      <c r="R69" s="59">
        <f t="shared" si="55"/>
        <v>716.30000015441919</v>
      </c>
      <c r="S69" s="59">
        <f ca="1">AVERAGE(OFFSET($R$3,0,0,'Données projet'!$E$9+1,1))-AVERAGE(OFFSET($H$3,0,0,'Données projet'!$E$9+1,1))</f>
        <v>221.63427112734911</v>
      </c>
      <c r="T69" s="59">
        <f t="shared" ref="T69:T132" si="88">$T$3</f>
        <v>133.63266168802033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13.174237460590678</v>
      </c>
      <c r="AA69" s="21">
        <f>EXP(-LN(2)/25)*AA68+(1-EXP(-LN(2)/25))/(LN(2)/25)*Calculateur!V69*Calculateur!X69*VLOOKUP('Données projet'!$B$9,Paramètres!$A$1:$I$89,3,0)*0.475*44/12</f>
        <v>0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13.174237460590678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8.1999999999999993</v>
      </c>
      <c r="AI69" s="13">
        <f>IF('Données projet'!$A$62&gt;35,AI68+AH69-AQ68,IF(A69&lt;'Données projet'!$A$62,$AF$205^A69,IF(A69='Données projet'!$A$62,'Données projet'!$B$62,AI68+AH69-AQ68)))</f>
        <v>269.19999999999993</v>
      </c>
      <c r="AJ69" s="13">
        <f>AI69*VLOOKUP('Données projet'!$B$10,Paramètres!$A$1:$I$89,3,0)*VLOOKUP('Données projet'!$B$10,Paramètres!$A$1:$I$89,5,0)</f>
        <v>272.96879999999993</v>
      </c>
      <c r="AK69" s="13">
        <f t="shared" ref="AK69:AK132" si="89">EXP(-1.0587+0.8836*LN(AJ69)+0.284)</f>
        <v>65.478922017818945</v>
      </c>
      <c r="AL69" s="20">
        <f t="shared" si="58"/>
        <v>589.46311584770126</v>
      </c>
      <c r="AM69" s="59">
        <f t="shared" si="59"/>
        <v>882.79644918103463</v>
      </c>
      <c r="AN69" s="59">
        <f ca="1">AVERAGE(OFFSET($AM$3,0,0,'Données projet'!$E$10+1,1))-AVERAGE(OFFSET($H$3,0,0,'Données projet'!$E$10+1,1))</f>
        <v>356.320269084225</v>
      </c>
      <c r="AO69" s="59">
        <f t="shared" ref="AO69:AO132" si="90">$AO$3</f>
        <v>208.88199836488002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19.685642182491815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19.685642182491815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2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59.576400000000064</v>
      </c>
      <c r="D70" s="11">
        <f t="shared" si="86"/>
        <v>17.061125519726964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591.58791629262976</v>
      </c>
      <c r="H70" s="67">
        <f t="shared" si="56"/>
        <v>426.81035694685789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6.8</v>
      </c>
      <c r="N70" s="13">
        <f>IF('Données projet'!$A$36&gt;35,N69+M70-V69,IF(A70&lt;'Données projet'!$A$36,$K$205^A70,IF(A70='Données projet'!$A$36,'Données projet'!$B$36,N69+M70-V69)))</f>
        <v>221.59999999999997</v>
      </c>
      <c r="O70" s="13">
        <f>N70*VLOOKUP('Données projet'!$B$9,Paramètres!$A$1:$I$89,3,0)*VLOOKUP('Données projet'!$B$9,Paramètres!$A$1:$I$89,5,0)</f>
        <v>200.50367999999995</v>
      </c>
      <c r="P70" s="13">
        <f t="shared" si="87"/>
        <v>49.854845135229887</v>
      </c>
      <c r="Q70" s="20">
        <f t="shared" si="54"/>
        <v>436.04109794385857</v>
      </c>
      <c r="R70" s="59">
        <f t="shared" si="55"/>
        <v>729.37443127719189</v>
      </c>
      <c r="S70" s="59">
        <f ca="1">AVERAGE(OFFSET($R$3,0,0,'Données projet'!$E$9+1,1))-AVERAGE(OFFSET($H$3,0,0,'Données projet'!$E$9+1,1))</f>
        <v>221.63427112734911</v>
      </c>
      <c r="T70" s="59">
        <f t="shared" si="88"/>
        <v>133.63266168802033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12.915898699479907</v>
      </c>
      <c r="AA70" s="21">
        <f>EXP(-LN(2)/25)*AA69+(1-EXP(-LN(2)/25))/(LN(2)/25)*Calculateur!V70*Calculateur!X70*VLOOKUP('Données projet'!$B$9,Paramètres!$A$1:$I$89,3,0)*0.475*44/12</f>
        <v>0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12.915898699479907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8.1999999999999993</v>
      </c>
      <c r="AI70" s="13">
        <f>IF('Données projet'!$A$62&gt;35,AI69+AH70-AQ69,IF(A70&lt;'Données projet'!$A$62,$AF$205^A70,IF(A70='Données projet'!$A$62,'Données projet'!$B$62,AI69+AH70-AQ69)))</f>
        <v>277.39999999999992</v>
      </c>
      <c r="AJ70" s="13">
        <f>AI70*VLOOKUP('Données projet'!$B$10,Paramètres!$A$1:$I$89,3,0)*VLOOKUP('Données projet'!$B$10,Paramètres!$A$1:$I$89,5,0)</f>
        <v>281.28359999999992</v>
      </c>
      <c r="AK70" s="13">
        <f t="shared" si="89"/>
        <v>67.238198209347928</v>
      </c>
      <c r="AL70" s="20">
        <f t="shared" si="58"/>
        <v>607.00879854794744</v>
      </c>
      <c r="AM70" s="59">
        <f t="shared" si="59"/>
        <v>900.34213188128069</v>
      </c>
      <c r="AN70" s="59">
        <f ca="1">AVERAGE(OFFSET($AM$3,0,0,'Données projet'!$E$10+1,1))-AVERAGE(OFFSET($H$3,0,0,'Données projet'!$E$10+1,1))</f>
        <v>356.320269084225</v>
      </c>
      <c r="AO70" s="59">
        <f t="shared" si="90"/>
        <v>208.88199836488002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19.299618746349285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19.299618746349285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2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60.465600000000066</v>
      </c>
      <c r="D71" s="11">
        <f t="shared" si="86"/>
        <v>17.285934288248221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600.18728222507445</v>
      </c>
      <c r="H71" s="67">
        <f t="shared" si="56"/>
        <v>428.75058888536569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6.8</v>
      </c>
      <c r="N71" s="13">
        <f>IF('Données projet'!$A$36&gt;35,N70+M71-V70,IF(A71&lt;'Données projet'!$A$36,$K$205^A71,IF(A71='Données projet'!$A$36,'Données projet'!$B$36,N70+M71-V70)))</f>
        <v>228.39999999999998</v>
      </c>
      <c r="O71" s="13">
        <f>N71*VLOOKUP('Données projet'!$B$9,Paramètres!$A$1:$I$89,3,0)*VLOOKUP('Données projet'!$B$9,Paramètres!$A$1:$I$89,5,0)</f>
        <v>206.65631999999997</v>
      </c>
      <c r="P71" s="13">
        <f t="shared" si="87"/>
        <v>51.20422634371338</v>
      </c>
      <c r="Q71" s="20">
        <f t="shared" si="54"/>
        <v>449.10711821530072</v>
      </c>
      <c r="R71" s="59">
        <f t="shared" si="55"/>
        <v>742.44045154863397</v>
      </c>
      <c r="S71" s="59">
        <f ca="1">AVERAGE(OFFSET($R$3,0,0,'Données projet'!$E$9+1,1))-AVERAGE(OFFSET($H$3,0,0,'Données projet'!$E$9+1,1))</f>
        <v>221.63427112734911</v>
      </c>
      <c r="T71" s="59">
        <f t="shared" si="88"/>
        <v>133.63266168802033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12.662625803903433</v>
      </c>
      <c r="AA71" s="21">
        <f>EXP(-LN(2)/25)*AA70+(1-EXP(-LN(2)/25))/(LN(2)/25)*Calculateur!V71*Calculateur!X71*VLOOKUP('Données projet'!$B$9,Paramètres!$A$1:$I$89,3,0)*0.475*44/12</f>
        <v>0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12.662625803903433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8.1999999999999993</v>
      </c>
      <c r="AI71" s="13">
        <f>IF('Données projet'!$A$62&gt;35,AI70+AH71-AQ70,IF(A71&lt;'Données projet'!$A$62,$AF$205^A71,IF(A71='Données projet'!$A$62,'Données projet'!$B$62,AI70+AH71-AQ70)))</f>
        <v>285.59999999999991</v>
      </c>
      <c r="AJ71" s="13">
        <f>AI71*VLOOKUP('Données projet'!$B$10,Paramètres!$A$1:$I$89,3,0)*VLOOKUP('Données projet'!$B$10,Paramètres!$A$1:$I$89,5,0)</f>
        <v>289.59839999999997</v>
      </c>
      <c r="AK71" s="13">
        <f t="shared" si="89"/>
        <v>68.991430542388798</v>
      </c>
      <c r="AL71" s="20">
        <f t="shared" si="58"/>
        <v>624.54395486132705</v>
      </c>
      <c r="AM71" s="59">
        <f t="shared" si="59"/>
        <v>917.87728819466042</v>
      </c>
      <c r="AN71" s="59">
        <f ca="1">AVERAGE(OFFSET($AM$3,0,0,'Données projet'!$E$10+1,1))-AVERAGE(OFFSET($H$3,0,0,'Données projet'!$E$10+1,1))</f>
        <v>356.320269084225</v>
      </c>
      <c r="AO71" s="59">
        <f t="shared" si="90"/>
        <v>208.88199836488002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18.921164994338461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18.921164994338461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2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61.354800000000068</v>
      </c>
      <c r="D72" s="11">
        <f t="shared" si="86"/>
        <v>17.510358551572637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608.7836800472279</v>
      </c>
      <c r="H72" s="67">
        <f t="shared" si="56"/>
        <v>430.69015114398906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6.8</v>
      </c>
      <c r="N72" s="13">
        <f>IF('Données projet'!$A$36&gt;35,N71+M72-V71,IF(A72&lt;'Données projet'!$A$36,$K$205^A72,IF(A72='Données projet'!$A$36,'Données projet'!$B$36,N71+M72-V71)))</f>
        <v>235.2</v>
      </c>
      <c r="O72" s="13">
        <f>N72*VLOOKUP('Données projet'!$B$9,Paramètres!$A$1:$I$89,3,0)*VLOOKUP('Données projet'!$B$9,Paramètres!$A$1:$I$89,5,0)</f>
        <v>212.80896000000001</v>
      </c>
      <c r="P72" s="13">
        <f t="shared" si="87"/>
        <v>52.548938637485847</v>
      </c>
      <c r="Q72" s="20">
        <f t="shared" si="54"/>
        <v>462.16500679362116</v>
      </c>
      <c r="R72" s="59">
        <f t="shared" si="55"/>
        <v>755.49834012695442</v>
      </c>
      <c r="S72" s="59">
        <f ca="1">AVERAGE(OFFSET($R$3,0,0,'Données projet'!$E$9+1,1))-AVERAGE(OFFSET($H$3,0,0,'Données projet'!$E$9+1,1))</f>
        <v>221.63427112734911</v>
      </c>
      <c r="T72" s="59">
        <f t="shared" si="88"/>
        <v>133.63266168802033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12.414319435328</v>
      </c>
      <c r="AA72" s="21">
        <f>EXP(-LN(2)/25)*AA71+(1-EXP(-LN(2)/25))/(LN(2)/25)*Calculateur!V72*Calculateur!X72*VLOOKUP('Données projet'!$B$9,Paramètres!$A$1:$I$89,3,0)*0.475*44/12</f>
        <v>0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12.414319435328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8.1999999999999993</v>
      </c>
      <c r="AI72" s="13">
        <f>IF('Données projet'!$A$62&gt;35,AI71+AH72-AQ71,IF(A72&lt;'Données projet'!$A$62,$AF$205^A72,IF(A72='Données projet'!$A$62,'Données projet'!$B$62,AI71+AH72-AQ71)))</f>
        <v>293.7999999999999</v>
      </c>
      <c r="AJ72" s="13">
        <f>AI72*VLOOKUP('Données projet'!$B$10,Paramètres!$A$1:$I$89,3,0)*VLOOKUP('Données projet'!$B$10,Paramètres!$A$1:$I$89,5,0)</f>
        <v>297.9131999999999</v>
      </c>
      <c r="AK72" s="13">
        <f t="shared" si="89"/>
        <v>70.73881247427552</v>
      </c>
      <c r="AL72" s="20">
        <f t="shared" si="58"/>
        <v>642.06892172602966</v>
      </c>
      <c r="AM72" s="59">
        <f t="shared" si="59"/>
        <v>935.40225505936291</v>
      </c>
      <c r="AN72" s="59">
        <f ca="1">AVERAGE(OFFSET($AM$3,0,0,'Données projet'!$E$10+1,1))-AVERAGE(OFFSET($H$3,0,0,'Données projet'!$E$10+1,1))</f>
        <v>356.320269084225</v>
      </c>
      <c r="AO72" s="59">
        <f t="shared" si="90"/>
        <v>208.88199836488002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18.550132489570576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18.550132489570576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2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62.244000000000071</v>
      </c>
      <c r="D73" s="11">
        <f t="shared" si="86"/>
        <v>17.734404526076464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617.3771577451522</v>
      </c>
      <c r="H73" s="67">
        <f t="shared" si="56"/>
        <v>432.62905454958332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>
        <f>VLOOKUP(A73,'Données projet'!$A$35:$I$55,2,0)</f>
        <v>242</v>
      </c>
      <c r="L73" s="12">
        <f>VLOOKUP(A73,'Données projet'!$A$35:$I$55,9,0)</f>
        <v>6.8</v>
      </c>
      <c r="M73" s="12">
        <f t="array" ref="M73">INDEX(L:L,MIN(IF(ISNUMBER(L73:L269),ROW(L73:L269),"")))</f>
        <v>6.8</v>
      </c>
      <c r="N73" s="13">
        <f>IF('Données projet'!$A$36&gt;35,N72+M73-V72,IF(A73&lt;'Données projet'!$A$36,$K$205^A73,IF(A73='Données projet'!$A$36,'Données projet'!$B$36,N72+M73-V72)))</f>
        <v>242</v>
      </c>
      <c r="O73" s="13">
        <f>N73*VLOOKUP('Données projet'!$B$9,Paramètres!$A$1:$I$89,3,0)*VLOOKUP('Données projet'!$B$9,Paramètres!$A$1:$I$89,5,0)</f>
        <v>218.96159999999998</v>
      </c>
      <c r="P73" s="13">
        <f t="shared" si="87"/>
        <v>53.88913250370743</v>
      </c>
      <c r="Q73" s="20">
        <f t="shared" si="54"/>
        <v>475.21502577729035</v>
      </c>
      <c r="R73" s="59">
        <f t="shared" si="55"/>
        <v>768.54835911062366</v>
      </c>
      <c r="S73" s="59">
        <f ca="1">AVERAGE(OFFSET($R$3,0,0,'Données projet'!$E$9+1,1))-AVERAGE(OFFSET($H$3,0,0,'Données projet'!$E$9+1,1))</f>
        <v>221.63427112734911</v>
      </c>
      <c r="T73" s="59">
        <f t="shared" si="88"/>
        <v>133.63266168802033</v>
      </c>
      <c r="U73" s="15">
        <f>IF(ISNA(VLOOKUP(A73,'Données projet'!$A$35:$I$55,3,0)),0,VLOOKUP(A73,'Données projet'!$A$35:$I$55,3,0))</f>
        <v>11</v>
      </c>
      <c r="V73" s="15">
        <f>IF(ISNA(VLOOKUP(A73,'Données projet'!$A$35:$I$55,4,0)),0,VLOOKUP(A73,'Données projet'!$A$35:$I$55,4,0))</f>
        <v>21</v>
      </c>
      <c r="W73" s="16">
        <f>IF(ISNA(VLOOKUP(A73,'Données projet'!$A$35:$I$55,5,0)),0%,VLOOKUP(A73,'Données projet'!$A$35:$I$55,5,0)*VLOOKUP('Données projet'!$B$9,Paramètres!$A$1:$I$89,7,0))</f>
        <v>0.215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16.686918844485781</v>
      </c>
      <c r="AA73" s="21">
        <f>EXP(-LN(2)/25)*AA72+(1-EXP(-LN(2)/25))/(LN(2)/25)*Calculateur!V73*Calculateur!X73*VLOOKUP('Données projet'!$B$9,Paramètres!$A$1:$I$89,3,0)*0.475*44/12</f>
        <v>0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16.686918844485781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302</v>
      </c>
      <c r="AG73" s="12">
        <f>VLOOKUP(A73,'Données projet'!$A$61:$I$81,9,0)</f>
        <v>8.1999999999999993</v>
      </c>
      <c r="AH73" s="12">
        <f t="array" ref="AH73">INDEX(AG:AG,MIN(IF(ISNUMBER(AG73:AG269),ROW(AG73:AG269),"")))</f>
        <v>8.1999999999999993</v>
      </c>
      <c r="AI73" s="13">
        <f>IF('Données projet'!$A$62&gt;35,AI72+AH73-AQ72,IF(A73&lt;'Données projet'!$A$62,$AF$205^A73,IF(A73='Données projet'!$A$62,'Données projet'!$B$62,AI72+AH73-AQ72)))</f>
        <v>301.99999999999989</v>
      </c>
      <c r="AJ73" s="13">
        <f>AI73*VLOOKUP('Données projet'!$B$10,Paramètres!$A$1:$I$89,3,0)*VLOOKUP('Données projet'!$B$10,Paramètres!$A$1:$I$89,5,0)</f>
        <v>306.22799999999989</v>
      </c>
      <c r="AK73" s="13">
        <f t="shared" si="89"/>
        <v>72.480526049067294</v>
      </c>
      <c r="AL73" s="20">
        <f t="shared" si="58"/>
        <v>659.58401620212533</v>
      </c>
      <c r="AM73" s="59">
        <f t="shared" si="59"/>
        <v>952.9173495354587</v>
      </c>
      <c r="AN73" s="59">
        <f ca="1">AVERAGE(OFFSET($AM$3,0,0,'Données projet'!$E$10+1,1))-AVERAGE(OFFSET($H$3,0,0,'Données projet'!$E$10+1,1))</f>
        <v>356.320269084225</v>
      </c>
      <c r="AO73" s="59">
        <f t="shared" si="90"/>
        <v>208.88199836488002</v>
      </c>
      <c r="AP73" s="15">
        <f>IF(ISNA(VLOOKUP(A73,'Données projet'!$A$61:$I$81,3,0)),0,VLOOKUP(A73,'Données projet'!$A$61:$I$81,3,0))</f>
        <v>11</v>
      </c>
      <c r="AQ73" s="15">
        <f>IF(ISNA(VLOOKUP(A73,'Données projet'!$A$61:$I$81,4,0)),0,VLOOKUP(A73,'Données projet'!$A$61:$I$81,4,0))</f>
        <v>28</v>
      </c>
      <c r="AR73" s="16">
        <f>IF(ISNA(VLOOKUP(A73,'Données projet'!$A$61:$I$81,5,0)),0%,VLOOKUP(A73,'Données projet'!$A$61:$I$81,5,0)*VLOOKUP('Données projet'!$B$10,Paramètres!$A$1:$I$89,7,0))</f>
        <v>0.215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24.934476434289103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24.934476434289103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2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63.133200000000073</v>
      </c>
      <c r="D74" s="11">
        <f t="shared" si="86"/>
        <v>17.958078240325332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625.96776185514352</v>
      </c>
      <c r="H74" s="67">
        <f t="shared" si="56"/>
        <v>434.56730960190009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6.2</v>
      </c>
      <c r="N74" s="13">
        <f>IF('Données projet'!$A$36&gt;35,N73+M74-V73,IF(A74&lt;'Données projet'!$A$36,$K$205^A74,IF(A74='Données projet'!$A$36,'Données projet'!$B$36,N73+M74-V73)))</f>
        <v>227.2</v>
      </c>
      <c r="O74" s="13">
        <f>N74*VLOOKUP('Données projet'!$B$9,Paramètres!$A$1:$I$89,3,0)*VLOOKUP('Données projet'!$B$9,Paramètres!$A$1:$I$89,5,0)</f>
        <v>205.57055999999997</v>
      </c>
      <c r="P74" s="13">
        <f t="shared" si="87"/>
        <v>50.966443946767392</v>
      </c>
      <c r="Q74" s="20">
        <f t="shared" si="54"/>
        <v>446.80194854061978</v>
      </c>
      <c r="R74" s="59">
        <f t="shared" si="55"/>
        <v>740.13528187395309</v>
      </c>
      <c r="S74" s="59">
        <f ca="1">AVERAGE(OFFSET($R$3,0,0,'Données projet'!$E$9+1,1))-AVERAGE(OFFSET($H$3,0,0,'Données projet'!$E$9+1,1))</f>
        <v>221.63427112734911</v>
      </c>
      <c r="T74" s="59">
        <f t="shared" si="88"/>
        <v>133.63266168802033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16.359698543960913</v>
      </c>
      <c r="AA74" s="21">
        <f>EXP(-LN(2)/25)*AA73+(1-EXP(-LN(2)/25))/(LN(2)/25)*Calculateur!V74*Calculateur!X74*VLOOKUP('Données projet'!$B$9,Paramètres!$A$1:$I$89,3,0)*0.475*44/12</f>
        <v>0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16.359698543960913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7.6</v>
      </c>
      <c r="AI74" s="13">
        <f>IF('Données projet'!$A$62&gt;35,AI73+AH74-AQ73,IF(A74&lt;'Données projet'!$A$62,$AF$205^A74,IF(A74='Données projet'!$A$62,'Données projet'!$B$62,AI73+AH74-AQ73)))</f>
        <v>281.59999999999991</v>
      </c>
      <c r="AJ74" s="13">
        <f>AI74*VLOOKUP('Données projet'!$B$10,Paramètres!$A$1:$I$89,3,0)*VLOOKUP('Données projet'!$B$10,Paramètres!$A$1:$I$89,5,0)</f>
        <v>285.54239999999993</v>
      </c>
      <c r="AK74" s="13">
        <f t="shared" si="89"/>
        <v>68.136937829389467</v>
      </c>
      <c r="AL74" s="20">
        <f t="shared" si="58"/>
        <v>615.99151338618651</v>
      </c>
      <c r="AM74" s="59">
        <f t="shared" si="59"/>
        <v>909.32484671951988</v>
      </c>
      <c r="AN74" s="59">
        <f ca="1">AVERAGE(OFFSET($AM$3,0,0,'Données projet'!$E$10+1,1))-AVERAGE(OFFSET($H$3,0,0,'Données projet'!$E$10+1,1))</f>
        <v>356.320269084225</v>
      </c>
      <c r="AO74" s="59">
        <f t="shared" si="90"/>
        <v>208.88199836488002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24.445526559941602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24.445526559941602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2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64.022400000000076</v>
      </c>
      <c r="D75" s="11">
        <f t="shared" si="86"/>
        <v>18.181385543312256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634.55553752732339</v>
      </c>
      <c r="H75" s="67">
        <f t="shared" si="56"/>
        <v>436.50492648793568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6.2</v>
      </c>
      <c r="N75" s="13">
        <f>IF('Données projet'!$A$36&gt;35,N74+M75-V74,IF(A75&lt;'Données projet'!$A$36,$K$205^A75,IF(A75='Données projet'!$A$36,'Données projet'!$B$36,N74+M75-V74)))</f>
        <v>233.39999999999998</v>
      </c>
      <c r="O75" s="13">
        <f>N75*VLOOKUP('Données projet'!$B$9,Paramètres!$A$1:$I$89,3,0)*VLOOKUP('Données projet'!$B$9,Paramètres!$A$1:$I$89,5,0)</f>
        <v>211.18031999999999</v>
      </c>
      <c r="P75" s="13">
        <f t="shared" si="87"/>
        <v>52.193431117443019</v>
      </c>
      <c r="Q75" s="20">
        <f t="shared" si="54"/>
        <v>458.70928319621322</v>
      </c>
      <c r="R75" s="59">
        <f t="shared" si="55"/>
        <v>752.04261652954654</v>
      </c>
      <c r="S75" s="59">
        <f ca="1">AVERAGE(OFFSET($R$3,0,0,'Données projet'!$E$9+1,1))-AVERAGE(OFFSET($H$3,0,0,'Données projet'!$E$9+1,1))</f>
        <v>221.63427112734911</v>
      </c>
      <c r="T75" s="59">
        <f t="shared" si="88"/>
        <v>133.63266168802033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16.038894833944664</v>
      </c>
      <c r="AA75" s="21">
        <f>EXP(-LN(2)/25)*AA74+(1-EXP(-LN(2)/25))/(LN(2)/25)*Calculateur!V75*Calculateur!X75*VLOOKUP('Données projet'!$B$9,Paramètres!$A$1:$I$89,3,0)*0.475*44/12</f>
        <v>0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16.038894833944664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7.6</v>
      </c>
      <c r="AI75" s="13">
        <f>IF('Données projet'!$A$62&gt;35,AI74+AH75-AQ74,IF(A75&lt;'Données projet'!$A$62,$AF$205^A75,IF(A75='Données projet'!$A$62,'Données projet'!$B$62,AI74+AH75-AQ74)))</f>
        <v>289.19999999999993</v>
      </c>
      <c r="AJ75" s="13">
        <f>AI75*VLOOKUP('Données projet'!$B$10,Paramètres!$A$1:$I$89,3,0)*VLOOKUP('Données projet'!$B$10,Paramètres!$A$1:$I$89,5,0)</f>
        <v>293.24879999999996</v>
      </c>
      <c r="AK75" s="13">
        <f t="shared" si="89"/>
        <v>69.759283249126327</v>
      </c>
      <c r="AL75" s="20">
        <f t="shared" si="58"/>
        <v>632.23907832556165</v>
      </c>
      <c r="AM75" s="59">
        <f t="shared" si="59"/>
        <v>925.57241165889491</v>
      </c>
      <c r="AN75" s="59">
        <f ca="1">AVERAGE(OFFSET($AM$3,0,0,'Données projet'!$E$10+1,1))-AVERAGE(OFFSET($H$3,0,0,'Données projet'!$E$10+1,1))</f>
        <v>356.320269084225</v>
      </c>
      <c r="AO75" s="59">
        <f t="shared" si="90"/>
        <v>208.88199836488002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23.966164694400078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23.966164694400078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2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64.911600000000078</v>
      </c>
      <c r="D76" s="11">
        <f t="shared" si="86"/>
        <v>18.404332112224722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643.14052858559501</v>
      </c>
      <c r="H76" s="67">
        <f t="shared" si="56"/>
        <v>438.44191509545817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6.2</v>
      </c>
      <c r="N76" s="13">
        <f>IF('Données projet'!$A$36&gt;35,N75+M76-V75,IF(A76&lt;'Données projet'!$A$36,$K$205^A76,IF(A76='Données projet'!$A$36,'Données projet'!$B$36,N75+M76-V75)))</f>
        <v>239.59999999999997</v>
      </c>
      <c r="O76" s="13">
        <f>N76*VLOOKUP('Données projet'!$B$9,Paramètres!$A$1:$I$89,3,0)*VLOOKUP('Données projet'!$B$9,Paramètres!$A$1:$I$89,5,0)</f>
        <v>216.79007999999996</v>
      </c>
      <c r="P76" s="13">
        <f t="shared" si="87"/>
        <v>53.416629794462551</v>
      </c>
      <c r="Q76" s="20">
        <f t="shared" si="54"/>
        <v>470.61001955868886</v>
      </c>
      <c r="R76" s="59">
        <f t="shared" si="55"/>
        <v>763.94335289202218</v>
      </c>
      <c r="S76" s="59">
        <f ca="1">AVERAGE(OFFSET($R$3,0,0,'Données projet'!$E$9+1,1))-AVERAGE(OFFSET($H$3,0,0,'Données projet'!$E$9+1,1))</f>
        <v>221.63427112734911</v>
      </c>
      <c r="T76" s="59">
        <f t="shared" si="88"/>
        <v>133.63266168802033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15.724381889010891</v>
      </c>
      <c r="AA76" s="21">
        <f>EXP(-LN(2)/25)*AA75+(1-EXP(-LN(2)/25))/(LN(2)/25)*Calculateur!V76*Calculateur!X76*VLOOKUP('Données projet'!$B$9,Paramètres!$A$1:$I$89,3,0)*0.475*44/12</f>
        <v>0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15.724381889010891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7.6</v>
      </c>
      <c r="AI76" s="13">
        <f>IF('Données projet'!$A$62&gt;35,AI75+AH76-AQ75,IF(A76&lt;'Données projet'!$A$62,$AF$205^A76,IF(A76='Données projet'!$A$62,'Données projet'!$B$62,AI75+AH76-AQ75)))</f>
        <v>296.79999999999995</v>
      </c>
      <c r="AJ76" s="13">
        <f>AI76*VLOOKUP('Données projet'!$B$10,Paramètres!$A$1:$I$89,3,0)*VLOOKUP('Données projet'!$B$10,Paramètres!$A$1:$I$89,5,0)</f>
        <v>300.95519999999999</v>
      </c>
      <c r="AK76" s="13">
        <f t="shared" si="89"/>
        <v>71.376673021759785</v>
      </c>
      <c r="AL76" s="20">
        <f t="shared" si="58"/>
        <v>648.47801217956487</v>
      </c>
      <c r="AM76" s="59">
        <f t="shared" si="59"/>
        <v>941.81134551289824</v>
      </c>
      <c r="AN76" s="59">
        <f ca="1">AVERAGE(OFFSET($AM$3,0,0,'Données projet'!$E$10+1,1))-AVERAGE(OFFSET($H$3,0,0,'Données projet'!$E$10+1,1))</f>
        <v>356.320269084225</v>
      </c>
      <c r="AO76" s="59">
        <f t="shared" si="90"/>
        <v>208.88199836488002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23.496202822659956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23.496202822659956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2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65.800800000000081</v>
      </c>
      <c r="D77" s="11">
        <f t="shared" si="86"/>
        <v>18.626923459774314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651.72277758422342</v>
      </c>
      <c r="H77" s="67">
        <f t="shared" si="56"/>
        <v>440.37828502577372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6.2</v>
      </c>
      <c r="N77" s="13">
        <f>IF('Données projet'!$A$36&gt;35,N76+M77-V76,IF(A77&lt;'Données projet'!$A$36,$K$205^A77,IF(A77='Données projet'!$A$36,'Données projet'!$B$36,N76+M77-V76)))</f>
        <v>245.79999999999995</v>
      </c>
      <c r="O77" s="13">
        <f>N77*VLOOKUP('Données projet'!$B$9,Paramètres!$A$1:$I$89,3,0)*VLOOKUP('Données projet'!$B$9,Paramètres!$A$1:$I$89,5,0)</f>
        <v>222.39983999999995</v>
      </c>
      <c r="P77" s="13">
        <f t="shared" si="87"/>
        <v>54.636149281681448</v>
      </c>
      <c r="Q77" s="20">
        <f t="shared" si="54"/>
        <v>482.50434799892838</v>
      </c>
      <c r="R77" s="59">
        <f t="shared" si="55"/>
        <v>775.8376813322617</v>
      </c>
      <c r="S77" s="59">
        <f ca="1">AVERAGE(OFFSET($R$3,0,0,'Données projet'!$E$9+1,1))-AVERAGE(OFFSET($H$3,0,0,'Données projet'!$E$9+1,1))</f>
        <v>221.63427112734911</v>
      </c>
      <c r="T77" s="59">
        <f t="shared" si="88"/>
        <v>133.63266168802033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15.416036351093314</v>
      </c>
      <c r="AA77" s="21">
        <f>EXP(-LN(2)/25)*AA76+(1-EXP(-LN(2)/25))/(LN(2)/25)*Calculateur!V77*Calculateur!X77*VLOOKUP('Données projet'!$B$9,Paramètres!$A$1:$I$89,3,0)*0.475*44/12</f>
        <v>0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15.416036351093314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7.6</v>
      </c>
      <c r="AI77" s="13">
        <f>IF('Données projet'!$A$62&gt;35,AI76+AH77-AQ76,IF(A77&lt;'Données projet'!$A$62,$AF$205^A77,IF(A77='Données projet'!$A$62,'Données projet'!$B$62,AI76+AH77-AQ76)))</f>
        <v>304.39999999999998</v>
      </c>
      <c r="AJ77" s="13">
        <f>AI77*VLOOKUP('Données projet'!$B$10,Paramètres!$A$1:$I$89,3,0)*VLOOKUP('Données projet'!$B$10,Paramètres!$A$1:$I$89,5,0)</f>
        <v>308.66159999999996</v>
      </c>
      <c r="AK77" s="13">
        <f t="shared" si="89"/>
        <v>72.98924863505313</v>
      </c>
      <c r="AL77" s="20">
        <f t="shared" si="58"/>
        <v>664.70856137271744</v>
      </c>
      <c r="AM77" s="59">
        <f t="shared" si="59"/>
        <v>958.0418947060507</v>
      </c>
      <c r="AN77" s="59">
        <f ca="1">AVERAGE(OFFSET($AM$3,0,0,'Données projet'!$E$10+1,1))-AVERAGE(OFFSET($H$3,0,0,'Données projet'!$E$10+1,1))</f>
        <v>356.320269084225</v>
      </c>
      <c r="AO77" s="59">
        <f t="shared" si="90"/>
        <v>208.88199836488002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23.035456616576223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23.035456616576223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2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66.690000000000083</v>
      </c>
      <c r="D78" s="11">
        <f t="shared" si="86"/>
        <v>18.849164941118655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660.30232586126749</v>
      </c>
      <c r="H78" s="67">
        <f t="shared" si="56"/>
        <v>442.31404560578176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>
        <f>VLOOKUP(A78,'Données projet'!$A$35:$I$55,2,0)</f>
        <v>252</v>
      </c>
      <c r="L78" s="12">
        <f>VLOOKUP(A78,'Données projet'!$A$35:$I$55,9,0)</f>
        <v>6.2</v>
      </c>
      <c r="M78" s="12">
        <f t="array" ref="M78">INDEX(L:L,MIN(IF(ISNUMBER(L78:L274),ROW(L78:L274),"")))</f>
        <v>6.2</v>
      </c>
      <c r="N78" s="13">
        <f>IF('Données projet'!$A$36&gt;35,N77+M78-V77,IF(A78&lt;'Données projet'!$A$36,$K$205^A78,IF(A78='Données projet'!$A$36,'Données projet'!$B$36,N77+M78-V77)))</f>
        <v>251.99999999999994</v>
      </c>
      <c r="O78" s="13">
        <f>N78*VLOOKUP('Données projet'!$B$9,Paramètres!$A$1:$I$89,3,0)*VLOOKUP('Données projet'!$B$9,Paramètres!$A$1:$I$89,5,0)</f>
        <v>228.00959999999995</v>
      </c>
      <c r="P78" s="13">
        <f t="shared" si="87"/>
        <v>55.852093054619829</v>
      </c>
      <c r="Q78" s="20">
        <f t="shared" si="54"/>
        <v>494.3924487367961</v>
      </c>
      <c r="R78" s="59">
        <f t="shared" si="55"/>
        <v>787.72578207012941</v>
      </c>
      <c r="S78" s="59">
        <f ca="1">AVERAGE(OFFSET($R$3,0,0,'Données projet'!$E$9+1,1))-AVERAGE(OFFSET($H$3,0,0,'Données projet'!$E$9+1,1))</f>
        <v>221.63427112734911</v>
      </c>
      <c r="T78" s="59">
        <f t="shared" si="88"/>
        <v>133.63266168802033</v>
      </c>
      <c r="U78" s="15">
        <f>IF(ISNA(VLOOKUP(A78,'Données projet'!$A$35:$I$55,3,0)),0,VLOOKUP(A78,'Données projet'!$A$35:$I$55,3,0))</f>
        <v>12</v>
      </c>
      <c r="V78" s="15">
        <f>IF(ISNA(VLOOKUP(A78,'Données projet'!$A$35:$I$55,4,0)),0,VLOOKUP(A78,'Données projet'!$A$35:$I$55,4,0))</f>
        <v>21</v>
      </c>
      <c r="W78" s="16">
        <f>IF(ISNA(VLOOKUP(A78,'Données projet'!$A$35:$I$55,5,0)),0%,VLOOKUP(A78,'Données projet'!$A$35:$I$55,5,0)*VLOOKUP('Données projet'!$B$9,Paramètres!$A$1:$I$89,7,0))</f>
        <v>0.215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19.629773922399476</v>
      </c>
      <c r="AA78" s="21">
        <f>EXP(-LN(2)/25)*AA77+(1-EXP(-LN(2)/25))/(LN(2)/25)*Calculateur!V78*Calculateur!X78*VLOOKUP('Données projet'!$B$9,Paramètres!$A$1:$I$89,3,0)*0.475*44/12</f>
        <v>0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19.629773922399476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>
        <f>VLOOKUP(A78,'Données projet'!$A$61:$I$81,2,0)</f>
        <v>312</v>
      </c>
      <c r="AG78" s="12">
        <f>VLOOKUP(A78,'Données projet'!$A$61:$I$81,9,0)</f>
        <v>7.6</v>
      </c>
      <c r="AH78" s="12">
        <f t="array" ref="AH78">INDEX(AG:AG,MIN(IF(ISNUMBER(AG78:AG274),ROW(AG78:AG274),"")))</f>
        <v>7.6</v>
      </c>
      <c r="AI78" s="13">
        <f>IF('Données projet'!$A$62&gt;35,AI77+AH78-AQ77,IF(A78&lt;'Données projet'!$A$62,$AF$205^A78,IF(A78='Données projet'!$A$62,'Données projet'!$B$62,AI77+AH78-AQ77)))</f>
        <v>312</v>
      </c>
      <c r="AJ78" s="13">
        <f>AI78*VLOOKUP('Données projet'!$B$10,Paramètres!$A$1:$I$89,3,0)*VLOOKUP('Données projet'!$B$10,Paramètres!$A$1:$I$89,5,0)</f>
        <v>316.36800000000005</v>
      </c>
      <c r="AK78" s="13">
        <f t="shared" si="89"/>
        <v>74.597144109003438</v>
      </c>
      <c r="AL78" s="20">
        <f t="shared" si="58"/>
        <v>680.93095932318113</v>
      </c>
      <c r="AM78" s="59">
        <f t="shared" si="59"/>
        <v>974.2642926565145</v>
      </c>
      <c r="AN78" s="59">
        <f ca="1">AVERAGE(OFFSET($AM$3,0,0,'Données projet'!$E$10+1,1))-AVERAGE(OFFSET($H$3,0,0,'Données projet'!$E$10+1,1))</f>
        <v>356.320269084225</v>
      </c>
      <c r="AO78" s="59">
        <f t="shared" si="90"/>
        <v>208.88199836488002</v>
      </c>
      <c r="AP78" s="15">
        <f>IF(ISNA(VLOOKUP(A78,'Données projet'!$A$61:$I$81,3,0)),0,VLOOKUP(A78,'Données projet'!$A$61:$I$81,3,0))</f>
        <v>12</v>
      </c>
      <c r="AQ78" s="15">
        <f>IF(ISNA(VLOOKUP(A78,'Données projet'!$A$61:$I$81,4,0)),0,VLOOKUP(A78,'Données projet'!$A$61:$I$81,4,0))</f>
        <v>28</v>
      </c>
      <c r="AR78" s="16">
        <f>IF(ISNA(VLOOKUP(A78,'Données projet'!$A$61:$I$81,5,0)),0%,VLOOKUP(A78,'Données projet'!$A$61:$I$81,5,0)*VLOOKUP('Données projet'!$B$10,Paramètres!$A$1:$I$89,7,0))</f>
        <v>0.215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29.331846090941752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29.331846090941752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2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67.579200000000085</v>
      </c>
      <c r="D79" s="11">
        <f t="shared" si="86"/>
        <v>19.071061760403854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668.87921358908307</v>
      </c>
      <c r="H79" s="67">
        <f t="shared" si="56"/>
        <v>444.24920589937017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6</v>
      </c>
      <c r="N79" s="13">
        <f>IF('Données projet'!$A$36&gt;35,N78+M79-V78,IF(A79&lt;'Données projet'!$A$36,$K$205^A79,IF(A79='Données projet'!$A$36,'Données projet'!$B$36,N78+M79-V78)))</f>
        <v>236.99999999999994</v>
      </c>
      <c r="O79" s="13">
        <f>N79*VLOOKUP('Données projet'!$B$9,Paramètres!$A$1:$I$89,3,0)*VLOOKUP('Données projet'!$B$9,Paramètres!$A$1:$I$89,5,0)</f>
        <v>214.43759999999992</v>
      </c>
      <c r="P79" s="13">
        <f t="shared" si="87"/>
        <v>52.904129603372375</v>
      </c>
      <c r="Q79" s="20">
        <f t="shared" si="54"/>
        <v>465.62017905920675</v>
      </c>
      <c r="R79" s="59">
        <f t="shared" si="55"/>
        <v>758.95351239254001</v>
      </c>
      <c r="S79" s="59">
        <f ca="1">AVERAGE(OFFSET($R$3,0,0,'Données projet'!$E$9+1,1))-AVERAGE(OFFSET($H$3,0,0,'Données projet'!$E$9+1,1))</f>
        <v>221.63427112734911</v>
      </c>
      <c r="T79" s="59">
        <f t="shared" si="88"/>
        <v>133.63266168802033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19.244846028761081</v>
      </c>
      <c r="AA79" s="21">
        <f>EXP(-LN(2)/25)*AA78+(1-EXP(-LN(2)/25))/(LN(2)/25)*Calculateur!V79*Calculateur!X79*VLOOKUP('Données projet'!$B$9,Paramètres!$A$1:$I$89,3,0)*0.475*44/12</f>
        <v>0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19.244846028761081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7.2</v>
      </c>
      <c r="AI79" s="13">
        <f>IF('Données projet'!$A$62&gt;35,AI78+AH79-AQ78,IF(A79&lt;'Données projet'!$A$62,$AF$205^A79,IF(A79='Données projet'!$A$62,'Données projet'!$B$62,AI78+AH79-AQ78)))</f>
        <v>291.2</v>
      </c>
      <c r="AJ79" s="13">
        <f>AI79*VLOOKUP('Données projet'!$B$10,Paramètres!$A$1:$I$89,3,0)*VLOOKUP('Données projet'!$B$10,Paramètres!$A$1:$I$89,5,0)</f>
        <v>295.27680000000004</v>
      </c>
      <c r="AK79" s="13">
        <f t="shared" si="89"/>
        <v>70.185386686980493</v>
      </c>
      <c r="AL79" s="20">
        <f t="shared" si="58"/>
        <v>636.51330847982445</v>
      </c>
      <c r="AM79" s="59">
        <f t="shared" si="59"/>
        <v>929.8466418131577</v>
      </c>
      <c r="AN79" s="59">
        <f ca="1">AVERAGE(OFFSET($AM$3,0,0,'Données projet'!$E$10+1,1))-AVERAGE(OFFSET($H$3,0,0,'Données projet'!$E$10+1,1))</f>
        <v>356.320269084225</v>
      </c>
      <c r="AO79" s="59">
        <f t="shared" si="90"/>
        <v>208.88199836488002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28.756666479757943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28.756666479757943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2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68.468400000000088</v>
      </c>
      <c r="D80" s="11">
        <f t="shared" si="86"/>
        <v>19.292618976952753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677.45347982209216</v>
      </c>
      <c r="H80" s="67">
        <f t="shared" si="56"/>
        <v>446.18377471819281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6</v>
      </c>
      <c r="N80" s="13">
        <f>IF('Données projet'!$A$36&gt;35,N79+M80-V79,IF(A80&lt;'Données projet'!$A$36,$K$205^A80,IF(A80='Données projet'!$A$36,'Données projet'!$B$36,N79+M80-V79)))</f>
        <v>242.99999999999994</v>
      </c>
      <c r="O80" s="13">
        <f>N80*VLOOKUP('Données projet'!$B$9,Paramètres!$A$1:$I$89,3,0)*VLOOKUP('Données projet'!$B$9,Paramètres!$A$1:$I$89,5,0)</f>
        <v>219.86639999999997</v>
      </c>
      <c r="P80" s="13">
        <f t="shared" si="87"/>
        <v>54.085847394182416</v>
      </c>
      <c r="Q80" s="20">
        <f t="shared" si="54"/>
        <v>477.13349754486762</v>
      </c>
      <c r="R80" s="59">
        <f t="shared" si="55"/>
        <v>770.46683087820088</v>
      </c>
      <c r="S80" s="59">
        <f ca="1">AVERAGE(OFFSET($R$3,0,0,'Données projet'!$E$9+1,1))-AVERAGE(OFFSET($H$3,0,0,'Données projet'!$E$9+1,1))</f>
        <v>221.63427112734911</v>
      </c>
      <c r="T80" s="59">
        <f t="shared" si="88"/>
        <v>133.63266168802033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18.867466336334104</v>
      </c>
      <c r="AA80" s="21">
        <f>EXP(-LN(2)/25)*AA79+(1-EXP(-LN(2)/25))/(LN(2)/25)*Calculateur!V80*Calculateur!X80*VLOOKUP('Données projet'!$B$9,Paramètres!$A$1:$I$89,3,0)*0.475*44/12</f>
        <v>0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18.867466336334104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7.2</v>
      </c>
      <c r="AI80" s="13">
        <f>IF('Données projet'!$A$62&gt;35,AI79+AH80-AQ79,IF(A80&lt;'Données projet'!$A$62,$AF$205^A80,IF(A80='Données projet'!$A$62,'Données projet'!$B$62,AI79+AH80-AQ79)))</f>
        <v>298.39999999999998</v>
      </c>
      <c r="AJ80" s="13">
        <f>AI80*VLOOKUP('Données projet'!$B$10,Paramètres!$A$1:$I$89,3,0)*VLOOKUP('Données projet'!$B$10,Paramètres!$A$1:$I$89,5,0)</f>
        <v>302.57759999999996</v>
      </c>
      <c r="AK80" s="13">
        <f t="shared" si="89"/>
        <v>71.716558091076294</v>
      </c>
      <c r="AL80" s="20">
        <f t="shared" si="58"/>
        <v>651.89565867529109</v>
      </c>
      <c r="AM80" s="59">
        <f t="shared" si="59"/>
        <v>945.22899200862435</v>
      </c>
      <c r="AN80" s="59">
        <f ca="1">AVERAGE(OFFSET($AM$3,0,0,'Données projet'!$E$10+1,1))-AVERAGE(OFFSET($H$3,0,0,'Données projet'!$E$10+1,1))</f>
        <v>356.320269084225</v>
      </c>
      <c r="AO80" s="59">
        <f t="shared" si="90"/>
        <v>208.88199836488002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28.192765789924529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28.192765789924529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2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69.35760000000009</v>
      </c>
      <c r="D81" s="11">
        <f t="shared" si="86"/>
        <v>19.51384151112245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686.02516254199861</v>
      </c>
      <c r="H81" s="67">
        <f t="shared" si="56"/>
        <v>448.11776063187176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6</v>
      </c>
      <c r="N81" s="13">
        <f>IF('Données projet'!$A$36&gt;35,N80+M81-V80,IF(A81&lt;'Données projet'!$A$36,$K$205^A81,IF(A81='Données projet'!$A$36,'Données projet'!$B$36,N80+M81-V80)))</f>
        <v>248.99999999999994</v>
      </c>
      <c r="O81" s="13">
        <f>N81*VLOOKUP('Données projet'!$B$9,Paramètres!$A$1:$I$89,3,0)*VLOOKUP('Données projet'!$B$9,Paramètres!$A$1:$I$89,5,0)</f>
        <v>225.29519999999994</v>
      </c>
      <c r="P81" s="13">
        <f t="shared" si="87"/>
        <v>55.264173352293078</v>
      </c>
      <c r="Q81" s="20">
        <f t="shared" si="54"/>
        <v>488.64090858857691</v>
      </c>
      <c r="R81" s="59">
        <f t="shared" si="55"/>
        <v>781.97424192191022</v>
      </c>
      <c r="S81" s="59">
        <f ca="1">AVERAGE(OFFSET($R$3,0,0,'Données projet'!$E$9+1,1))-AVERAGE(OFFSET($H$3,0,0,'Données projet'!$E$9+1,1))</f>
        <v>221.63427112734911</v>
      </c>
      <c r="T81" s="59">
        <f t="shared" si="88"/>
        <v>133.63266168802033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18.497486829496737</v>
      </c>
      <c r="AA81" s="21">
        <f>EXP(-LN(2)/25)*AA80+(1-EXP(-LN(2)/25))/(LN(2)/25)*Calculateur!V81*Calculateur!X81*VLOOKUP('Données projet'!$B$9,Paramètres!$A$1:$I$89,3,0)*0.475*44/12</f>
        <v>0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18.497486829496737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7.2</v>
      </c>
      <c r="AI81" s="13">
        <f>IF('Données projet'!$A$62&gt;35,AI80+AH81-AQ80,IF(A81&lt;'Données projet'!$A$62,$AF$205^A81,IF(A81='Données projet'!$A$62,'Données projet'!$B$62,AI80+AH81-AQ80)))</f>
        <v>305.59999999999997</v>
      </c>
      <c r="AJ81" s="13">
        <f>AI81*VLOOKUP('Données projet'!$B$10,Paramètres!$A$1:$I$89,3,0)*VLOOKUP('Données projet'!$B$10,Paramètres!$A$1:$I$89,5,0)</f>
        <v>309.8784</v>
      </c>
      <c r="AK81" s="13">
        <f t="shared" si="89"/>
        <v>73.243434672131556</v>
      </c>
      <c r="AL81" s="20">
        <f t="shared" si="58"/>
        <v>667.27052872062904</v>
      </c>
      <c r="AM81" s="59">
        <f t="shared" si="59"/>
        <v>960.6038620539623</v>
      </c>
      <c r="AN81" s="59">
        <f ca="1">AVERAGE(OFFSET($AM$3,0,0,'Données projet'!$E$10+1,1))-AVERAGE(OFFSET($H$3,0,0,'Données projet'!$E$10+1,1))</f>
        <v>356.320269084225</v>
      </c>
      <c r="AO81" s="59">
        <f t="shared" si="90"/>
        <v>208.88199836488002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27.639922848673287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27.639922848673287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2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70.246800000000093</v>
      </c>
      <c r="D82" s="11">
        <f t="shared" si="86"/>
        <v>19.734734149853086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694.59429870062104</v>
      </c>
      <c r="H82" s="67">
        <f t="shared" si="56"/>
        <v>450.05117197766094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6</v>
      </c>
      <c r="N82" s="13">
        <f>IF('Données projet'!$A$36&gt;35,N81+M82-V81,IF(A82&lt;'Données projet'!$A$36,$K$205^A82,IF(A82='Données projet'!$A$36,'Données projet'!$B$36,N81+M82-V81)))</f>
        <v>254.99999999999994</v>
      </c>
      <c r="O82" s="13">
        <f>N82*VLOOKUP('Données projet'!$B$9,Paramètres!$A$1:$I$89,3,0)*VLOOKUP('Données projet'!$B$9,Paramètres!$A$1:$I$89,5,0)</f>
        <v>230.72399999999993</v>
      </c>
      <c r="P82" s="13">
        <f t="shared" si="87"/>
        <v>56.439198612082045</v>
      </c>
      <c r="Q82" s="20">
        <f t="shared" si="54"/>
        <v>500.14257091604276</v>
      </c>
      <c r="R82" s="59">
        <f t="shared" si="55"/>
        <v>793.47590424937607</v>
      </c>
      <c r="S82" s="59">
        <f ca="1">AVERAGE(OFFSET($R$3,0,0,'Données projet'!$E$9+1,1))-AVERAGE(OFFSET($H$3,0,0,'Données projet'!$E$9+1,1))</f>
        <v>221.63427112734911</v>
      </c>
      <c r="T82" s="59">
        <f t="shared" si="88"/>
        <v>133.63266168802033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18.134762395123232</v>
      </c>
      <c r="AA82" s="21">
        <f>EXP(-LN(2)/25)*AA81+(1-EXP(-LN(2)/25))/(LN(2)/25)*Calculateur!V82*Calculateur!X82*VLOOKUP('Données projet'!$B$9,Paramètres!$A$1:$I$89,3,0)*0.475*44/12</f>
        <v>0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18.134762395123232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7.2</v>
      </c>
      <c r="AI82" s="13">
        <f>IF('Données projet'!$A$62&gt;35,AI81+AH82-AQ81,IF(A82&lt;'Données projet'!$A$62,$AF$205^A82,IF(A82='Données projet'!$A$62,'Données projet'!$B$62,AI81+AH82-AQ81)))</f>
        <v>312.79999999999995</v>
      </c>
      <c r="AJ82" s="13">
        <f>AI82*VLOOKUP('Données projet'!$B$10,Paramètres!$A$1:$I$89,3,0)*VLOOKUP('Données projet'!$B$10,Paramètres!$A$1:$I$89,5,0)</f>
        <v>317.17919999999998</v>
      </c>
      <c r="AK82" s="13">
        <f t="shared" si="89"/>
        <v>74.766129261581426</v>
      </c>
      <c r="AL82" s="20">
        <f t="shared" si="58"/>
        <v>682.63811513058749</v>
      </c>
      <c r="AM82" s="59">
        <f t="shared" si="59"/>
        <v>975.97144846392075</v>
      </c>
      <c r="AN82" s="59">
        <f ca="1">AVERAGE(OFFSET($AM$3,0,0,'Données projet'!$E$10+1,1))-AVERAGE(OFFSET($H$3,0,0,'Données projet'!$E$10+1,1))</f>
        <v>356.320269084225</v>
      </c>
      <c r="AO82" s="59">
        <f t="shared" si="90"/>
        <v>208.88199836488002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27.097920820299084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27.097920820299084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2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71.136000000000095</v>
      </c>
      <c r="D83" s="11">
        <f t="shared" si="86"/>
        <v>19.955301551927505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703.16092426049374</v>
      </c>
      <c r="H83" s="67">
        <f t="shared" si="56"/>
        <v>451.98401686960722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261</v>
      </c>
      <c r="L83" s="12">
        <f>VLOOKUP(A83,'Données projet'!$A$35:$I$55,9,0)</f>
        <v>6</v>
      </c>
      <c r="M83" s="12">
        <f t="array" ref="M83">INDEX(L:L,MIN(IF(ISNUMBER(L83:L279),ROW(L83:L279),"")))</f>
        <v>6</v>
      </c>
      <c r="N83" s="13">
        <f>IF('Données projet'!$A$36&gt;35,N82+M83-V82,IF(A83&lt;'Données projet'!$A$36,$K$205^A83,IF(A83='Données projet'!$A$36,'Données projet'!$B$36,N82+M83-V82)))</f>
        <v>260.99999999999994</v>
      </c>
      <c r="O83" s="13">
        <f>N83*VLOOKUP('Données projet'!$B$9,Paramètres!$A$1:$I$89,3,0)*VLOOKUP('Données projet'!$B$9,Paramètres!$A$1:$I$89,5,0)</f>
        <v>236.15279999999996</v>
      </c>
      <c r="P83" s="13">
        <f t="shared" si="87"/>
        <v>57.61100977459936</v>
      </c>
      <c r="Q83" s="20">
        <f t="shared" si="54"/>
        <v>511.63863535742718</v>
      </c>
      <c r="R83" s="59">
        <f t="shared" si="55"/>
        <v>804.97196869076049</v>
      </c>
      <c r="S83" s="59">
        <f ca="1">AVERAGE(OFFSET($R$3,0,0,'Données projet'!$E$9+1,1))-AVERAGE(OFFSET($H$3,0,0,'Données projet'!$E$9+1,1))</f>
        <v>221.63427112734911</v>
      </c>
      <c r="T83" s="59">
        <f t="shared" si="88"/>
        <v>133.63266168802033</v>
      </c>
      <c r="U83" s="15">
        <f>IF(ISNA(VLOOKUP(A83,'Données projet'!$A$35:$I$55,3,0)),0,VLOOKUP(A83,'Données projet'!$A$35:$I$55,3,0))</f>
        <v>13</v>
      </c>
      <c r="V83" s="15">
        <f>IF(ISNA(VLOOKUP(A83,'Données projet'!$A$35:$I$55,4,0)),0,VLOOKUP(A83,'Données projet'!$A$35:$I$55,4,0))</f>
        <v>21</v>
      </c>
      <c r="W83" s="16">
        <f>IF(ISNA(VLOOKUP(A83,'Données projet'!$A$35:$I$55,5,0)),0%,VLOOKUP(A83,'Données projet'!$A$35:$I$55,5,0)*VLOOKUP('Données projet'!$B$9,Paramètres!$A$1:$I$89,7,0))</f>
        <v>0.25800000000000001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23.198394735224589</v>
      </c>
      <c r="AA83" s="21">
        <f>EXP(-LN(2)/25)*AA82+(1-EXP(-LN(2)/25))/(LN(2)/25)*Calculateur!V83*Calculateur!X83*VLOOKUP('Données projet'!$B$9,Paramètres!$A$1:$I$89,3,0)*0.475*44/12</f>
        <v>0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23.198394735224589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320</v>
      </c>
      <c r="AG83" s="12">
        <f>VLOOKUP(A83,'Données projet'!$A$61:$I$81,9,0)</f>
        <v>7.2</v>
      </c>
      <c r="AH83" s="12">
        <f t="array" ref="AH83">INDEX(AG:AG,MIN(IF(ISNUMBER(AG83:AG279),ROW(AG83:AG279),"")))</f>
        <v>7.2</v>
      </c>
      <c r="AI83" s="13">
        <f>IF('Données projet'!$A$62&gt;35,AI82+AH83-AQ82,IF(A83&lt;'Données projet'!$A$62,$AF$205^A83,IF(A83='Données projet'!$A$62,'Données projet'!$B$62,AI82+AH83-AQ82)))</f>
        <v>319.99999999999994</v>
      </c>
      <c r="AJ83" s="13">
        <f>AI83*VLOOKUP('Données projet'!$B$10,Paramètres!$A$1:$I$89,3,0)*VLOOKUP('Données projet'!$B$10,Paramètres!$A$1:$I$89,5,0)</f>
        <v>324.47999999999996</v>
      </c>
      <c r="AK83" s="13">
        <f t="shared" si="89"/>
        <v>76.284749200165507</v>
      </c>
      <c r="AL83" s="20">
        <f t="shared" si="58"/>
        <v>697.99860485695478</v>
      </c>
      <c r="AM83" s="59">
        <f t="shared" si="59"/>
        <v>991.33193819028816</v>
      </c>
      <c r="AN83" s="59">
        <f ca="1">AVERAGE(OFFSET($AM$3,0,0,'Données projet'!$E$10+1,1))-AVERAGE(OFFSET($H$3,0,0,'Données projet'!$E$10+1,1))</f>
        <v>356.320269084225</v>
      </c>
      <c r="AO83" s="59">
        <f t="shared" si="90"/>
        <v>208.88199836488002</v>
      </c>
      <c r="AP83" s="15">
        <f>IF(ISNA(VLOOKUP(A83,'Données projet'!$A$61:$I$81,3,0)),0,VLOOKUP(A83,'Données projet'!$A$61:$I$81,3,0))</f>
        <v>13</v>
      </c>
      <c r="AQ83" s="15">
        <f>IF(ISNA(VLOOKUP(A83,'Données projet'!$A$61:$I$81,4,0)),0,VLOOKUP(A83,'Données projet'!$A$61:$I$81,4,0))</f>
        <v>28</v>
      </c>
      <c r="AR83" s="16">
        <f>IF(ISNA(VLOOKUP(A83,'Données projet'!$A$61:$I$81,5,0)),0%,VLOOKUP(A83,'Données projet'!$A$61:$I$81,5,0)*VLOOKUP('Données projet'!$B$10,Paramètres!$A$1:$I$89,7,0))</f>
        <v>0.25800000000000001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34.664267995163186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34.664267995163186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2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72.025200000000098</v>
      </c>
      <c r="D84" s="11">
        <f t="shared" si="86"/>
        <v>20.175548252960489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711.72507423337993</v>
      </c>
      <c r="H84" s="67">
        <f t="shared" si="56"/>
        <v>453.91630320723971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5.8</v>
      </c>
      <c r="N84" s="13">
        <f>IF('Données projet'!$A$36&gt;35,N83+M84-V83,IF(A84&lt;'Données projet'!$A$36,$K$205^A84,IF(A84='Données projet'!$A$36,'Données projet'!$B$36,N83+M84-V83)))</f>
        <v>245.79999999999995</v>
      </c>
      <c r="O84" s="13">
        <f>N84*VLOOKUP('Données projet'!$B$9,Paramètres!$A$1:$I$89,3,0)*VLOOKUP('Données projet'!$B$9,Paramètres!$A$1:$I$89,5,0)</f>
        <v>222.39983999999995</v>
      </c>
      <c r="P84" s="13">
        <f t="shared" si="87"/>
        <v>54.636149281681448</v>
      </c>
      <c r="Q84" s="20">
        <f t="shared" si="54"/>
        <v>482.50434799892838</v>
      </c>
      <c r="R84" s="59">
        <f t="shared" si="55"/>
        <v>775.8376813322617</v>
      </c>
      <c r="S84" s="59">
        <f ca="1">AVERAGE(OFFSET($R$3,0,0,'Données projet'!$E$9+1,1))-AVERAGE(OFFSET($H$3,0,0,'Données projet'!$E$9+1,1))</f>
        <v>221.63427112734911</v>
      </c>
      <c r="T84" s="59">
        <f t="shared" si="88"/>
        <v>133.63266168802033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22.743488364090464</v>
      </c>
      <c r="AA84" s="21">
        <f>EXP(-LN(2)/25)*AA83+(1-EXP(-LN(2)/25))/(LN(2)/25)*Calculateur!V84*Calculateur!X84*VLOOKUP('Données projet'!$B$9,Paramètres!$A$1:$I$89,3,0)*0.475*44/12</f>
        <v>0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22.743488364090464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6.6</v>
      </c>
      <c r="AI84" s="13">
        <f>IF('Données projet'!$A$62&gt;35,AI83+AH84-AQ83,IF(A84&lt;'Données projet'!$A$62,$AF$205^A84,IF(A84='Données projet'!$A$62,'Données projet'!$B$62,AI83+AH84-AQ83)))</f>
        <v>298.59999999999997</v>
      </c>
      <c r="AJ84" s="13">
        <f>AI84*VLOOKUP('Données projet'!$B$10,Paramètres!$A$1:$I$89,3,0)*VLOOKUP('Données projet'!$B$10,Paramètres!$A$1:$I$89,5,0)</f>
        <v>302.78039999999999</v>
      </c>
      <c r="AK84" s="13">
        <f t="shared" si="89"/>
        <v>71.75902878776165</v>
      </c>
      <c r="AL84" s="20">
        <f t="shared" si="58"/>
        <v>652.32283847201813</v>
      </c>
      <c r="AM84" s="59">
        <f t="shared" si="59"/>
        <v>945.65617180535151</v>
      </c>
      <c r="AN84" s="59">
        <f ca="1">AVERAGE(OFFSET($AM$3,0,0,'Données projet'!$E$10+1,1))-AVERAGE(OFFSET($H$3,0,0,'Données projet'!$E$10+1,1))</f>
        <v>356.320269084225</v>
      </c>
      <c r="AO84" s="59">
        <f t="shared" si="90"/>
        <v>208.88199836488002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33.984522842893803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33.984522842893803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2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72.9144000000001</v>
      </c>
      <c r="D85" s="11">
        <f t="shared" si="86"/>
        <v>20.395478670134686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720.28678271683009</v>
      </c>
      <c r="H85" s="67">
        <f t="shared" si="56"/>
        <v>455.84803868381812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5.8</v>
      </c>
      <c r="N85" s="13">
        <f>IF('Données projet'!$A$36&gt;35,N84+M85-V84,IF(A85&lt;'Données projet'!$A$36,$K$205^A85,IF(A85='Données projet'!$A$36,'Données projet'!$B$36,N84+M85-V84)))</f>
        <v>251.59999999999997</v>
      </c>
      <c r="O85" s="13">
        <f>N85*VLOOKUP('Données projet'!$B$9,Paramètres!$A$1:$I$89,3,0)*VLOOKUP('Données projet'!$B$9,Paramètres!$A$1:$I$89,5,0)</f>
        <v>227.64767999999995</v>
      </c>
      <c r="P85" s="13">
        <f t="shared" si="87"/>
        <v>55.773751036838362</v>
      </c>
      <c r="Q85" s="20">
        <f t="shared" si="54"/>
        <v>493.6256590558267</v>
      </c>
      <c r="R85" s="59">
        <f t="shared" si="55"/>
        <v>786.95899238916002</v>
      </c>
      <c r="S85" s="59">
        <f ca="1">AVERAGE(OFFSET($R$3,0,0,'Données projet'!$E$9+1,1))-AVERAGE(OFFSET($H$3,0,0,'Données projet'!$E$9+1,1))</f>
        <v>221.63427112734911</v>
      </c>
      <c r="T85" s="59">
        <f t="shared" si="88"/>
        <v>133.63266168802033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22.297502429428789</v>
      </c>
      <c r="AA85" s="21">
        <f>EXP(-LN(2)/25)*AA84+(1-EXP(-LN(2)/25))/(LN(2)/25)*Calculateur!V85*Calculateur!X85*VLOOKUP('Données projet'!$B$9,Paramètres!$A$1:$I$89,3,0)*0.475*44/12</f>
        <v>0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22.297502429428789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6.6</v>
      </c>
      <c r="AI85" s="13">
        <f>IF('Données projet'!$A$62&gt;35,AI84+AH85-AQ84,IF(A85&lt;'Données projet'!$A$62,$AF$205^A85,IF(A85='Données projet'!$A$62,'Données projet'!$B$62,AI84+AH85-AQ84)))</f>
        <v>305.2</v>
      </c>
      <c r="AJ85" s="13">
        <f>AI85*VLOOKUP('Données projet'!$B$10,Paramètres!$A$1:$I$89,3,0)*VLOOKUP('Données projet'!$B$10,Paramètres!$A$1:$I$89,5,0)</f>
        <v>309.47280000000001</v>
      </c>
      <c r="AK85" s="13">
        <f t="shared" si="89"/>
        <v>73.15871892427802</v>
      </c>
      <c r="AL85" s="20">
        <f t="shared" si="58"/>
        <v>666.41656212645091</v>
      </c>
      <c r="AM85" s="59">
        <f t="shared" si="59"/>
        <v>959.74989545978428</v>
      </c>
      <c r="AN85" s="59">
        <f ca="1">AVERAGE(OFFSET($AM$3,0,0,'Données projet'!$E$10+1,1))-AVERAGE(OFFSET($H$3,0,0,'Données projet'!$E$10+1,1))</f>
        <v>356.320269084225</v>
      </c>
      <c r="AO85" s="59">
        <f t="shared" si="90"/>
        <v>208.88199836488002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33.318107078456819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33.318107078456819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2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73.803600000000102</v>
      </c>
      <c r="D86" s="11">
        <f t="shared" si="86"/>
        <v>20.615097106698798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728.8460829289038</v>
      </c>
      <c r="H86" s="67">
        <f t="shared" si="56"/>
        <v>457.77923079416723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5.8</v>
      </c>
      <c r="N86" s="13">
        <f>IF('Données projet'!$A$36&gt;35,N85+M86-V85,IF(A86&lt;'Données projet'!$A$36,$K$205^A86,IF(A86='Données projet'!$A$36,'Données projet'!$B$36,N85+M86-V85)))</f>
        <v>257.39999999999998</v>
      </c>
      <c r="O86" s="13">
        <f>N86*VLOOKUP('Données projet'!$B$9,Paramètres!$A$1:$I$89,3,0)*VLOOKUP('Données projet'!$B$9,Paramètres!$A$1:$I$89,5,0)</f>
        <v>232.89551999999998</v>
      </c>
      <c r="P86" s="13">
        <f t="shared" si="87"/>
        <v>56.908304063818662</v>
      </c>
      <c r="Q86" s="20">
        <f t="shared" si="54"/>
        <v>504.74166024448414</v>
      </c>
      <c r="R86" s="59">
        <f t="shared" si="55"/>
        <v>798.07499357781739</v>
      </c>
      <c r="S86" s="59">
        <f ca="1">AVERAGE(OFFSET($R$3,0,0,'Données projet'!$E$9+1,1))-AVERAGE(OFFSET($H$3,0,0,'Données projet'!$E$9+1,1))</f>
        <v>221.63427112734911</v>
      </c>
      <c r="T86" s="59">
        <f t="shared" si="88"/>
        <v>133.63266168802033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21.860262006921271</v>
      </c>
      <c r="AA86" s="21">
        <f>EXP(-LN(2)/25)*AA85+(1-EXP(-LN(2)/25))/(LN(2)/25)*Calculateur!V86*Calculateur!X86*VLOOKUP('Données projet'!$B$9,Paramètres!$A$1:$I$89,3,0)*0.475*44/12</f>
        <v>0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21.860262006921271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6.6</v>
      </c>
      <c r="AI86" s="13">
        <f>IF('Données projet'!$A$62&gt;35,AI85+AH86-AQ85,IF(A86&lt;'Données projet'!$A$62,$AF$205^A86,IF(A86='Données projet'!$A$62,'Données projet'!$B$62,AI85+AH86-AQ85)))</f>
        <v>311.8</v>
      </c>
      <c r="AJ86" s="13">
        <f>AI86*VLOOKUP('Données projet'!$B$10,Paramètres!$A$1:$I$89,3,0)*VLOOKUP('Données projet'!$B$10,Paramètres!$A$1:$I$89,5,0)</f>
        <v>316.16520000000003</v>
      </c>
      <c r="AK86" s="13">
        <f t="shared" si="89"/>
        <v>74.554889944758472</v>
      </c>
      <c r="AL86" s="20">
        <f t="shared" si="58"/>
        <v>680.50415665378762</v>
      </c>
      <c r="AM86" s="59">
        <f t="shared" si="59"/>
        <v>973.83748998712099</v>
      </c>
      <c r="AN86" s="59">
        <f ca="1">AVERAGE(OFFSET($AM$3,0,0,'Données projet'!$E$10+1,1))-AVERAGE(OFFSET($H$3,0,0,'Données projet'!$E$10+1,1))</f>
        <v>356.320269084225</v>
      </c>
      <c r="AO86" s="59">
        <f t="shared" si="90"/>
        <v>208.88199836488002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32.664759320686962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32.664759320686962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2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74.692800000000105</v>
      </c>
      <c r="D87" s="11">
        <f t="shared" si="86"/>
        <v>20.834407756242857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737.40300724117378</v>
      </c>
      <c r="H87" s="67">
        <f t="shared" si="56"/>
        <v>459.70988684212313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5.8</v>
      </c>
      <c r="N87" s="13">
        <f>IF('Données projet'!$A$36&gt;35,N86+M87-V86,IF(A87&lt;'Données projet'!$A$36,$K$205^A87,IF(A87='Données projet'!$A$36,'Données projet'!$B$36,N86+M87-V86)))</f>
        <v>263.2</v>
      </c>
      <c r="O87" s="13">
        <f>N87*VLOOKUP('Données projet'!$B$9,Paramètres!$A$1:$I$89,3,0)*VLOOKUP('Données projet'!$B$9,Paramètres!$A$1:$I$89,5,0)</f>
        <v>238.14335999999997</v>
      </c>
      <c r="P87" s="13">
        <f t="shared" si="87"/>
        <v>58.039884968630489</v>
      </c>
      <c r="Q87" s="20">
        <f t="shared" si="54"/>
        <v>515.85248498703129</v>
      </c>
      <c r="R87" s="59">
        <f t="shared" si="55"/>
        <v>809.18581832036466</v>
      </c>
      <c r="S87" s="59">
        <f ca="1">AVERAGE(OFFSET($R$3,0,0,'Données projet'!$E$9+1,1))-AVERAGE(OFFSET($H$3,0,0,'Données projet'!$E$9+1,1))</f>
        <v>221.63427112734911</v>
      </c>
      <c r="T87" s="59">
        <f t="shared" si="88"/>
        <v>133.63266168802033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21.431595602408802</v>
      </c>
      <c r="AA87" s="21">
        <f>EXP(-LN(2)/25)*AA86+(1-EXP(-LN(2)/25))/(LN(2)/25)*Calculateur!V87*Calculateur!X87*VLOOKUP('Données projet'!$B$9,Paramètres!$A$1:$I$89,3,0)*0.475*44/12</f>
        <v>0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21.431595602408802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6.6</v>
      </c>
      <c r="AI87" s="13">
        <f>IF('Données projet'!$A$62&gt;35,AI86+AH87-AQ86,IF(A87&lt;'Données projet'!$A$62,$AF$205^A87,IF(A87='Données projet'!$A$62,'Données projet'!$B$62,AI86+AH87-AQ86)))</f>
        <v>318.40000000000003</v>
      </c>
      <c r="AJ87" s="13">
        <f>AI87*VLOOKUP('Données projet'!$B$10,Paramètres!$A$1:$I$89,3,0)*VLOOKUP('Données projet'!$B$10,Paramètres!$A$1:$I$89,5,0)</f>
        <v>322.85760000000005</v>
      </c>
      <c r="AK87" s="13">
        <f t="shared" si="89"/>
        <v>75.947624920658441</v>
      </c>
      <c r="AL87" s="20">
        <f t="shared" si="58"/>
        <v>694.58576673681353</v>
      </c>
      <c r="AM87" s="59">
        <f t="shared" si="59"/>
        <v>987.9191000701469</v>
      </c>
      <c r="AN87" s="59">
        <f ca="1">AVERAGE(OFFSET($AM$3,0,0,'Données projet'!$E$10+1,1))-AVERAGE(OFFSET($H$3,0,0,'Données projet'!$E$10+1,1))</f>
        <v>356.320269084225</v>
      </c>
      <c r="AO87" s="59">
        <f t="shared" si="90"/>
        <v>208.88199836488002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32.024223313944191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32.024223313944191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2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75.582000000000107</v>
      </c>
      <c r="D88" s="11">
        <f t="shared" si="86"/>
        <v>21.053414706764155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745.95758721011009</v>
      </c>
      <c r="H88" s="67">
        <f t="shared" si="56"/>
        <v>461.64001394761442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>
        <f>VLOOKUP(A88,'Données projet'!$A$35:$I$55,2,0)</f>
        <v>269</v>
      </c>
      <c r="L88" s="12">
        <f>VLOOKUP(A88,'Données projet'!$A$35:$I$55,9,0)</f>
        <v>5.8</v>
      </c>
      <c r="M88" s="12">
        <f t="array" ref="M88">INDEX(L:L,MIN(IF(ISNUMBER(L88:L284),ROW(L88:L284),"")))</f>
        <v>5.8</v>
      </c>
      <c r="N88" s="13">
        <f>IF('Données projet'!$A$36&gt;35,N87+M88-V87,IF(A88&lt;'Données projet'!$A$36,$K$205^A88,IF(A88='Données projet'!$A$36,'Données projet'!$B$36,N87+M88-V87)))</f>
        <v>269</v>
      </c>
      <c r="O88" s="13">
        <f>N88*VLOOKUP('Données projet'!$B$9,Paramètres!$A$1:$I$89,3,0)*VLOOKUP('Données projet'!$B$9,Paramètres!$A$1:$I$89,5,0)</f>
        <v>243.39119999999997</v>
      </c>
      <c r="P88" s="13">
        <f t="shared" si="87"/>
        <v>59.168566788241527</v>
      </c>
      <c r="Q88" s="20">
        <f t="shared" si="54"/>
        <v>526.95826048952063</v>
      </c>
      <c r="R88" s="59">
        <f t="shared" si="55"/>
        <v>820.29159382285388</v>
      </c>
      <c r="S88" s="59">
        <f ca="1">AVERAGE(OFFSET($R$3,0,0,'Données projet'!$E$9+1,1))-AVERAGE(OFFSET($H$3,0,0,'Données projet'!$E$9+1,1))</f>
        <v>221.63427112734911</v>
      </c>
      <c r="T88" s="59">
        <f t="shared" si="88"/>
        <v>133.63266168802033</v>
      </c>
      <c r="U88" s="15">
        <f>IF(ISNA(VLOOKUP(A88,'Données projet'!$A$35:$I$55,3,0)),0,VLOOKUP(A88,'Données projet'!$A$35:$I$55,3,0))</f>
        <v>14</v>
      </c>
      <c r="V88" s="15">
        <f>IF(ISNA(VLOOKUP(A88,'Données projet'!$A$35:$I$55,4,0)),0,VLOOKUP(A88,'Données projet'!$A$35:$I$55,4,0))</f>
        <v>21</v>
      </c>
      <c r="W88" s="16">
        <f>IF(ISNA(VLOOKUP(A88,'Données projet'!$A$35:$I$55,5,0)),0%,VLOOKUP(A88,'Données projet'!$A$35:$I$55,5,0)*VLOOKUP('Données projet'!$B$9,Paramètres!$A$1:$I$89,7,0))</f>
        <v>0.25800000000000001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26.430579054184989</v>
      </c>
      <c r="AA88" s="21">
        <f>EXP(-LN(2)/25)*AA87+(1-EXP(-LN(2)/25))/(LN(2)/25)*Calculateur!V88*Calculateur!X88*VLOOKUP('Données projet'!$B$9,Paramètres!$A$1:$I$89,3,0)*0.475*44/12</f>
        <v>0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26.430579054184989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6.6</v>
      </c>
      <c r="AI88" s="13">
        <f>IF('Données projet'!$A$62&gt;35,AI87+AH88-AQ87,IF(A88&lt;'Données projet'!$A$62,$AF$205^A88,IF(A88='Données projet'!$A$62,'Données projet'!$B$62,AI87+AH88-AQ87)))</f>
        <v>325.00000000000006</v>
      </c>
      <c r="AJ88" s="13">
        <f>AI88*VLOOKUP('Données projet'!$B$10,Paramètres!$A$1:$I$89,3,0)*VLOOKUP('Données projet'!$B$10,Paramètres!$A$1:$I$89,5,0)</f>
        <v>329.55000000000013</v>
      </c>
      <c r="AK88" s="13">
        <f t="shared" si="89"/>
        <v>77.337003282690645</v>
      </c>
      <c r="AL88" s="20">
        <f t="shared" si="58"/>
        <v>708.661530717353</v>
      </c>
      <c r="AM88" s="59">
        <f t="shared" si="59"/>
        <v>1001.9948640506864</v>
      </c>
      <c r="AN88" s="59">
        <f ca="1">AVERAGE(OFFSET($AM$3,0,0,'Données projet'!$E$10+1,1))-AVERAGE(OFFSET($H$3,0,0,'Données projet'!$E$10+1,1))</f>
        <v>356.320269084225</v>
      </c>
      <c r="AO88" s="59">
        <f t="shared" si="90"/>
        <v>208.88199836488002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31.396247827605258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31.396247827605258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2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76.47120000000011</v>
      </c>
      <c r="D89" s="11">
        <f t="shared" si="86"/>
        <v>21.272121944536373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754.50985360694824</v>
      </c>
      <c r="H89" s="67">
        <f t="shared" si="56"/>
        <v>463.56961905340103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5.4</v>
      </c>
      <c r="N89" s="13">
        <f>IF('Données projet'!$A$36&gt;35,N88+M89-V88,IF(A89&lt;'Données projet'!$A$36,$K$205^A89,IF(A89='Données projet'!$A$36,'Données projet'!$B$36,N88+M89-V88)))</f>
        <v>253.39999999999998</v>
      </c>
      <c r="O89" s="13">
        <f>N89*VLOOKUP('Données projet'!$B$9,Paramètres!$A$1:$I$89,3,0)*VLOOKUP('Données projet'!$B$9,Paramètres!$A$1:$I$89,5,0)</f>
        <v>229.27631999999997</v>
      </c>
      <c r="P89" s="13">
        <f t="shared" si="87"/>
        <v>56.126176307517476</v>
      </c>
      <c r="Q89" s="20">
        <f t="shared" si="54"/>
        <v>497.07601440225949</v>
      </c>
      <c r="R89" s="59">
        <f t="shared" si="55"/>
        <v>790.40934773559275</v>
      </c>
      <c r="S89" s="59">
        <f ca="1">AVERAGE(OFFSET($R$3,0,0,'Données projet'!$E$9+1,1))-AVERAGE(OFFSET($H$3,0,0,'Données projet'!$E$9+1,1))</f>
        <v>221.63427112734911</v>
      </c>
      <c r="T89" s="59">
        <f t="shared" si="88"/>
        <v>133.63266168802033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25.912291519993822</v>
      </c>
      <c r="AA89" s="21">
        <f>EXP(-LN(2)/25)*AA88+(1-EXP(-LN(2)/25))/(LN(2)/25)*Calculateur!V89*Calculateur!X89*VLOOKUP('Données projet'!$B$9,Paramètres!$A$1:$I$89,3,0)*0.475*44/12</f>
        <v>0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25.912291519993822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6.6</v>
      </c>
      <c r="AI89" s="13">
        <f>IF('Données projet'!$A$62&gt;35,AI88+AH89-AQ88,IF(A89&lt;'Données projet'!$A$62,$AF$205^A89,IF(A89='Données projet'!$A$62,'Données projet'!$B$62,AI88+AH89-AQ88)))</f>
        <v>331.60000000000008</v>
      </c>
      <c r="AJ89" s="13">
        <f>AI89*VLOOKUP('Données projet'!$B$10,Paramètres!$A$1:$I$89,3,0)*VLOOKUP('Données projet'!$B$10,Paramètres!$A$1:$I$89,5,0)</f>
        <v>336.24240000000009</v>
      </c>
      <c r="AK89" s="13">
        <f t="shared" si="89"/>
        <v>78.723101051027399</v>
      </c>
      <c r="AL89" s="20">
        <f t="shared" si="58"/>
        <v>722.73158099720615</v>
      </c>
      <c r="AM89" s="59">
        <f t="shared" si="59"/>
        <v>1016.0649143305395</v>
      </c>
      <c r="AN89" s="59">
        <f ca="1">AVERAGE(OFFSET($AM$3,0,0,'Données projet'!$E$10+1,1))-AVERAGE(OFFSET($H$3,0,0,'Données projet'!$E$10+1,1))</f>
        <v>356.320269084225</v>
      </c>
      <c r="AO89" s="59">
        <f t="shared" si="90"/>
        <v>208.88199836488002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30.780586557526206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30.780586557526206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2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77.360400000000112</v>
      </c>
      <c r="D90" s="11">
        <f t="shared" si="86"/>
        <v>21.490533357793517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763.05983644612627</v>
      </c>
      <c r="H90" s="67">
        <f t="shared" si="56"/>
        <v>465.49870893149051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5.4</v>
      </c>
      <c r="N90" s="13">
        <f>IF('Données projet'!$A$36&gt;35,N89+M90-V89,IF(A90&lt;'Données projet'!$A$36,$K$205^A90,IF(A90='Données projet'!$A$36,'Données projet'!$B$36,N89+M90-V89)))</f>
        <v>258.79999999999995</v>
      </c>
      <c r="O90" s="13">
        <f>N90*VLOOKUP('Données projet'!$B$9,Paramètres!$A$1:$I$89,3,0)*VLOOKUP('Données projet'!$B$9,Paramètres!$A$1:$I$89,5,0)</f>
        <v>234.16223999999994</v>
      </c>
      <c r="P90" s="13">
        <f t="shared" si="87"/>
        <v>57.181713578143096</v>
      </c>
      <c r="Q90" s="20">
        <f t="shared" si="54"/>
        <v>507.42405248193245</v>
      </c>
      <c r="R90" s="59">
        <f t="shared" si="55"/>
        <v>800.75738581526571</v>
      </c>
      <c r="S90" s="59">
        <f ca="1">AVERAGE(OFFSET($R$3,0,0,'Données projet'!$E$9+1,1))-AVERAGE(OFFSET($H$3,0,0,'Données projet'!$E$9+1,1))</f>
        <v>221.63427112734911</v>
      </c>
      <c r="T90" s="59">
        <f t="shared" si="88"/>
        <v>133.63266168802033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25.404167288223963</v>
      </c>
      <c r="AA90" s="21">
        <f>EXP(-LN(2)/25)*AA89+(1-EXP(-LN(2)/25))/(LN(2)/25)*Calculateur!V90*Calculateur!X90*VLOOKUP('Données projet'!$B$9,Paramètres!$A$1:$I$89,3,0)*0.475*44/12</f>
        <v>0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25.404167288223963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6.6</v>
      </c>
      <c r="AI90" s="13">
        <f>IF('Données projet'!$A$62&gt;35,AI89+AH90-AQ89,IF(A90&lt;'Données projet'!$A$62,$AF$205^A90,IF(A90='Données projet'!$A$62,'Données projet'!$B$62,AI89+AH90-AQ89)))</f>
        <v>338.2000000000001</v>
      </c>
      <c r="AJ90" s="13">
        <f>AI90*VLOOKUP('Données projet'!$B$10,Paramètres!$A$1:$I$89,3,0)*VLOOKUP('Données projet'!$B$10,Paramètres!$A$1:$I$89,5,0)</f>
        <v>342.93480000000011</v>
      </c>
      <c r="AK90" s="13">
        <f t="shared" si="89"/>
        <v>80.105991046658843</v>
      </c>
      <c r="AL90" s="20">
        <f t="shared" si="58"/>
        <v>736.79604440626429</v>
      </c>
      <c r="AM90" s="59">
        <f t="shared" si="59"/>
        <v>1030.1293777395977</v>
      </c>
      <c r="AN90" s="59">
        <f ca="1">AVERAGE(OFFSET($AM$3,0,0,'Données projet'!$E$10+1,1))-AVERAGE(OFFSET($H$3,0,0,'Données projet'!$E$10+1,1))</f>
        <v>356.320269084225</v>
      </c>
      <c r="AO90" s="59">
        <f t="shared" si="90"/>
        <v>208.88199836488002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30.176998029437108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30.176998029437108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2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78.249600000000115</v>
      </c>
      <c r="D91" s="11">
        <f t="shared" si="86"/>
        <v>21.70865274023982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771.60756501237847</v>
      </c>
      <c r="H91" s="67">
        <f t="shared" si="56"/>
        <v>467.42729018925121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5.4</v>
      </c>
      <c r="N91" s="13">
        <f>IF('Données projet'!$A$36&gt;35,N90+M91-V90,IF(A91&lt;'Données projet'!$A$36,$K$205^A91,IF(A91='Données projet'!$A$36,'Données projet'!$B$36,N90+M91-V90)))</f>
        <v>264.19999999999993</v>
      </c>
      <c r="O91" s="13">
        <f>N91*VLOOKUP('Données projet'!$B$9,Paramètres!$A$1:$I$89,3,0)*VLOOKUP('Données projet'!$B$9,Paramètres!$A$1:$I$89,5,0)</f>
        <v>239.04815999999994</v>
      </c>
      <c r="P91" s="13">
        <f t="shared" si="87"/>
        <v>58.234690128947292</v>
      </c>
      <c r="Q91" s="20">
        <f t="shared" si="54"/>
        <v>517.76763064124975</v>
      </c>
      <c r="R91" s="59">
        <f t="shared" si="55"/>
        <v>811.10096397458301</v>
      </c>
      <c r="S91" s="59">
        <f ca="1">AVERAGE(OFFSET($R$3,0,0,'Données projet'!$E$9+1,1))-AVERAGE(OFFSET($H$3,0,0,'Données projet'!$E$9+1,1))</f>
        <v>221.63427112734911</v>
      </c>
      <c r="T91" s="59">
        <f t="shared" si="88"/>
        <v>133.63266168802033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24.906007062713932</v>
      </c>
      <c r="AA91" s="21">
        <f>EXP(-LN(2)/25)*AA90+(1-EXP(-LN(2)/25))/(LN(2)/25)*Calculateur!V91*Calculateur!X91*VLOOKUP('Données projet'!$B$9,Paramètres!$A$1:$I$89,3,0)*0.475*44/12</f>
        <v>0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24.906007062713932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6.6</v>
      </c>
      <c r="AI91" s="13">
        <f>IF('Données projet'!$A$62&gt;35,AI90+AH91-AQ90,IF(A91&lt;'Données projet'!$A$62,$AF$205^A91,IF(A91='Données projet'!$A$62,'Données projet'!$B$62,AI90+AH91-AQ90)))</f>
        <v>344.80000000000013</v>
      </c>
      <c r="AJ91" s="13">
        <f>AI91*VLOOKUP('Données projet'!$B$10,Paramètres!$A$1:$I$89,3,0)*VLOOKUP('Données projet'!$B$10,Paramètres!$A$1:$I$89,5,0)</f>
        <v>349.62720000000013</v>
      </c>
      <c r="AK91" s="13">
        <f t="shared" si="89"/>
        <v>81.485743085784506</v>
      </c>
      <c r="AL91" s="20">
        <f t="shared" si="58"/>
        <v>750.85504254107491</v>
      </c>
      <c r="AM91" s="59">
        <f t="shared" si="59"/>
        <v>1044.1883758744082</v>
      </c>
      <c r="AN91" s="59">
        <f ca="1">AVERAGE(OFFSET($AM$3,0,0,'Données projet'!$E$10+1,1))-AVERAGE(OFFSET($H$3,0,0,'Données projet'!$E$10+1,1))</f>
        <v>356.320269084225</v>
      </c>
      <c r="AO91" s="59">
        <f t="shared" si="90"/>
        <v>208.88199836488002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29.585245504231189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29.585245504231189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2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79.138800000000117</v>
      </c>
      <c r="D92" s="11">
        <f t="shared" si="86"/>
        <v>21.926483794395363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780.15306788656164</v>
      </c>
      <c r="H92" s="67">
        <f t="shared" si="56"/>
        <v>469.35536927523879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5.4</v>
      </c>
      <c r="N92" s="13">
        <f>IF('Données projet'!$A$36&gt;35,N91+M92-V91,IF(A92&lt;'Données projet'!$A$36,$K$205^A92,IF(A92='Données projet'!$A$36,'Données projet'!$B$36,N91+M92-V91)))</f>
        <v>269.59999999999991</v>
      </c>
      <c r="O92" s="13">
        <f>N92*VLOOKUP('Données projet'!$B$9,Paramètres!$A$1:$I$89,3,0)*VLOOKUP('Données projet'!$B$9,Paramètres!$A$1:$I$89,5,0)</f>
        <v>243.93407999999991</v>
      </c>
      <c r="P92" s="13">
        <f t="shared" si="87"/>
        <v>59.285164329617594</v>
      </c>
      <c r="Q92" s="20">
        <f t="shared" si="54"/>
        <v>528.10685054075043</v>
      </c>
      <c r="R92" s="59">
        <f t="shared" si="55"/>
        <v>821.44018387408369</v>
      </c>
      <c r="S92" s="59">
        <f ca="1">AVERAGE(OFFSET($R$3,0,0,'Données projet'!$E$9+1,1))-AVERAGE(OFFSET($H$3,0,0,'Données projet'!$E$9+1,1))</f>
        <v>221.63427112734911</v>
      </c>
      <c r="T92" s="59">
        <f t="shared" si="88"/>
        <v>133.63266168802033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24.417615455378417</v>
      </c>
      <c r="AA92" s="21">
        <f>EXP(-LN(2)/25)*AA91+(1-EXP(-LN(2)/25))/(LN(2)/25)*Calculateur!V92*Calculateur!X92*VLOOKUP('Données projet'!$B$9,Paramètres!$A$1:$I$89,3,0)*0.475*44/12</f>
        <v>0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24.417615455378417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6.6</v>
      </c>
      <c r="AI92" s="13">
        <f>IF('Données projet'!$A$62&gt;35,AI91+AH92-AQ91,IF(A92&lt;'Données projet'!$A$62,$AF$205^A92,IF(A92='Données projet'!$A$62,'Données projet'!$B$62,AI91+AH92-AQ91)))</f>
        <v>351.40000000000015</v>
      </c>
      <c r="AJ92" s="13">
        <f>AI92*VLOOKUP('Données projet'!$B$10,Paramètres!$A$1:$I$89,3,0)*VLOOKUP('Données projet'!$B$10,Paramètres!$A$1:$I$89,5,0)</f>
        <v>356.31960000000021</v>
      </c>
      <c r="AK92" s="13">
        <f t="shared" si="89"/>
        <v>82.862424158901803</v>
      </c>
      <c r="AL92" s="20">
        <f t="shared" si="58"/>
        <v>764.90869207675416</v>
      </c>
      <c r="AM92" s="59">
        <f t="shared" si="59"/>
        <v>1058.2420254100875</v>
      </c>
      <c r="AN92" s="59">
        <f ca="1">AVERAGE(OFFSET($AM$3,0,0,'Données projet'!$E$10+1,1))-AVERAGE(OFFSET($H$3,0,0,'Données projet'!$E$10+1,1))</f>
        <v>356.320269084225</v>
      </c>
      <c r="AO92" s="59">
        <f t="shared" si="90"/>
        <v>208.88199836488002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29.005096885111154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29.005096885111154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2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80.028000000000119</v>
      </c>
      <c r="D93" s="11">
        <f t="shared" si="86"/>
        <v>22.144030134787187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788.69637297028794</v>
      </c>
      <c r="H93" s="67">
        <f t="shared" si="56"/>
        <v>471.2829524847545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>
        <f>VLOOKUP(A93,'Données projet'!$A$35:$I$55,2,0)</f>
        <v>275</v>
      </c>
      <c r="L93" s="12">
        <f>VLOOKUP(A93,'Données projet'!$A$35:$I$55,9,0)</f>
        <v>5.4</v>
      </c>
      <c r="M93" s="12">
        <f t="array" ref="M93">INDEX(L:L,MIN(IF(ISNUMBER(L93:L289),ROW(L93:L289),"")))</f>
        <v>5.4</v>
      </c>
      <c r="N93" s="13">
        <f>IF('Données projet'!$A$36&gt;35,N92+M93-V92,IF(A93&lt;'Données projet'!$A$36,$K$205^A93,IF(A93='Données projet'!$A$36,'Données projet'!$B$36,N92+M93-V92)))</f>
        <v>274.99999999999989</v>
      </c>
      <c r="O93" s="13">
        <f>N93*VLOOKUP('Données projet'!$B$9,Paramètres!$A$1:$I$89,3,0)*VLOOKUP('Données projet'!$B$9,Paramètres!$A$1:$I$89,5,0)</f>
        <v>248.81999999999988</v>
      </c>
      <c r="P93" s="13">
        <f t="shared" si="87"/>
        <v>60.333192077890018</v>
      </c>
      <c r="Q93" s="20">
        <f t="shared" si="54"/>
        <v>538.44180953565819</v>
      </c>
      <c r="R93" s="59">
        <f t="shared" si="55"/>
        <v>831.77514286899145</v>
      </c>
      <c r="S93" s="59">
        <f ca="1">AVERAGE(OFFSET($R$3,0,0,'Données projet'!$E$9+1,1))-AVERAGE(OFFSET($H$3,0,0,'Données projet'!$E$9+1,1))</f>
        <v>221.63427112734911</v>
      </c>
      <c r="T93" s="59">
        <f t="shared" si="88"/>
        <v>133.63266168802033</v>
      </c>
      <c r="U93" s="15">
        <f>IF(ISNA(VLOOKUP(A93,'Données projet'!$A$35:$I$55,3,0)),0,VLOOKUP(A93,'Données projet'!$A$35:$I$55,3,0))</f>
        <v>15</v>
      </c>
      <c r="V93" s="15">
        <f>IF(ISNA(VLOOKUP(A93,'Données projet'!$A$35:$I$55,4,0)),0,VLOOKUP(A93,'Données projet'!$A$35:$I$55,4,0))</f>
        <v>21</v>
      </c>
      <c r="W93" s="16">
        <f>IF(ISNA(VLOOKUP(A93,'Données projet'!$A$35:$I$55,5,0)),0%,VLOOKUP(A93,'Données projet'!$A$35:$I$55,5,0)*VLOOKUP('Données projet'!$B$9,Paramètres!$A$1:$I$89,7,0))</f>
        <v>0.30099999999999999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30.261252207389617</v>
      </c>
      <c r="AA93" s="21">
        <f>EXP(-LN(2)/25)*AA92+(1-EXP(-LN(2)/25))/(LN(2)/25)*Calculateur!V93*Calculateur!X93*VLOOKUP('Données projet'!$B$9,Paramètres!$A$1:$I$89,3,0)*0.475*44/12</f>
        <v>0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30.261252207389617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>
        <f>VLOOKUP(A93,'Données projet'!$A$61:$I$81,2,0)</f>
        <v>358</v>
      </c>
      <c r="AG93" s="12">
        <f>VLOOKUP(A93,'Données projet'!$A$61:$I$81,9,0)</f>
        <v>6.6</v>
      </c>
      <c r="AH93" s="12">
        <f t="array" ref="AH93">INDEX(AG:AG,MIN(IF(ISNUMBER(AG93:AG289),ROW(AG93:AG289),"")))</f>
        <v>6.6</v>
      </c>
      <c r="AI93" s="13">
        <f>IF('Données projet'!$A$62&gt;35,AI92+AH93-AQ92,IF(A93&lt;'Données projet'!$A$62,$AF$205^A93,IF(A93='Données projet'!$A$62,'Données projet'!$B$62,AI92+AH93-AQ92)))</f>
        <v>358.00000000000017</v>
      </c>
      <c r="AJ93" s="13">
        <f>AI93*VLOOKUP('Données projet'!$B$10,Paramètres!$A$1:$I$89,3,0)*VLOOKUP('Données projet'!$B$10,Paramètres!$A$1:$I$89,5,0)</f>
        <v>363.01200000000023</v>
      </c>
      <c r="AK93" s="13">
        <f t="shared" si="89"/>
        <v>84.23609859605908</v>
      </c>
      <c r="AL93" s="20">
        <f t="shared" si="58"/>
        <v>778.95710505480326</v>
      </c>
      <c r="AM93" s="59">
        <f t="shared" si="59"/>
        <v>1072.2904383881366</v>
      </c>
      <c r="AN93" s="59">
        <f ca="1">AVERAGE(OFFSET($AM$3,0,0,'Données projet'!$E$10+1,1))-AVERAGE(OFFSET($H$3,0,0,'Données projet'!$E$10+1,1))</f>
        <v>356.320269084225</v>
      </c>
      <c r="AO93" s="59">
        <f t="shared" si="90"/>
        <v>208.88199836488002</v>
      </c>
      <c r="AP93" s="15">
        <f>IF(ISNA(VLOOKUP(A93,'Données projet'!$A$61:$I$81,3,0)),0,VLOOKUP(A93,'Données projet'!$A$61:$I$81,3,0))</f>
        <v>15</v>
      </c>
      <c r="AQ93" s="15">
        <f>IF(ISNA(VLOOKUP(A93,'Données projet'!$A$61:$I$81,4,0)),0,VLOOKUP(A93,'Données projet'!$A$61:$I$81,4,0))</f>
        <v>56</v>
      </c>
      <c r="AR93" s="16">
        <f>IF(ISNA(VLOOKUP(A93,'Données projet'!$A$61:$I$81,5,0)),0%,VLOOKUP(A93,'Données projet'!$A$61:$I$81,5,0)*VLOOKUP('Données projet'!$B$10,Paramètres!$A$1:$I$89,7,0))</f>
        <v>0.30099999999999999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47.331006666007454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47.331006666007454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2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80.917200000000122</v>
      </c>
      <c r="D94" s="11">
        <f t="shared" si="86"/>
        <v>22.361295290994477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797.23750750943202</v>
      </c>
      <c r="H94" s="67">
        <f t="shared" si="56"/>
        <v>473.21004596514888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2.8</v>
      </c>
      <c r="N94" s="13">
        <f>IF('Données projet'!$A$36&gt;35,N93+M94-V93,IF(A94&lt;'Données projet'!$A$36,$K$205^A94,IF(A94='Données projet'!$A$36,'Données projet'!$B$36,N93+M94-V93)))</f>
        <v>256.7999999999999</v>
      </c>
      <c r="O94" s="13">
        <f>N94*VLOOKUP('Données projet'!$B$9,Paramètres!$A$1:$I$89,3,0)*VLOOKUP('Données projet'!$B$9,Paramètres!$A$1:$I$89,5,0)</f>
        <v>232.35263999999989</v>
      </c>
      <c r="P94" s="13">
        <f t="shared" si="87"/>
        <v>56.791075613550255</v>
      </c>
      <c r="Q94" s="20">
        <f t="shared" si="54"/>
        <v>503.59197136026643</v>
      </c>
      <c r="R94" s="59">
        <f t="shared" si="55"/>
        <v>796.92530469359974</v>
      </c>
      <c r="S94" s="59">
        <f ca="1">AVERAGE(OFFSET($R$3,0,0,'Données projet'!$E$9+1,1))-AVERAGE(OFFSET($H$3,0,0,'Données projet'!$E$9+1,1))</f>
        <v>221.63427112734911</v>
      </c>
      <c r="T94" s="59">
        <f t="shared" si="88"/>
        <v>133.63266168802033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29.667847509144021</v>
      </c>
      <c r="AA94" s="21">
        <f>EXP(-LN(2)/25)*AA93+(1-EXP(-LN(2)/25))/(LN(2)/25)*Calculateur!V94*Calculateur!X94*VLOOKUP('Données projet'!$B$9,Paramètres!$A$1:$I$89,3,0)*0.475*44/12</f>
        <v>0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29.667847509144021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6</v>
      </c>
      <c r="AI94" s="13">
        <f>IF('Données projet'!$A$62&gt;35,AI93+AH94-AQ93,IF(A94&lt;'Données projet'!$A$62,$AF$205^A94,IF(A94='Données projet'!$A$62,'Données projet'!$B$62,AI93+AH94-AQ93)))</f>
        <v>308.00000000000017</v>
      </c>
      <c r="AJ94" s="13">
        <f>AI94*VLOOKUP('Données projet'!$B$10,Paramètres!$A$1:$I$89,3,0)*VLOOKUP('Données projet'!$B$10,Paramètres!$A$1:$I$89,5,0)</f>
        <v>312.31200000000024</v>
      </c>
      <c r="AK94" s="13">
        <f t="shared" si="89"/>
        <v>73.751458791112086</v>
      </c>
      <c r="AL94" s="20">
        <f t="shared" si="58"/>
        <v>672.39385739452064</v>
      </c>
      <c r="AM94" s="59">
        <f t="shared" si="59"/>
        <v>965.72719072785389</v>
      </c>
      <c r="AN94" s="59">
        <f ca="1">AVERAGE(OFFSET($AM$3,0,0,'Données projet'!$E$10+1,1))-AVERAGE(OFFSET($H$3,0,0,'Données projet'!$E$10+1,1))</f>
        <v>356.320269084225</v>
      </c>
      <c r="AO94" s="59">
        <f t="shared" si="90"/>
        <v>208.88199836488002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46.402874494350527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46.402874494350527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2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81.806400000000124</v>
      </c>
      <c r="D95" s="11">
        <f t="shared" si="86"/>
        <v>22.578282710556053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805.77649811657409</v>
      </c>
      <c r="H95" s="67">
        <f t="shared" si="56"/>
        <v>475.1366557208853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2.8</v>
      </c>
      <c r="N95" s="13">
        <f>IF('Données projet'!$A$36&gt;35,N94+M95-V94,IF(A95&lt;'Données projet'!$A$36,$K$205^A95,IF(A95='Données projet'!$A$36,'Données projet'!$B$36,N94+M95-V94)))</f>
        <v>259.59999999999991</v>
      </c>
      <c r="O95" s="13">
        <f>N95*VLOOKUP('Données projet'!$B$9,Paramètres!$A$1:$I$89,3,0)*VLOOKUP('Données projet'!$B$9,Paramètres!$A$1:$I$89,5,0)</f>
        <v>234.88607999999991</v>
      </c>
      <c r="P95" s="13">
        <f t="shared" si="87"/>
        <v>57.337870247711599</v>
      </c>
      <c r="Q95" s="20">
        <f t="shared" si="54"/>
        <v>508.95671334809748</v>
      </c>
      <c r="R95" s="59">
        <f t="shared" si="55"/>
        <v>802.29004668143079</v>
      </c>
      <c r="S95" s="59">
        <f ca="1">AVERAGE(OFFSET($R$3,0,0,'Données projet'!$E$9+1,1))-AVERAGE(OFFSET($H$3,0,0,'Données projet'!$E$9+1,1))</f>
        <v>221.63427112734911</v>
      </c>
      <c r="T95" s="59">
        <f t="shared" si="88"/>
        <v>133.63266168802033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29.086079115089895</v>
      </c>
      <c r="AA95" s="21">
        <f>EXP(-LN(2)/25)*AA94+(1-EXP(-LN(2)/25))/(LN(2)/25)*Calculateur!V95*Calculateur!X95*VLOOKUP('Données projet'!$B$9,Paramètres!$A$1:$I$89,3,0)*0.475*44/12</f>
        <v>0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29.086079115089895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6</v>
      </c>
      <c r="AI95" s="13">
        <f>IF('Données projet'!$A$62&gt;35,AI94+AH95-AQ94,IF(A95&lt;'Données projet'!$A$62,$AF$205^A95,IF(A95='Données projet'!$A$62,'Données projet'!$B$62,AI94+AH95-AQ94)))</f>
        <v>314.00000000000017</v>
      </c>
      <c r="AJ95" s="13">
        <f>AI95*VLOOKUP('Données projet'!$B$10,Paramètres!$A$1:$I$89,3,0)*VLOOKUP('Données projet'!$B$10,Paramètres!$A$1:$I$89,5,0)</f>
        <v>318.39600000000019</v>
      </c>
      <c r="AK95" s="13">
        <f t="shared" si="89"/>
        <v>75.019512724335002</v>
      </c>
      <c r="AL95" s="20">
        <f t="shared" si="58"/>
        <v>685.19868466155049</v>
      </c>
      <c r="AM95" s="59">
        <f t="shared" si="59"/>
        <v>978.53201799488374</v>
      </c>
      <c r="AN95" s="59">
        <f ca="1">AVERAGE(OFFSET($AM$3,0,0,'Données projet'!$E$10+1,1))-AVERAGE(OFFSET($H$3,0,0,'Données projet'!$E$10+1,1))</f>
        <v>356.320269084225</v>
      </c>
      <c r="AO95" s="59">
        <f t="shared" si="90"/>
        <v>208.88199836488002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45.492942428475068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45.492942428475068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2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82.695600000000127</v>
      </c>
      <c r="D96" s="11">
        <f t="shared" si="86"/>
        <v>22.794995761747877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814.31337079244076</v>
      </c>
      <c r="H96" s="67">
        <f t="shared" si="56"/>
        <v>477.06278761837774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2.8</v>
      </c>
      <c r="N96" s="13">
        <f>IF('Données projet'!$A$36&gt;35,N95+M96-V95,IF(A96&lt;'Données projet'!$A$36,$K$205^A96,IF(A96='Données projet'!$A$36,'Données projet'!$B$36,N95+M96-V95)))</f>
        <v>262.39999999999992</v>
      </c>
      <c r="O96" s="13">
        <f>N96*VLOOKUP('Données projet'!$B$9,Paramètres!$A$1:$I$89,3,0)*VLOOKUP('Données projet'!$B$9,Paramètres!$A$1:$I$89,5,0)</f>
        <v>237.41951999999992</v>
      </c>
      <c r="P96" s="13">
        <f t="shared" si="87"/>
        <v>57.883978814320919</v>
      </c>
      <c r="Q96" s="20">
        <f t="shared" si="54"/>
        <v>514.32026043494204</v>
      </c>
      <c r="R96" s="59">
        <f t="shared" si="55"/>
        <v>807.65359376827541</v>
      </c>
      <c r="S96" s="59">
        <f ca="1">AVERAGE(OFFSET($R$3,0,0,'Données projet'!$E$9+1,1))-AVERAGE(OFFSET($H$3,0,0,'Données projet'!$E$9+1,1))</f>
        <v>221.63427112734911</v>
      </c>
      <c r="T96" s="59">
        <f t="shared" si="88"/>
        <v>133.63266168802033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28.515718844399487</v>
      </c>
      <c r="AA96" s="21">
        <f>EXP(-LN(2)/25)*AA95+(1-EXP(-LN(2)/25))/(LN(2)/25)*Calculateur!V96*Calculateur!X96*VLOOKUP('Données projet'!$B$9,Paramètres!$A$1:$I$89,3,0)*0.475*44/12</f>
        <v>0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28.515718844399487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6</v>
      </c>
      <c r="AI96" s="13">
        <f>IF('Données projet'!$A$62&gt;35,AI95+AH96-AQ95,IF(A96&lt;'Données projet'!$A$62,$AF$205^A96,IF(A96='Données projet'!$A$62,'Données projet'!$B$62,AI95+AH96-AQ95)))</f>
        <v>320.00000000000017</v>
      </c>
      <c r="AJ96" s="13">
        <f>AI96*VLOOKUP('Données projet'!$B$10,Paramètres!$A$1:$I$89,3,0)*VLOOKUP('Données projet'!$B$10,Paramètres!$A$1:$I$89,5,0)</f>
        <v>324.48000000000019</v>
      </c>
      <c r="AK96" s="13">
        <f t="shared" si="89"/>
        <v>76.284749200165578</v>
      </c>
      <c r="AL96" s="20">
        <f t="shared" si="58"/>
        <v>697.99860485695535</v>
      </c>
      <c r="AM96" s="59">
        <f t="shared" si="59"/>
        <v>991.33193819028861</v>
      </c>
      <c r="AN96" s="59">
        <f ca="1">AVERAGE(OFFSET($AM$3,0,0,'Données projet'!$E$10+1,1))-AVERAGE(OFFSET($H$3,0,0,'Données projet'!$E$10+1,1))</f>
        <v>356.320269084225</v>
      </c>
      <c r="AO96" s="59">
        <f t="shared" si="90"/>
        <v>208.88199836488002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44.600853575407669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44.600853575407669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2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83.584800000000129</v>
      </c>
      <c r="D97" s="11">
        <f t="shared" si="86"/>
        <v>23.011437736237649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822.84815094639691</v>
      </c>
      <c r="H97" s="67">
        <f t="shared" si="56"/>
        <v>478.98844739061411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2.8</v>
      </c>
      <c r="N97" s="13">
        <f>IF('Données projet'!$A$36&gt;35,N96+M97-V96,IF(A97&lt;'Données projet'!$A$36,$K$205^A97,IF(A97='Données projet'!$A$36,'Données projet'!$B$36,N96+M97-V96)))</f>
        <v>265.19999999999993</v>
      </c>
      <c r="O97" s="13">
        <f>N97*VLOOKUP('Données projet'!$B$9,Paramètres!$A$1:$I$89,3,0)*VLOOKUP('Données projet'!$B$9,Paramètres!$A$1:$I$89,5,0)</f>
        <v>239.95295999999993</v>
      </c>
      <c r="P97" s="13">
        <f t="shared" si="87"/>
        <v>58.429409481604822</v>
      </c>
      <c r="Q97" s="20">
        <f t="shared" si="54"/>
        <v>519.68262684712829</v>
      </c>
      <c r="R97" s="59">
        <f t="shared" si="55"/>
        <v>813.01596018046166</v>
      </c>
      <c r="S97" s="59">
        <f ca="1">AVERAGE(OFFSET($R$3,0,0,'Données projet'!$E$9+1,1))-AVERAGE(OFFSET($H$3,0,0,'Données projet'!$E$9+1,1))</f>
        <v>221.63427112734911</v>
      </c>
      <c r="T97" s="59">
        <f t="shared" si="88"/>
        <v>133.63266168802033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27.956542990731904</v>
      </c>
      <c r="AA97" s="21">
        <f>EXP(-LN(2)/25)*AA96+(1-EXP(-LN(2)/25))/(LN(2)/25)*Calculateur!V97*Calculateur!X97*VLOOKUP('Données projet'!$B$9,Paramètres!$A$1:$I$89,3,0)*0.475*44/12</f>
        <v>0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27.956542990731904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6</v>
      </c>
      <c r="AI97" s="13">
        <f>IF('Données projet'!$A$62&gt;35,AI96+AH97-AQ96,IF(A97&lt;'Données projet'!$A$62,$AF$205^A97,IF(A97='Données projet'!$A$62,'Données projet'!$B$62,AI96+AH97-AQ96)))</f>
        <v>326.00000000000017</v>
      </c>
      <c r="AJ97" s="13">
        <f>AI97*VLOOKUP('Données projet'!$B$10,Paramètres!$A$1:$I$89,3,0)*VLOOKUP('Données projet'!$B$10,Paramètres!$A$1:$I$89,5,0)</f>
        <v>330.56400000000019</v>
      </c>
      <c r="AK97" s="13">
        <f t="shared" si="89"/>
        <v>77.547227137682924</v>
      </c>
      <c r="AL97" s="20">
        <f t="shared" si="58"/>
        <v>710.79372059813147</v>
      </c>
      <c r="AM97" s="59">
        <f t="shared" si="59"/>
        <v>1004.1270539314648</v>
      </c>
      <c r="AN97" s="59">
        <f ca="1">AVERAGE(OFFSET($AM$3,0,0,'Données projet'!$E$10+1,1))-AVERAGE(OFFSET($H$3,0,0,'Données projet'!$E$10+1,1))</f>
        <v>356.320269084225</v>
      </c>
      <c r="AO97" s="59">
        <f t="shared" si="90"/>
        <v>208.88199836488002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43.726258040628451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43.726258040628451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2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84.474000000000132</v>
      </c>
      <c r="D98" s="11">
        <f t="shared" si="86"/>
        <v>23.227611851623202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831.38086341603992</v>
      </c>
      <c r="H98" s="67">
        <f t="shared" si="56"/>
        <v>480.91364064157727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2.8</v>
      </c>
      <c r="N98" s="13">
        <f>IF('Données projet'!$A$36&gt;35,N97+M98-V97,IF(A98&lt;'Données projet'!$A$36,$K$205^A98,IF(A98='Données projet'!$A$36,'Données projet'!$B$36,N97+M98-V97)))</f>
        <v>267.99999999999994</v>
      </c>
      <c r="O98" s="13">
        <f>N98*VLOOKUP('Données projet'!$B$9,Paramètres!$A$1:$I$89,3,0)*VLOOKUP('Données projet'!$B$9,Paramètres!$A$1:$I$89,5,0)</f>
        <v>242.48639999999995</v>
      </c>
      <c r="P98" s="13">
        <f t="shared" si="87"/>
        <v>58.974170235372419</v>
      </c>
      <c r="Q98" s="20">
        <f t="shared" si="54"/>
        <v>525.04382649327351</v>
      </c>
      <c r="R98" s="59">
        <f t="shared" si="55"/>
        <v>818.37715982660688</v>
      </c>
      <c r="S98" s="59">
        <f ca="1">AVERAGE(OFFSET($R$3,0,0,'Données projet'!$E$9+1,1))-AVERAGE(OFFSET($H$3,0,0,'Données projet'!$E$9+1,1))</f>
        <v>221.63427112734911</v>
      </c>
      <c r="T98" s="59">
        <f t="shared" si="88"/>
        <v>133.63266168802033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27.408332234491152</v>
      </c>
      <c r="AA98" s="21">
        <f>EXP(-LN(2)/25)*AA97+(1-EXP(-LN(2)/25))/(LN(2)/25)*Calculateur!V98*Calculateur!X98*VLOOKUP('Données projet'!$B$9,Paramètres!$A$1:$I$89,3,0)*0.475*44/12</f>
        <v>0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27.408332234491152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6</v>
      </c>
      <c r="AI98" s="13">
        <f>IF('Données projet'!$A$62&gt;35,AI97+AH98-AQ97,IF(A98&lt;'Données projet'!$A$62,$AF$205^A98,IF(A98='Données projet'!$A$62,'Données projet'!$B$62,AI97+AH98-AQ97)))</f>
        <v>332.00000000000017</v>
      </c>
      <c r="AJ98" s="13">
        <f>AI98*VLOOKUP('Données projet'!$B$10,Paramètres!$A$1:$I$89,3,0)*VLOOKUP('Données projet'!$B$10,Paramètres!$A$1:$I$89,5,0)</f>
        <v>336.6480000000002</v>
      </c>
      <c r="AK98" s="13">
        <f t="shared" si="89"/>
        <v>78.807003163010378</v>
      </c>
      <c r="AL98" s="20">
        <f t="shared" si="58"/>
        <v>723.58413050891011</v>
      </c>
      <c r="AM98" s="59">
        <f t="shared" si="59"/>
        <v>1016.9174638422435</v>
      </c>
      <c r="AN98" s="59">
        <f ca="1">AVERAGE(OFFSET($AM$3,0,0,'Données projet'!$E$10+1,1))-AVERAGE(OFFSET($H$3,0,0,'Données projet'!$E$10+1,1))</f>
        <v>356.320269084225</v>
      </c>
      <c r="AO98" s="59">
        <f t="shared" si="90"/>
        <v>208.88199836488002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42.868812790835648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42.868812790835648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2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85.363200000000134</v>
      </c>
      <c r="D99" s="11">
        <f t="shared" si="86"/>
        <v>23.443521253861071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839.91153248594617</v>
      </c>
      <c r="H99" s="67">
        <f t="shared" si="56"/>
        <v>482.83837285047491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2.8</v>
      </c>
      <c r="N99" s="13">
        <f>IF('Données projet'!$A$36&gt;35,N98+M99-V98,IF(A99&lt;'Données projet'!$A$36,$K$205^A99,IF(A99='Données projet'!$A$36,'Données projet'!$B$36,N98+M99-V98)))</f>
        <v>270.79999999999995</v>
      </c>
      <c r="O99" s="13">
        <f>N99*VLOOKUP('Données projet'!$B$9,Paramètres!$A$1:$I$89,3,0)*VLOOKUP('Données projet'!$B$9,Paramètres!$A$1:$I$89,5,0)</f>
        <v>245.01983999999996</v>
      </c>
      <c r="P99" s="13">
        <f t="shared" si="87"/>
        <v>59.518268884951055</v>
      </c>
      <c r="Q99" s="20">
        <f t="shared" ref="Q99:Q130" si="107">(O99+P99)*0.475*44/12</f>
        <v>530.40387297462303</v>
      </c>
      <c r="R99" s="59">
        <f t="shared" si="55"/>
        <v>823.73720630795628</v>
      </c>
      <c r="S99" s="59">
        <f ca="1">AVERAGE(OFFSET($R$3,0,0,'Données projet'!$E$9+1,1))-AVERAGE(OFFSET($H$3,0,0,'Données projet'!$E$9+1,1))</f>
        <v>221.63427112734911</v>
      </c>
      <c r="T99" s="59">
        <f t="shared" si="88"/>
        <v>133.63266168802033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26.870871556804733</v>
      </c>
      <c r="AA99" s="21">
        <f>EXP(-LN(2)/25)*AA98+(1-EXP(-LN(2)/25))/(LN(2)/25)*Calculateur!V99*Calculateur!X99*VLOOKUP('Données projet'!$B$9,Paramètres!$A$1:$I$89,3,0)*0.475*44/12</f>
        <v>0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26.870871556804733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6</v>
      </c>
      <c r="AI99" s="13">
        <f>IF('Données projet'!$A$62&gt;35,AI98+AH99-AQ98,IF(A99&lt;'Données projet'!$A$62,$AF$205^A99,IF(A99='Données projet'!$A$62,'Données projet'!$B$62,AI98+AH99-AQ98)))</f>
        <v>338.00000000000017</v>
      </c>
      <c r="AJ99" s="13">
        <f>AI99*VLOOKUP('Données projet'!$B$10,Paramètres!$A$1:$I$89,3,0)*VLOOKUP('Données projet'!$B$10,Paramètres!$A$1:$I$89,5,0)</f>
        <v>342.7320000000002</v>
      </c>
      <c r="AK99" s="13">
        <f t="shared" si="89"/>
        <v>80.064131738348422</v>
      </c>
      <c r="AL99" s="20">
        <f t="shared" si="58"/>
        <v>736.36992944429039</v>
      </c>
      <c r="AM99" s="59">
        <f t="shared" si="59"/>
        <v>1029.7032627776236</v>
      </c>
      <c r="AN99" s="59">
        <f ca="1">AVERAGE(OFFSET($AM$3,0,0,'Données projet'!$E$10+1,1))-AVERAGE(OFFSET($H$3,0,0,'Données projet'!$E$10+1,1))</f>
        <v>356.320269084225</v>
      </c>
      <c r="AO99" s="59">
        <f t="shared" si="90"/>
        <v>208.88199836488002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42.028181519401322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42.028181519401322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2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86.252400000000137</v>
      </c>
      <c r="D100" s="11">
        <f t="shared" si="86"/>
        <v>23.659169019590845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848.44018190561474</v>
      </c>
      <c r="H100" s="67">
        <f t="shared" si="56"/>
        <v>484.76264937578765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2.8</v>
      </c>
      <c r="N100" s="13">
        <f>IF('Données projet'!$A$36&gt;35,N99+M100-V99,IF(A100&lt;'Données projet'!$A$36,$K$205^A100,IF(A100='Données projet'!$A$36,'Données projet'!$B$36,N99+M100-V99)))</f>
        <v>273.59999999999997</v>
      </c>
      <c r="O100" s="13">
        <f>N100*VLOOKUP('Données projet'!$B$9,Paramètres!$A$1:$I$89,3,0)*VLOOKUP('Données projet'!$B$9,Paramètres!$A$1:$I$89,5,0)</f>
        <v>247.55327999999994</v>
      </c>
      <c r="P100" s="13">
        <f t="shared" si="87"/>
        <v>60.061713068870255</v>
      </c>
      <c r="Q100" s="20">
        <f t="shared" si="107"/>
        <v>535.76277959494894</v>
      </c>
      <c r="R100" s="59">
        <f t="shared" si="55"/>
        <v>829.09611292828231</v>
      </c>
      <c r="S100" s="59">
        <f ca="1">AVERAGE(OFFSET($R$3,0,0,'Données projet'!$E$9+1,1))-AVERAGE(OFFSET($H$3,0,0,'Données projet'!$E$9+1,1))</f>
        <v>221.63427112734911</v>
      </c>
      <c r="T100" s="59">
        <f t="shared" si="88"/>
        <v>133.63266168802033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26.343950155189102</v>
      </c>
      <c r="AA100" s="21">
        <f>EXP(-LN(2)/25)*AA99+(1-EXP(-LN(2)/25))/(LN(2)/25)*Calculateur!V100*Calculateur!X100*VLOOKUP('Données projet'!$B$9,Paramètres!$A$1:$I$89,3,0)*0.475*44/12</f>
        <v>0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26.343950155189102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6</v>
      </c>
      <c r="AI100" s="13">
        <f>IF('Données projet'!$A$62&gt;35,AI99+AH100-AQ99,IF(A100&lt;'Données projet'!$A$62,$AF$205^A100,IF(A100='Données projet'!$A$62,'Données projet'!$B$62,AI99+AH100-AQ99)))</f>
        <v>344.00000000000017</v>
      </c>
      <c r="AJ100" s="13">
        <f>AI100*VLOOKUP('Données projet'!$B$10,Paramètres!$A$1:$I$89,3,0)*VLOOKUP('Données projet'!$B$10,Paramètres!$A$1:$I$89,5,0)</f>
        <v>348.8160000000002</v>
      </c>
      <c r="AK100" s="13">
        <f t="shared" si="89"/>
        <v>81.318665281585453</v>
      </c>
      <c r="AL100" s="20">
        <f t="shared" si="58"/>
        <v>749.15120869876171</v>
      </c>
      <c r="AM100" s="59">
        <f t="shared" si="59"/>
        <v>1042.4845420320951</v>
      </c>
      <c r="AN100" s="59">
        <f ca="1">AVERAGE(OFFSET($AM$3,0,0,'Données projet'!$E$10+1,1))-AVERAGE(OFFSET($H$3,0,0,'Données projet'!$E$10+1,1))</f>
        <v>356.320269084225</v>
      </c>
      <c r="AO100" s="59">
        <f t="shared" si="90"/>
        <v>208.88199836488002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41.204034514465377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41.204034514465377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2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87.141600000000139</v>
      </c>
      <c r="D101" s="11">
        <f t="shared" si="86"/>
        <v>23.874558158360987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856.96683490664736</v>
      </c>
      <c r="H101" s="67">
        <f t="shared" si="56"/>
        <v>486.68647545914564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2.8</v>
      </c>
      <c r="N101" s="13">
        <f>IF('Données projet'!$A$36&gt;35,N100+M101-V100,IF(A101&lt;'Données projet'!$A$36,$K$205^A101,IF(A101='Données projet'!$A$36,'Données projet'!$B$36,N100+M101-V100)))</f>
        <v>276.39999999999998</v>
      </c>
      <c r="O101" s="13">
        <f>N101*VLOOKUP('Données projet'!$B$9,Paramètres!$A$1:$I$89,3,0)*VLOOKUP('Données projet'!$B$9,Paramètres!$A$1:$I$89,5,0)</f>
        <v>250.08671999999999</v>
      </c>
      <c r="P101" s="13">
        <f t="shared" si="87"/>
        <v>60.604510260306157</v>
      </c>
      <c r="Q101" s="20">
        <f t="shared" si="107"/>
        <v>541.12055937003322</v>
      </c>
      <c r="R101" s="59">
        <f t="shared" si="55"/>
        <v>834.45389270336659</v>
      </c>
      <c r="S101" s="59">
        <f ca="1">AVERAGE(OFFSET($R$3,0,0,'Données projet'!$E$9+1,1))-AVERAGE(OFFSET($H$3,0,0,'Données projet'!$E$9+1,1))</f>
        <v>221.63427112734911</v>
      </c>
      <c r="T101" s="59">
        <f t="shared" si="88"/>
        <v>133.63266168802033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25.827361360868831</v>
      </c>
      <c r="AA101" s="21">
        <f>EXP(-LN(2)/25)*AA100+(1-EXP(-LN(2)/25))/(LN(2)/25)*Calculateur!V101*Calculateur!X101*VLOOKUP('Données projet'!$B$9,Paramètres!$A$1:$I$89,3,0)*0.475*44/12</f>
        <v>0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25.827361360868831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6</v>
      </c>
      <c r="AI101" s="13">
        <f>IF('Données projet'!$A$62&gt;35,AI100+AH101-AQ100,IF(A101&lt;'Données projet'!$A$62,$AF$205^A101,IF(A101='Données projet'!$A$62,'Données projet'!$B$62,AI100+AH101-AQ100)))</f>
        <v>350.00000000000017</v>
      </c>
      <c r="AJ101" s="13">
        <f>AI101*VLOOKUP('Données projet'!$B$10,Paramètres!$A$1:$I$89,3,0)*VLOOKUP('Données projet'!$B$10,Paramètres!$A$1:$I$89,5,0)</f>
        <v>354.9000000000002</v>
      </c>
      <c r="AK101" s="13">
        <f t="shared" si="89"/>
        <v>82.570654277328188</v>
      </c>
      <c r="AL101" s="20">
        <f t="shared" si="58"/>
        <v>761.92805619968021</v>
      </c>
      <c r="AM101" s="59">
        <f t="shared" si="59"/>
        <v>1055.2613895330135</v>
      </c>
      <c r="AN101" s="59">
        <f ca="1">AVERAGE(OFFSET($AM$3,0,0,'Données projet'!$E$10+1,1))-AVERAGE(OFFSET($H$3,0,0,'Données projet'!$E$10+1,1))</f>
        <v>356.320269084225</v>
      </c>
      <c r="AO101" s="59">
        <f t="shared" si="90"/>
        <v>208.88199836488002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40.396048529616188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40.396048529616188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2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88.030800000000141</v>
      </c>
      <c r="D102" s="11">
        <f t="shared" si="86"/>
        <v>24.089691614761293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865.49151421921113</v>
      </c>
      <c r="H102" s="67">
        <f t="shared" si="56"/>
        <v>488.6098562290428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2.8</v>
      </c>
      <c r="N102" s="13">
        <f>IF('Données projet'!$A$36&gt;35,N101+M102-V101,IF(A102&lt;'Données projet'!$A$36,$K$205^A102,IF(A102='Données projet'!$A$36,'Données projet'!$B$36,N101+M102-V101)))</f>
        <v>279.2</v>
      </c>
      <c r="O102" s="13">
        <f>N102*VLOOKUP('Données projet'!$B$9,Paramètres!$A$1:$I$89,3,0)*VLOOKUP('Données projet'!$B$9,Paramètres!$A$1:$I$89,5,0)</f>
        <v>252.62015999999997</v>
      </c>
      <c r="P102" s="13">
        <f t="shared" si="87"/>
        <v>61.14666777229877</v>
      </c>
      <c r="Q102" s="20">
        <f t="shared" si="107"/>
        <v>546.47722503675357</v>
      </c>
      <c r="R102" s="59">
        <f t="shared" si="55"/>
        <v>839.81055837008694</v>
      </c>
      <c r="S102" s="59">
        <f ca="1">AVERAGE(OFFSET($R$3,0,0,'Données projet'!$E$9+1,1))-AVERAGE(OFFSET($H$3,0,0,'Données projet'!$E$9+1,1))</f>
        <v>221.63427112734911</v>
      </c>
      <c r="T102" s="59">
        <f t="shared" si="88"/>
        <v>133.63266168802033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25.32090255771713</v>
      </c>
      <c r="AA102" s="21">
        <f>EXP(-LN(2)/25)*AA101+(1-EXP(-LN(2)/25))/(LN(2)/25)*Calculateur!V102*Calculateur!X102*VLOOKUP('Données projet'!$B$9,Paramètres!$A$1:$I$89,3,0)*0.475*44/12</f>
        <v>0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25.32090255771713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6</v>
      </c>
      <c r="AI102" s="13">
        <f>IF('Données projet'!$A$62&gt;35,AI101+AH102-AQ101,IF(A102&lt;'Données projet'!$A$62,$AF$205^A102,IF(A102='Données projet'!$A$62,'Données projet'!$B$62,AI101+AH102-AQ101)))</f>
        <v>356.00000000000017</v>
      </c>
      <c r="AJ102" s="13">
        <f>AI102*VLOOKUP('Données projet'!$B$10,Paramètres!$A$1:$I$89,3,0)*VLOOKUP('Données projet'!$B$10,Paramètres!$A$1:$I$89,5,0)</f>
        <v>360.98400000000021</v>
      </c>
      <c r="AK102" s="13">
        <f t="shared" si="89"/>
        <v>83.820147380102171</v>
      </c>
      <c r="AL102" s="20">
        <f t="shared" si="58"/>
        <v>774.70055668701161</v>
      </c>
      <c r="AM102" s="59">
        <f t="shared" si="59"/>
        <v>1068.0338900203449</v>
      </c>
      <c r="AN102" s="59">
        <f ca="1">AVERAGE(OFFSET($AM$3,0,0,'Données projet'!$E$10+1,1))-AVERAGE(OFFSET($H$3,0,0,'Données projet'!$E$10+1,1))</f>
        <v>356.320269084225</v>
      </c>
      <c r="AO102" s="59">
        <f t="shared" si="90"/>
        <v>208.88199836488002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39.603906657107103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39.603906657107103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2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88.920000000000144</v>
      </c>
      <c r="D103" s="11">
        <f t="shared" si="86"/>
        <v>24.304572270466512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874.01424208781282</v>
      </c>
      <c r="H103" s="67">
        <f t="shared" si="56"/>
        <v>490.53279670439605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>
        <f>VLOOKUP(A103,'Données projet'!$A$35:$I$55,2,0)</f>
        <v>282</v>
      </c>
      <c r="L103" s="12">
        <f>VLOOKUP(A103,'Données projet'!$A$35:$I$55,9,0)</f>
        <v>2.8</v>
      </c>
      <c r="M103" s="12">
        <f t="array" ref="M103">INDEX(L:L,MIN(IF(ISNUMBER(L103:L299),ROW(L103:L299),"")))</f>
        <v>2.8</v>
      </c>
      <c r="N103" s="13">
        <f>IF('Données projet'!$A$36&gt;35,N102+M103-V102,IF(A103&lt;'Données projet'!$A$36,$K$205^A103,IF(A103='Données projet'!$A$36,'Données projet'!$B$36,N102+M103-V102)))</f>
        <v>282</v>
      </c>
      <c r="O103" s="13">
        <f>N103*VLOOKUP('Données projet'!$B$9,Paramètres!$A$1:$I$89,3,0)*VLOOKUP('Données projet'!$B$9,Paramètres!$A$1:$I$89,5,0)</f>
        <v>255.15360000000001</v>
      </c>
      <c r="P103" s="13">
        <f t="shared" si="87"/>
        <v>61.688192762754426</v>
      </c>
      <c r="Q103" s="20">
        <f t="shared" si="107"/>
        <v>551.83278906179726</v>
      </c>
      <c r="R103" s="59">
        <f t="shared" si="55"/>
        <v>845.16612239513051</v>
      </c>
      <c r="S103" s="59">
        <f ca="1">AVERAGE(OFFSET($R$3,0,0,'Données projet'!$E$9+1,1))-AVERAGE(OFFSET($H$3,0,0,'Données projet'!$E$9+1,1))</f>
        <v>221.63427112734911</v>
      </c>
      <c r="T103" s="59">
        <f t="shared" si="88"/>
        <v>133.63266168802033</v>
      </c>
      <c r="U103" s="15">
        <f>IF(ISNA(VLOOKUP(A103,'Données projet'!$A$35:$I$55,3,0)),0,VLOOKUP(A103,'Données projet'!$A$35:$I$55,3,0))</f>
        <v>16</v>
      </c>
      <c r="V103" s="15">
        <f>IF(ISNA(VLOOKUP(A103,'Données projet'!$A$35:$I$55,4,0)),0,VLOOKUP(A103,'Données projet'!$A$35:$I$55,4,0))</f>
        <v>21</v>
      </c>
      <c r="W103" s="16">
        <f>IF(ISNA(VLOOKUP(A103,'Données projet'!$A$35:$I$55,5,0)),0%,VLOOKUP(A103,'Données projet'!$A$35:$I$55,5,0)*VLOOKUP('Données projet'!$B$9,Paramètres!$A$1:$I$89,7,0))</f>
        <v>0.30099999999999999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31.146826400602198</v>
      </c>
      <c r="AA103" s="21">
        <f>EXP(-LN(2)/25)*AA102+(1-EXP(-LN(2)/25))/(LN(2)/25)*Calculateur!V103*Calculateur!X103*VLOOKUP('Données projet'!$B$9,Paramètres!$A$1:$I$89,3,0)*0.475*44/12</f>
        <v>0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31.146826400602198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>
        <f>VLOOKUP(A103,'Données projet'!$A$61:$I$81,2,0)</f>
        <v>362</v>
      </c>
      <c r="AG103" s="12">
        <f>VLOOKUP(A103,'Données projet'!$A$61:$I$81,9,0)</f>
        <v>6</v>
      </c>
      <c r="AH103" s="12">
        <f t="array" ref="AH103">INDEX(AG:AG,MIN(IF(ISNUMBER(AG103:AG299),ROW(AG103:AG299),"")))</f>
        <v>6</v>
      </c>
      <c r="AI103" s="13">
        <f>IF('Données projet'!$A$62&gt;35,AI102+AH103-AQ102,IF(A103&lt;'Données projet'!$A$62,$AF$205^A103,IF(A103='Données projet'!$A$62,'Données projet'!$B$62,AI102+AH103-AQ102)))</f>
        <v>362.00000000000017</v>
      </c>
      <c r="AJ103" s="13">
        <f>AI103*VLOOKUP('Données projet'!$B$10,Paramètres!$A$1:$I$89,3,0)*VLOOKUP('Données projet'!$B$10,Paramètres!$A$1:$I$89,5,0)</f>
        <v>367.06800000000021</v>
      </c>
      <c r="AK103" s="13">
        <f t="shared" si="89"/>
        <v>85.067191510398061</v>
      </c>
      <c r="AL103" s="20">
        <f t="shared" si="58"/>
        <v>787.4687918806103</v>
      </c>
      <c r="AM103" s="59">
        <f t="shared" si="59"/>
        <v>1080.8021252139436</v>
      </c>
      <c r="AN103" s="59">
        <f ca="1">AVERAGE(OFFSET($AM$3,0,0,'Données projet'!$E$10+1,1))-AVERAGE(OFFSET($H$3,0,0,'Données projet'!$E$10+1,1))</f>
        <v>356.320269084225</v>
      </c>
      <c r="AO103" s="59">
        <f t="shared" si="90"/>
        <v>208.88199836488002</v>
      </c>
      <c r="AP103" s="15">
        <f>IF(ISNA(VLOOKUP(A103,'Données projet'!$A$61:$I$81,3,0)),0,VLOOKUP(A103,'Données projet'!$A$61:$I$81,3,0))</f>
        <v>17</v>
      </c>
      <c r="AQ103" s="15">
        <f>IF(ISNA(VLOOKUP(A103,'Données projet'!$A$61:$I$81,4,0)),0,VLOOKUP(A103,'Données projet'!$A$61:$I$81,4,0))</f>
        <v>56</v>
      </c>
      <c r="AR103" s="16">
        <f>IF(ISNA(VLOOKUP(A103,'Données projet'!$A$61:$I$81,5,0)),0%,VLOOKUP(A103,'Données projet'!$A$61:$I$81,5,0)*VLOOKUP('Données projet'!$B$10,Paramètres!$A$1:$I$89,7,0))</f>
        <v>0.34400000000000003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60.421220534360359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60.421220534360359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2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89.809200000000146</v>
      </c>
      <c r="D104" s="11">
        <f t="shared" si="86"/>
        <v>24.519202946196138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882.53504028642749</v>
      </c>
      <c r="H104" s="67">
        <f t="shared" si="56"/>
        <v>492.4553017979585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2.4</v>
      </c>
      <c r="N104" s="13">
        <f>IF('Données projet'!$A$36&gt;35,N103+M104-V103,IF(A104&lt;'Données projet'!$A$36,$K$205^A104,IF(A104='Données projet'!$A$36,'Données projet'!$B$36,N103+M104-V103)))</f>
        <v>263.39999999999998</v>
      </c>
      <c r="O104" s="13">
        <f>N104*VLOOKUP('Données projet'!$B$9,Paramètres!$A$1:$I$89,3,0)*VLOOKUP('Données projet'!$B$9,Paramètres!$A$1:$I$89,5,0)</f>
        <v>238.32431999999994</v>
      </c>
      <c r="P104" s="13">
        <f t="shared" si="87"/>
        <v>58.078852882738808</v>
      </c>
      <c r="Q104" s="20">
        <f t="shared" si="107"/>
        <v>516.23552610410331</v>
      </c>
      <c r="R104" s="59">
        <f t="shared" si="55"/>
        <v>809.56885943743669</v>
      </c>
      <c r="S104" s="59">
        <f ca="1">AVERAGE(OFFSET($R$3,0,0,'Données projet'!$E$9+1,1))-AVERAGE(OFFSET($H$3,0,0,'Données projet'!$E$9+1,1))</f>
        <v>221.63427112734911</v>
      </c>
      <c r="T104" s="59">
        <f t="shared" si="88"/>
        <v>133.63266168802033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30.536056132574625</v>
      </c>
      <c r="AA104" s="21">
        <f>EXP(-LN(2)/25)*AA103+(1-EXP(-LN(2)/25))/(LN(2)/25)*Calculateur!V104*Calculateur!X104*VLOOKUP('Données projet'!$B$9,Paramètres!$A$1:$I$89,3,0)*0.475*44/12</f>
        <v>0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30.536056132574625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5.2</v>
      </c>
      <c r="AI104" s="13">
        <f>IF('Données projet'!$A$62&gt;35,AI103+AH104-AQ103,IF(A104&lt;'Données projet'!$A$62,$AF$205^A104,IF(A104='Données projet'!$A$62,'Données projet'!$B$62,AI103+AH104-AQ103)))</f>
        <v>311.20000000000016</v>
      </c>
      <c r="AJ104" s="13">
        <f>AI104*VLOOKUP('Données projet'!$B$10,Paramètres!$A$1:$I$89,3,0)*VLOOKUP('Données projet'!$B$10,Paramètres!$A$1:$I$89,5,0)</f>
        <v>315.55680000000018</v>
      </c>
      <c r="AK104" s="13">
        <f t="shared" si="89"/>
        <v>74.42810851327107</v>
      </c>
      <c r="AL104" s="20">
        <f t="shared" si="58"/>
        <v>679.22371566061418</v>
      </c>
      <c r="AM104" s="59">
        <f t="shared" si="59"/>
        <v>972.55704899394755</v>
      </c>
      <c r="AN104" s="59">
        <f ca="1">AVERAGE(OFFSET($AM$3,0,0,'Données projet'!$E$10+1,1))-AVERAGE(OFFSET($H$3,0,0,'Données projet'!$E$10+1,1))</f>
        <v>356.320269084225</v>
      </c>
      <c r="AO104" s="59">
        <f t="shared" si="90"/>
        <v>208.88199836488002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59.236397252987118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59.236397252987118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2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90.698400000000149</v>
      </c>
      <c r="D105" s="11">
        <f t="shared" si="86"/>
        <v>24.733586403594217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891.05393013300909</v>
      </c>
      <c r="H105" s="67">
        <f t="shared" si="56"/>
        <v>494.37737631959351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2.4</v>
      </c>
      <c r="N105" s="13">
        <f>IF('Données projet'!$A$36&gt;35,N104+M105-V104,IF(A105&lt;'Données projet'!$A$36,$K$205^A105,IF(A105='Données projet'!$A$36,'Données projet'!$B$36,N104+M105-V104)))</f>
        <v>265.79999999999995</v>
      </c>
      <c r="O105" s="13">
        <f>N105*VLOOKUP('Données projet'!$B$9,Paramètres!$A$1:$I$89,3,0)*VLOOKUP('Données projet'!$B$9,Paramètres!$A$1:$I$89,5,0)</f>
        <v>240.49583999999993</v>
      </c>
      <c r="P105" s="13">
        <f t="shared" si="87"/>
        <v>58.546200055878231</v>
      </c>
      <c r="Q105" s="20">
        <f t="shared" si="107"/>
        <v>520.83155309732103</v>
      </c>
      <c r="R105" s="59">
        <f t="shared" si="55"/>
        <v>814.16488643065441</v>
      </c>
      <c r="S105" s="59">
        <f ca="1">AVERAGE(OFFSET($R$3,0,0,'Données projet'!$E$9+1,1))-AVERAGE(OFFSET($H$3,0,0,'Données projet'!$E$9+1,1))</f>
        <v>221.63427112734911</v>
      </c>
      <c r="T105" s="59">
        <f t="shared" si="88"/>
        <v>133.63266168802033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29.937262696969995</v>
      </c>
      <c r="AA105" s="21">
        <f>EXP(-LN(2)/25)*AA104+(1-EXP(-LN(2)/25))/(LN(2)/25)*Calculateur!V105*Calculateur!X105*VLOOKUP('Données projet'!$B$9,Paramètres!$A$1:$I$89,3,0)*0.475*44/12</f>
        <v>0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29.937262696969995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5.2</v>
      </c>
      <c r="AI105" s="13">
        <f>IF('Données projet'!$A$62&gt;35,AI104+AH105-AQ104,IF(A105&lt;'Données projet'!$A$62,$AF$205^A105,IF(A105='Données projet'!$A$62,'Données projet'!$B$62,AI104+AH105-AQ104)))</f>
        <v>316.40000000000015</v>
      </c>
      <c r="AJ105" s="13">
        <f>AI105*VLOOKUP('Données projet'!$B$10,Paramètres!$A$1:$I$89,3,0)*VLOOKUP('Données projet'!$B$10,Paramètres!$A$1:$I$89,5,0)</f>
        <v>320.8296000000002</v>
      </c>
      <c r="AK105" s="13">
        <f t="shared" si="89"/>
        <v>75.525942057150743</v>
      </c>
      <c r="AL105" s="20">
        <f t="shared" si="58"/>
        <v>690.31923574953782</v>
      </c>
      <c r="AM105" s="59">
        <f t="shared" si="59"/>
        <v>983.6525690828712</v>
      </c>
      <c r="AN105" s="59">
        <f ca="1">AVERAGE(OFFSET($AM$3,0,0,'Données projet'!$E$10+1,1))-AVERAGE(OFFSET($H$3,0,0,'Données projet'!$E$10+1,1))</f>
        <v>356.320269084225</v>
      </c>
      <c r="AO105" s="59">
        <f t="shared" si="90"/>
        <v>208.88199836488002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58.074807633490764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58.074807633490764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2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91.587600000000151</v>
      </c>
      <c r="D106" s="11">
        <f t="shared" si="86"/>
        <v>24.947725347033305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899.5709325034162</v>
      </c>
      <c r="H106" s="67">
        <f t="shared" si="56"/>
        <v>496.29902497941657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2.4</v>
      </c>
      <c r="N106" s="13">
        <f>IF('Données projet'!$A$36&gt;35,N105+M106-V105,IF(A106&lt;'Données projet'!$A$36,$K$205^A106,IF(A106='Données projet'!$A$36,'Données projet'!$B$36,N105+M106-V105)))</f>
        <v>268.19999999999993</v>
      </c>
      <c r="O106" s="13">
        <f>N106*VLOOKUP('Données projet'!$B$9,Paramètres!$A$1:$I$89,3,0)*VLOOKUP('Données projet'!$B$9,Paramètres!$A$1:$I$89,5,0)</f>
        <v>242.66735999999995</v>
      </c>
      <c r="P106" s="13">
        <f t="shared" si="87"/>
        <v>59.013056290731797</v>
      </c>
      <c r="Q106" s="20">
        <f t="shared" si="107"/>
        <v>525.42672503969106</v>
      </c>
      <c r="R106" s="59">
        <f t="shared" si="55"/>
        <v>818.76005837302432</v>
      </c>
      <c r="S106" s="59">
        <f ca="1">AVERAGE(OFFSET($R$3,0,0,'Données projet'!$E$9+1,1))-AVERAGE(OFFSET($H$3,0,0,'Données projet'!$E$9+1,1))</f>
        <v>221.63427112734911</v>
      </c>
      <c r="T106" s="59">
        <f t="shared" si="88"/>
        <v>133.63266168802033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29.350211235409642</v>
      </c>
      <c r="AA106" s="21">
        <f>EXP(-LN(2)/25)*AA105+(1-EXP(-LN(2)/25))/(LN(2)/25)*Calculateur!V106*Calculateur!X106*VLOOKUP('Données projet'!$B$9,Paramètres!$A$1:$I$89,3,0)*0.475*44/12</f>
        <v>0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29.350211235409642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5.2</v>
      </c>
      <c r="AI106" s="13">
        <f>IF('Données projet'!$A$62&gt;35,AI105+AH106-AQ105,IF(A106&lt;'Données projet'!$A$62,$AF$205^A106,IF(A106='Données projet'!$A$62,'Données projet'!$B$62,AI105+AH106-AQ105)))</f>
        <v>321.60000000000014</v>
      </c>
      <c r="AJ106" s="13">
        <f>AI106*VLOOKUP('Données projet'!$B$10,Paramètres!$A$1:$I$89,3,0)*VLOOKUP('Données projet'!$B$10,Paramètres!$A$1:$I$89,5,0)</f>
        <v>326.10240000000016</v>
      </c>
      <c r="AK106" s="13">
        <f t="shared" si="89"/>
        <v>76.621677329562345</v>
      </c>
      <c r="AL106" s="20">
        <f t="shared" si="58"/>
        <v>701.41110134898815</v>
      </c>
      <c r="AM106" s="59">
        <f t="shared" si="59"/>
        <v>994.74443468232153</v>
      </c>
      <c r="AN106" s="59">
        <f ca="1">AVERAGE(OFFSET($AM$3,0,0,'Données projet'!$E$10+1,1))-AVERAGE(OFFSET($H$3,0,0,'Données projet'!$E$10+1,1))</f>
        <v>356.320269084225</v>
      </c>
      <c r="AO106" s="59">
        <f t="shared" si="90"/>
        <v>208.88199836488002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56.935996077933019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56.935996077933019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2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92.476800000000154</v>
      </c>
      <c r="D107" s="11">
        <f t="shared" si="86"/>
        <v>25.161622425346469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908.08606784478104</v>
      </c>
      <c r="H107" s="67">
        <f t="shared" si="56"/>
        <v>498.22025239081199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2.4</v>
      </c>
      <c r="N107" s="13">
        <f>IF('Données projet'!$A$36&gt;35,N106+M107-V106,IF(A107&lt;'Données projet'!$A$36,$K$205^A107,IF(A107='Données projet'!$A$36,'Données projet'!$B$36,N106+M107-V106)))</f>
        <v>270.59999999999991</v>
      </c>
      <c r="O107" s="13">
        <f>N107*VLOOKUP('Données projet'!$B$9,Paramètres!$A$1:$I$89,3,0)*VLOOKUP('Données projet'!$B$9,Paramètres!$A$1:$I$89,5,0)</f>
        <v>244.83887999999988</v>
      </c>
      <c r="P107" s="13">
        <f t="shared" si="87"/>
        <v>59.47942648942773</v>
      </c>
      <c r="Q107" s="20">
        <f t="shared" si="107"/>
        <v>530.02105046908639</v>
      </c>
      <c r="R107" s="59">
        <f t="shared" si="55"/>
        <v>823.35438380241976</v>
      </c>
      <c r="S107" s="59">
        <f ca="1">AVERAGE(OFFSET($R$3,0,0,'Données projet'!$E$9+1,1))-AVERAGE(OFFSET($H$3,0,0,'Données projet'!$E$9+1,1))</f>
        <v>221.63427112734911</v>
      </c>
      <c r="T107" s="59">
        <f t="shared" si="88"/>
        <v>133.63266168802033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28.77467149494445</v>
      </c>
      <c r="AA107" s="21">
        <f>EXP(-LN(2)/25)*AA106+(1-EXP(-LN(2)/25))/(LN(2)/25)*Calculateur!V107*Calculateur!X107*VLOOKUP('Données projet'!$B$9,Paramètres!$A$1:$I$89,3,0)*0.475*44/12</f>
        <v>0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28.77467149494445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5.2</v>
      </c>
      <c r="AI107" s="13">
        <f>IF('Données projet'!$A$62&gt;35,AI106+AH107-AQ106,IF(A107&lt;'Données projet'!$A$62,$AF$205^A107,IF(A107='Données projet'!$A$62,'Données projet'!$B$62,AI106+AH107-AQ106)))</f>
        <v>326.80000000000013</v>
      </c>
      <c r="AJ107" s="13">
        <f>AI107*VLOOKUP('Données projet'!$B$10,Paramètres!$A$1:$I$89,3,0)*VLOOKUP('Données projet'!$B$10,Paramètres!$A$1:$I$89,5,0)</f>
        <v>331.37520000000018</v>
      </c>
      <c r="AK107" s="13">
        <f t="shared" si="89"/>
        <v>77.715352174616967</v>
      </c>
      <c r="AL107" s="20">
        <f t="shared" si="58"/>
        <v>712.49937837079142</v>
      </c>
      <c r="AM107" s="59">
        <f t="shared" si="59"/>
        <v>1005.8327117041247</v>
      </c>
      <c r="AN107" s="59">
        <f ca="1">AVERAGE(OFFSET($AM$3,0,0,'Données projet'!$E$10+1,1))-AVERAGE(OFFSET($H$3,0,0,'Données projet'!$E$10+1,1))</f>
        <v>356.320269084225</v>
      </c>
      <c r="AO107" s="59">
        <f t="shared" si="90"/>
        <v>208.88199836488002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55.819515922373299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55.819515922373299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2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93.366000000000156</v>
      </c>
      <c r="D108" s="11">
        <f t="shared" si="86"/>
        <v>25.375280233490724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916.59935618835073</v>
      </c>
      <c r="H108" s="67">
        <f t="shared" si="56"/>
        <v>500.14106307332992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2.4</v>
      </c>
      <c r="N108" s="13">
        <f>IF('Données projet'!$A$36&gt;35,N107+M108-V107,IF(A108&lt;'Données projet'!$A$36,$K$205^A108,IF(A108='Données projet'!$A$36,'Données projet'!$B$36,N107+M108-V107)))</f>
        <v>272.99999999999989</v>
      </c>
      <c r="O108" s="13">
        <f>N108*VLOOKUP('Données projet'!$B$9,Paramètres!$A$1:$I$89,3,0)*VLOOKUP('Données projet'!$B$9,Paramètres!$A$1:$I$89,5,0)</f>
        <v>247.01039999999989</v>
      </c>
      <c r="P108" s="13">
        <f t="shared" si="87"/>
        <v>59.945315462121812</v>
      </c>
      <c r="Q108" s="20">
        <f t="shared" si="107"/>
        <v>534.61453776319524</v>
      </c>
      <c r="R108" s="59">
        <f t="shared" si="55"/>
        <v>827.94787109652862</v>
      </c>
      <c r="S108" s="59">
        <f ca="1">AVERAGE(OFFSET($R$3,0,0,'Données projet'!$E$9+1,1))-AVERAGE(OFFSET($H$3,0,0,'Données projet'!$E$9+1,1))</f>
        <v>221.63427112734911</v>
      </c>
      <c r="T108" s="59">
        <f t="shared" si="88"/>
        <v>133.63266168802033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28.210417737745203</v>
      </c>
      <c r="AA108" s="21">
        <f>EXP(-LN(2)/25)*AA107+(1-EXP(-LN(2)/25))/(LN(2)/25)*Calculateur!V108*Calculateur!X108*VLOOKUP('Données projet'!$B$9,Paramètres!$A$1:$I$89,3,0)*0.475*44/12</f>
        <v>0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28.210417737745203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5.2</v>
      </c>
      <c r="AI108" s="13">
        <f>IF('Données projet'!$A$62&gt;35,AI107+AH108-AQ107,IF(A108&lt;'Données projet'!$A$62,$AF$205^A108,IF(A108='Données projet'!$A$62,'Données projet'!$B$62,AI107+AH108-AQ107)))</f>
        <v>332.00000000000011</v>
      </c>
      <c r="AJ108" s="13">
        <f>AI108*VLOOKUP('Données projet'!$B$10,Paramètres!$A$1:$I$89,3,0)*VLOOKUP('Données projet'!$B$10,Paramètres!$A$1:$I$89,5,0)</f>
        <v>336.64800000000014</v>
      </c>
      <c r="AK108" s="13">
        <f t="shared" si="89"/>
        <v>78.807003163010378</v>
      </c>
      <c r="AL108" s="20">
        <f t="shared" si="58"/>
        <v>723.58413050891011</v>
      </c>
      <c r="AM108" s="59">
        <f t="shared" si="59"/>
        <v>1016.9174638422435</v>
      </c>
      <c r="AN108" s="59">
        <f ca="1">AVERAGE(OFFSET($AM$3,0,0,'Données projet'!$E$10+1,1))-AVERAGE(OFFSET($H$3,0,0,'Données projet'!$E$10+1,1))</f>
        <v>356.320269084225</v>
      </c>
      <c r="AO108" s="59">
        <f t="shared" si="90"/>
        <v>208.88199836488002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54.724929261678454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54.724929261678454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2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94.255200000000158</v>
      </c>
      <c r="D109" s="11">
        <f t="shared" si="86"/>
        <v>25.588701314145272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925.11081716182434</v>
      </c>
      <c r="H109" s="67">
        <f t="shared" si="56"/>
        <v>502.06146145546995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2.4</v>
      </c>
      <c r="N109" s="13">
        <f>IF('Données projet'!$A$36&gt;35,N108+M109-V108,IF(A109&lt;'Données projet'!$A$36,$K$205^A109,IF(A109='Données projet'!$A$36,'Données projet'!$B$36,N108+M109-V108)))</f>
        <v>275.39999999999986</v>
      </c>
      <c r="O109" s="13">
        <f>N109*VLOOKUP('Données projet'!$B$9,Paramètres!$A$1:$I$89,3,0)*VLOOKUP('Données projet'!$B$9,Paramètres!$A$1:$I$89,5,0)</f>
        <v>249.18191999999988</v>
      </c>
      <c r="P109" s="13">
        <f t="shared" si="87"/>
        <v>60.410727929515545</v>
      </c>
      <c r="Q109" s="20">
        <f t="shared" si="107"/>
        <v>539.20719514390601</v>
      </c>
      <c r="R109" s="59">
        <f t="shared" si="55"/>
        <v>832.54052847723938</v>
      </c>
      <c r="S109" s="59">
        <f ca="1">AVERAGE(OFFSET($R$3,0,0,'Données projet'!$E$9+1,1))-AVERAGE(OFFSET($H$3,0,0,'Données projet'!$E$9+1,1))</f>
        <v>221.63427112734911</v>
      </c>
      <c r="T109" s="59">
        <f t="shared" si="88"/>
        <v>133.63266168802033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27.657228652563823</v>
      </c>
      <c r="AA109" s="21">
        <f>EXP(-LN(2)/25)*AA108+(1-EXP(-LN(2)/25))/(LN(2)/25)*Calculateur!V109*Calculateur!X109*VLOOKUP('Données projet'!$B$9,Paramètres!$A$1:$I$89,3,0)*0.475*44/12</f>
        <v>0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27.657228652563823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5.2</v>
      </c>
      <c r="AI109" s="13">
        <f>IF('Données projet'!$A$62&gt;35,AI108+AH109-AQ108,IF(A109&lt;'Données projet'!$A$62,$AF$205^A109,IF(A109='Données projet'!$A$62,'Données projet'!$B$62,AI108+AH109-AQ108)))</f>
        <v>337.2000000000001</v>
      </c>
      <c r="AJ109" s="13">
        <f>AI109*VLOOKUP('Données projet'!$B$10,Paramètres!$A$1:$I$89,3,0)*VLOOKUP('Données projet'!$B$10,Paramètres!$A$1:$I$89,5,0)</f>
        <v>341.9208000000001</v>
      </c>
      <c r="AK109" s="13">
        <f t="shared" si="89"/>
        <v>79.89666565413367</v>
      </c>
      <c r="AL109" s="20">
        <f t="shared" si="58"/>
        <v>734.66541934761642</v>
      </c>
      <c r="AM109" s="59">
        <f t="shared" si="59"/>
        <v>1027.9987526809498</v>
      </c>
      <c r="AN109" s="59">
        <f ca="1">AVERAGE(OFFSET($AM$3,0,0,'Données projet'!$E$10+1,1))-AVERAGE(OFFSET($H$3,0,0,'Données projet'!$E$10+1,1))</f>
        <v>356.320269084225</v>
      </c>
      <c r="AO109" s="59">
        <f t="shared" si="90"/>
        <v>208.88199836488002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53.651806777767895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53.651806777767895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2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95.144400000000161</v>
      </c>
      <c r="D110" s="11">
        <f t="shared" si="86"/>
        <v>25.801888159247749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933.62047000121208</v>
      </c>
      <c r="H110" s="67">
        <f t="shared" si="56"/>
        <v>503.98145187735673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2.4</v>
      </c>
      <c r="N110" s="13">
        <f>IF('Données projet'!$A$36&gt;35,N109+M110-V109,IF(A110&lt;'Données projet'!$A$36,$K$205^A110,IF(A110='Données projet'!$A$36,'Données projet'!$B$36,N109+M110-V109)))</f>
        <v>277.79999999999984</v>
      </c>
      <c r="O110" s="13">
        <f>N110*VLOOKUP('Données projet'!$B$9,Paramètres!$A$1:$I$89,3,0)*VLOOKUP('Données projet'!$B$9,Paramètres!$A$1:$I$89,5,0)</f>
        <v>251.35343999999986</v>
      </c>
      <c r="P110" s="13">
        <f t="shared" si="87"/>
        <v>60.875668525284958</v>
      </c>
      <c r="Q110" s="20">
        <f t="shared" si="107"/>
        <v>543.79903068153772</v>
      </c>
      <c r="R110" s="59">
        <f t="shared" si="55"/>
        <v>837.13236401487097</v>
      </c>
      <c r="S110" s="59">
        <f ca="1">AVERAGE(OFFSET($R$3,0,0,'Données projet'!$E$9+1,1))-AVERAGE(OFFSET($H$3,0,0,'Données projet'!$E$9+1,1))</f>
        <v>221.63427112734911</v>
      </c>
      <c r="T110" s="59">
        <f t="shared" si="88"/>
        <v>133.63266168802033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27.114887267930825</v>
      </c>
      <c r="AA110" s="21">
        <f>EXP(-LN(2)/25)*AA109+(1-EXP(-LN(2)/25))/(LN(2)/25)*Calculateur!V110*Calculateur!X110*VLOOKUP('Données projet'!$B$9,Paramètres!$A$1:$I$89,3,0)*0.475*44/12</f>
        <v>0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27.114887267930825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5.2</v>
      </c>
      <c r="AI110" s="13">
        <f>IF('Données projet'!$A$62&gt;35,AI109+AH110-AQ109,IF(A110&lt;'Données projet'!$A$62,$AF$205^A110,IF(A110='Données projet'!$A$62,'Données projet'!$B$62,AI109+AH110-AQ109)))</f>
        <v>342.40000000000009</v>
      </c>
      <c r="AJ110" s="13">
        <f>AI110*VLOOKUP('Données projet'!$B$10,Paramètres!$A$1:$I$89,3,0)*VLOOKUP('Données projet'!$B$10,Paramètres!$A$1:$I$89,5,0)</f>
        <v>347.19360000000012</v>
      </c>
      <c r="AK110" s="13">
        <f t="shared" si="89"/>
        <v>80.984373854243287</v>
      </c>
      <c r="AL110" s="20">
        <f t="shared" si="58"/>
        <v>745.74330446280726</v>
      </c>
      <c r="AM110" s="59">
        <f t="shared" si="59"/>
        <v>1039.0766377961406</v>
      </c>
      <c r="AN110" s="59">
        <f ca="1">AVERAGE(OFFSET($AM$3,0,0,'Données projet'!$E$10+1,1))-AVERAGE(OFFSET($H$3,0,0,'Données projet'!$E$10+1,1))</f>
        <v>356.320269084225</v>
      </c>
      <c r="AO110" s="59">
        <f t="shared" si="90"/>
        <v>208.88199836488002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52.599727571226737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52.599727571226737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2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96.033600000000163</v>
      </c>
      <c r="D111" s="11">
        <f t="shared" si="86"/>
        <v>26.014843211471252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942.12833356223564</v>
      </c>
      <c r="H111" s="67">
        <f t="shared" si="56"/>
        <v>505.90103859331265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2.4</v>
      </c>
      <c r="N111" s="13">
        <f>IF('Données projet'!$A$36&gt;35,N110+M111-V110,IF(A111&lt;'Données projet'!$A$36,$K$205^A111,IF(A111='Données projet'!$A$36,'Données projet'!$B$36,N110+M111-V110)))</f>
        <v>280.19999999999982</v>
      </c>
      <c r="O111" s="13">
        <f>N111*VLOOKUP('Données projet'!$B$9,Paramètres!$A$1:$I$89,3,0)*VLOOKUP('Données projet'!$B$9,Paramètres!$A$1:$I$89,5,0)</f>
        <v>253.52495999999982</v>
      </c>
      <c r="P111" s="13">
        <f t="shared" si="87"/>
        <v>61.34014179842216</v>
      </c>
      <c r="Q111" s="20">
        <f t="shared" si="107"/>
        <v>548.39005229891825</v>
      </c>
      <c r="R111" s="59">
        <f t="shared" si="55"/>
        <v>841.72338563225162</v>
      </c>
      <c r="S111" s="59">
        <f ca="1">AVERAGE(OFFSET($R$3,0,0,'Données projet'!$E$9+1,1))-AVERAGE(OFFSET($H$3,0,0,'Données projet'!$E$9+1,1))</f>
        <v>221.63427112734911</v>
      </c>
      <c r="T111" s="59">
        <f t="shared" si="88"/>
        <v>133.63266168802033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26.583180867054899</v>
      </c>
      <c r="AA111" s="21">
        <f>EXP(-LN(2)/25)*AA110+(1-EXP(-LN(2)/25))/(LN(2)/25)*Calculateur!V111*Calculateur!X111*VLOOKUP('Données projet'!$B$9,Paramètres!$A$1:$I$89,3,0)*0.475*44/12</f>
        <v>0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26.583180867054899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5.2</v>
      </c>
      <c r="AI111" s="13">
        <f>IF('Données projet'!$A$62&gt;35,AI110+AH111-AQ110,IF(A111&lt;'Données projet'!$A$62,$AF$205^A111,IF(A111='Données projet'!$A$62,'Données projet'!$B$62,AI110+AH111-AQ110)))</f>
        <v>347.60000000000008</v>
      </c>
      <c r="AJ111" s="13">
        <f>AI111*VLOOKUP('Données projet'!$B$10,Paramètres!$A$1:$I$89,3,0)*VLOOKUP('Données projet'!$B$10,Paramètres!$A$1:$I$89,5,0)</f>
        <v>352.46640000000008</v>
      </c>
      <c r="AK111" s="13">
        <f t="shared" si="89"/>
        <v>82.070160870997498</v>
      </c>
      <c r="AL111" s="20">
        <f t="shared" si="58"/>
        <v>756.81784351698741</v>
      </c>
      <c r="AM111" s="59">
        <f t="shared" si="59"/>
        <v>1050.1511768503208</v>
      </c>
      <c r="AN111" s="59">
        <f ca="1">AVERAGE(OFFSET($AM$3,0,0,'Données projet'!$E$10+1,1))-AVERAGE(OFFSET($H$3,0,0,'Données projet'!$E$10+1,1))</f>
        <v>356.320269084225</v>
      </c>
      <c r="AO111" s="59">
        <f t="shared" si="90"/>
        <v>208.88199836488002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51.568278996220897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51.568278996220897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2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96.922800000000166</v>
      </c>
      <c r="D112" s="11">
        <f t="shared" si="86"/>
        <v>26.227568865645399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950.6344263312991</v>
      </c>
      <c r="H112" s="67">
        <f t="shared" si="56"/>
        <v>507.82022577433264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2.4</v>
      </c>
      <c r="N112" s="13">
        <f>IF('Données projet'!$A$36&gt;35,N111+M112-V111,IF(A112&lt;'Données projet'!$A$36,$K$205^A112,IF(A112='Données projet'!$A$36,'Données projet'!$B$36,N111+M112-V111)))</f>
        <v>282.5999999999998</v>
      </c>
      <c r="O112" s="13">
        <f>N112*VLOOKUP('Données projet'!$B$9,Paramètres!$A$1:$I$89,3,0)*VLOOKUP('Données projet'!$B$9,Paramètres!$A$1:$I$89,5,0)</f>
        <v>255.69647999999981</v>
      </c>
      <c r="P112" s="13">
        <f t="shared" si="87"/>
        <v>61.80415221549498</v>
      </c>
      <c r="Q112" s="20">
        <f t="shared" si="107"/>
        <v>552.98026777532004</v>
      </c>
      <c r="R112" s="59">
        <f t="shared" si="55"/>
        <v>846.3136011086533</v>
      </c>
      <c r="S112" s="59">
        <f ca="1">AVERAGE(OFFSET($R$3,0,0,'Données projet'!$E$9+1,1))-AVERAGE(OFFSET($H$3,0,0,'Données projet'!$E$9+1,1))</f>
        <v>221.63427112734911</v>
      </c>
      <c r="T112" s="59">
        <f t="shared" si="88"/>
        <v>133.63266168802033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26.061900904391269</v>
      </c>
      <c r="AA112" s="21">
        <f>EXP(-LN(2)/25)*AA111+(1-EXP(-LN(2)/25))/(LN(2)/25)*Calculateur!V112*Calculateur!X112*VLOOKUP('Données projet'!$B$9,Paramètres!$A$1:$I$89,3,0)*0.475*44/12</f>
        <v>0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26.061900904391269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5.2</v>
      </c>
      <c r="AI112" s="13">
        <f>IF('Données projet'!$A$62&gt;35,AI111+AH112-AQ111,IF(A112&lt;'Données projet'!$A$62,$AF$205^A112,IF(A112='Données projet'!$A$62,'Données projet'!$B$62,AI111+AH112-AQ111)))</f>
        <v>352.80000000000007</v>
      </c>
      <c r="AJ112" s="13">
        <f>AI112*VLOOKUP('Données projet'!$B$10,Paramètres!$A$1:$I$89,3,0)*VLOOKUP('Données projet'!$B$10,Paramètres!$A$1:$I$89,5,0)</f>
        <v>357.7392000000001</v>
      </c>
      <c r="AK112" s="13">
        <f t="shared" si="89"/>
        <v>83.154058764636403</v>
      </c>
      <c r="AL112" s="20">
        <f t="shared" si="58"/>
        <v>767.88909234840855</v>
      </c>
      <c r="AM112" s="59">
        <f t="shared" si="59"/>
        <v>1061.2224256817419</v>
      </c>
      <c r="AN112" s="59">
        <f ca="1">AVERAGE(OFFSET($AM$3,0,0,'Données projet'!$E$10+1,1))-AVERAGE(OFFSET($H$3,0,0,'Données projet'!$E$10+1,1))</f>
        <v>356.320269084225</v>
      </c>
      <c r="AO112" s="59">
        <f t="shared" si="90"/>
        <v>208.88199836488002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50.557056498649416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50.557056498649416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2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97.812000000000168</v>
      </c>
      <c r="D113" s="11">
        <f t="shared" si="86"/>
        <v>26.440067470123306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959.1387664360409</v>
      </c>
      <c r="H113" s="67">
        <f t="shared" si="56"/>
        <v>509.73901751046503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>
        <f>VLOOKUP(A113,'Données projet'!$A$35:$I$55,2,0)</f>
        <v>285</v>
      </c>
      <c r="L113" s="12">
        <f>VLOOKUP(A113,'Données projet'!$A$35:$I$55,9,0)</f>
        <v>2.4</v>
      </c>
      <c r="M113" s="12">
        <f t="array" ref="M113">INDEX(L:L,MIN(IF(ISNUMBER(L113:L309),ROW(L113:L309),"")))</f>
        <v>2.4</v>
      </c>
      <c r="N113" s="13">
        <f>IF('Données projet'!$A$36&gt;35,N112+M113-V112,IF(A113&lt;'Données projet'!$A$36,$K$205^A113,IF(A113='Données projet'!$A$36,'Données projet'!$B$36,N112+M113-V112)))</f>
        <v>284.99999999999977</v>
      </c>
      <c r="O113" s="13">
        <f>N113*VLOOKUP('Données projet'!$B$9,Paramètres!$A$1:$I$89,3,0)*VLOOKUP('Données projet'!$B$9,Paramètres!$A$1:$I$89,5,0)</f>
        <v>257.86799999999982</v>
      </c>
      <c r="P113" s="13">
        <f t="shared" si="87"/>
        <v>62.267704162827471</v>
      </c>
      <c r="Q113" s="20">
        <f t="shared" si="107"/>
        <v>557.56968475025758</v>
      </c>
      <c r="R113" s="59">
        <f t="shared" si="55"/>
        <v>850.90301808359095</v>
      </c>
      <c r="S113" s="59">
        <f ca="1">AVERAGE(OFFSET($R$3,0,0,'Données projet'!$E$9+1,1))-AVERAGE(OFFSET($H$3,0,0,'Données projet'!$E$9+1,1))</f>
        <v>221.63427112734911</v>
      </c>
      <c r="T113" s="59">
        <f t="shared" si="88"/>
        <v>133.63266168802033</v>
      </c>
      <c r="U113" s="15">
        <f>IF(ISNA(VLOOKUP(A113,'Données projet'!$A$35:$I$55,3,0)),0,VLOOKUP(A113,'Données projet'!$A$35:$I$55,3,0))</f>
        <v>17</v>
      </c>
      <c r="V113" s="15">
        <f>IF(ISNA(VLOOKUP(A113,'Données projet'!$A$35:$I$55,4,0)),0,VLOOKUP(A113,'Données projet'!$A$35:$I$55,4,0))</f>
        <v>19</v>
      </c>
      <c r="W113" s="16">
        <f>IF(ISNA(VLOOKUP(A113,'Données projet'!$A$35:$I$55,5,0)),0%,VLOOKUP(A113,'Données projet'!$A$35:$I$55,5,0)*VLOOKUP('Données projet'!$B$9,Paramètres!$A$1:$I$89,7,0))</f>
        <v>0.34400000000000003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32.088343585533728</v>
      </c>
      <c r="AA113" s="21">
        <f>EXP(-LN(2)/25)*AA112+(1-EXP(-LN(2)/25))/(LN(2)/25)*Calculateur!V113*Calculateur!X113*VLOOKUP('Données projet'!$B$9,Paramètres!$A$1:$I$89,3,0)*0.475*44/12</f>
        <v>0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32.088343585533728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>
        <f>VLOOKUP(A113,'Données projet'!$A$61:$I$81,2,0)</f>
        <v>358</v>
      </c>
      <c r="AG113" s="12">
        <f>VLOOKUP(A113,'Données projet'!$A$61:$I$81,9,0)</f>
        <v>5.2</v>
      </c>
      <c r="AH113" s="12">
        <f t="array" ref="AH113">INDEX(AG:AG,MIN(IF(ISNUMBER(AG113:AG309),ROW(AG113:AG309),"")))</f>
        <v>5.2</v>
      </c>
      <c r="AI113" s="13">
        <f>IF('Données projet'!$A$62&gt;35,AI112+AH113-AQ112,IF(A113&lt;'Données projet'!$A$62,$AF$205^A113,IF(A113='Données projet'!$A$62,'Données projet'!$B$62,AI112+AH113-AQ112)))</f>
        <v>358.00000000000006</v>
      </c>
      <c r="AJ113" s="13">
        <f>AI113*VLOOKUP('Données projet'!$B$10,Paramètres!$A$1:$I$89,3,0)*VLOOKUP('Données projet'!$B$10,Paramètres!$A$1:$I$89,5,0)</f>
        <v>363.01200000000006</v>
      </c>
      <c r="AK113" s="13">
        <f t="shared" si="89"/>
        <v>84.236098596059009</v>
      </c>
      <c r="AL113" s="20">
        <f t="shared" si="58"/>
        <v>778.95710505480292</v>
      </c>
      <c r="AM113" s="59">
        <f t="shared" si="59"/>
        <v>1072.2904383881362</v>
      </c>
      <c r="AN113" s="59">
        <f ca="1">AVERAGE(OFFSET($AM$3,0,0,'Données projet'!$E$10+1,1))-AVERAGE(OFFSET($H$3,0,0,'Données projet'!$E$10+1,1))</f>
        <v>356.320269084225</v>
      </c>
      <c r="AO113" s="59">
        <f t="shared" si="90"/>
        <v>208.88199836488002</v>
      </c>
      <c r="AP113" s="15">
        <f>IF(ISNA(VLOOKUP(A113,'Données projet'!$A$61:$I$81,3,0)),0,VLOOKUP(A113,'Données projet'!$A$61:$I$81,3,0))</f>
        <v>19</v>
      </c>
      <c r="AQ113" s="15">
        <f>IF(ISNA(VLOOKUP(A113,'Données projet'!$A$61:$I$81,4,0)),0,VLOOKUP(A113,'Données projet'!$A$61:$I$81,4,0))</f>
        <v>51</v>
      </c>
      <c r="AR113" s="16">
        <f>IF(ISNA(VLOOKUP(A113,'Données projet'!$A$61:$I$81,5,0)),0%,VLOOKUP(A113,'Données projet'!$A$61:$I$81,5,0)*VLOOKUP('Données projet'!$B$10,Paramètres!$A$1:$I$89,7,0))</f>
        <v>0.34400000000000003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69.231557008735933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69.231557008735933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2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98.701200000000171</v>
      </c>
      <c r="D114" s="11">
        <f t="shared" si="86"/>
        <v>26.65234132809799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967.64137165549471</v>
      </c>
      <c r="H114" s="67">
        <f t="shared" si="56"/>
        <v>511.6574178131043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1.9</v>
      </c>
      <c r="N114" s="13">
        <f>IF('Données projet'!$A$36&gt;35,N113+M114-V113,IF(A114&lt;'Données projet'!$A$36,$K$205^A114,IF(A114='Données projet'!$A$36,'Données projet'!$B$36,N113+M114-V113)))</f>
        <v>267.89999999999975</v>
      </c>
      <c r="O114" s="13">
        <f>N114*VLOOKUP('Données projet'!$B$9,Paramètres!$A$1:$I$89,3,0)*VLOOKUP('Données projet'!$B$9,Paramètres!$A$1:$I$89,5,0)</f>
        <v>242.39591999999976</v>
      </c>
      <c r="P114" s="13">
        <f t="shared" si="87"/>
        <v>58.954725941114695</v>
      </c>
      <c r="Q114" s="20">
        <f t="shared" si="107"/>
        <v>524.85237501410768</v>
      </c>
      <c r="R114" s="59">
        <f t="shared" si="55"/>
        <v>818.18570834744105</v>
      </c>
      <c r="S114" s="59">
        <f ca="1">AVERAGE(OFFSET($R$3,0,0,'Données projet'!$E$9+1,1))-AVERAGE(OFFSET($H$3,0,0,'Données projet'!$E$9+1,1))</f>
        <v>221.63427112734911</v>
      </c>
      <c r="T114" s="59">
        <f t="shared" si="88"/>
        <v>133.63266168802033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31.459110739778428</v>
      </c>
      <c r="AA114" s="21">
        <f>EXP(-LN(2)/25)*AA113+(1-EXP(-LN(2)/25))/(LN(2)/25)*Calculateur!V114*Calculateur!X114*VLOOKUP('Données projet'!$B$9,Paramètres!$A$1:$I$89,3,0)*0.475*44/12</f>
        <v>0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31.459110739778428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4.5</v>
      </c>
      <c r="AI114" s="13">
        <f>IF('Données projet'!$A$62&gt;35,AI113+AH114-AQ113,IF(A114&lt;'Données projet'!$A$62,$AF$205^A114,IF(A114='Données projet'!$A$62,'Données projet'!$B$62,AI113+AH114-AQ113)))</f>
        <v>311.50000000000006</v>
      </c>
      <c r="AJ114" s="13">
        <f>AI114*VLOOKUP('Données projet'!$B$10,Paramètres!$A$1:$I$89,3,0)*VLOOKUP('Données projet'!$B$10,Paramètres!$A$1:$I$89,5,0)</f>
        <v>315.8610000000001</v>
      </c>
      <c r="AK114" s="13">
        <f t="shared" si="89"/>
        <v>74.491502782151485</v>
      </c>
      <c r="AL114" s="20">
        <f t="shared" si="58"/>
        <v>679.86394234558054</v>
      </c>
      <c r="AM114" s="59">
        <f t="shared" si="59"/>
        <v>973.19727567891391</v>
      </c>
      <c r="AN114" s="59">
        <f ca="1">AVERAGE(OFFSET($AM$3,0,0,'Données projet'!$E$10+1,1))-AVERAGE(OFFSET($H$3,0,0,'Données projet'!$E$10+1,1))</f>
        <v>356.320269084225</v>
      </c>
      <c r="AO114" s="59">
        <f t="shared" si="90"/>
        <v>208.88199836488002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67.873968402874823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67.873968402874823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2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99.590400000000173</v>
      </c>
      <c r="D115" s="11">
        <f t="shared" si="86"/>
        <v>26.864392698869374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976.14225942987014</v>
      </c>
      <c r="H115" s="67">
        <f t="shared" si="56"/>
        <v>513.57543061719775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1.9</v>
      </c>
      <c r="N115" s="13">
        <f>IF('Données projet'!$A$36&gt;35,N114+M115-V114,IF(A115&lt;'Données projet'!$A$36,$K$205^A115,IF(A115='Données projet'!$A$36,'Données projet'!$B$36,N114+M115-V114)))</f>
        <v>269.79999999999973</v>
      </c>
      <c r="O115" s="13">
        <f>N115*VLOOKUP('Données projet'!$B$9,Paramètres!$A$1:$I$89,3,0)*VLOOKUP('Données projet'!$B$9,Paramètres!$A$1:$I$89,5,0)</f>
        <v>244.11503999999977</v>
      </c>
      <c r="P115" s="13">
        <f t="shared" si="87"/>
        <v>59.324023461758955</v>
      </c>
      <c r="Q115" s="20">
        <f t="shared" si="107"/>
        <v>528.48970219589648</v>
      </c>
      <c r="R115" s="59">
        <f t="shared" si="55"/>
        <v>821.82303552922986</v>
      </c>
      <c r="S115" s="59">
        <f ca="1">AVERAGE(OFFSET($R$3,0,0,'Données projet'!$E$9+1,1))-AVERAGE(OFFSET($H$3,0,0,'Données projet'!$E$9+1,1))</f>
        <v>221.63427112734911</v>
      </c>
      <c r="T115" s="59">
        <f t="shared" si="88"/>
        <v>133.63266168802033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30.84221676633425</v>
      </c>
      <c r="AA115" s="21">
        <f>EXP(-LN(2)/25)*AA114+(1-EXP(-LN(2)/25))/(LN(2)/25)*Calculateur!V115*Calculateur!X115*VLOOKUP('Données projet'!$B$9,Paramètres!$A$1:$I$89,3,0)*0.475*44/12</f>
        <v>0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30.84221676633425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4.5</v>
      </c>
      <c r="AI115" s="13">
        <f>IF('Données projet'!$A$62&gt;35,AI114+AH115-AQ114,IF(A115&lt;'Données projet'!$A$62,$AF$205^A115,IF(A115='Données projet'!$A$62,'Données projet'!$B$62,AI114+AH115-AQ114)))</f>
        <v>316.00000000000006</v>
      </c>
      <c r="AJ115" s="13">
        <f>AI115*VLOOKUP('Données projet'!$B$10,Paramètres!$A$1:$I$89,3,0)*VLOOKUP('Données projet'!$B$10,Paramètres!$A$1:$I$89,5,0)</f>
        <v>320.42400000000009</v>
      </c>
      <c r="AK115" s="13">
        <f t="shared" si="89"/>
        <v>75.441568308852311</v>
      </c>
      <c r="AL115" s="20">
        <f t="shared" si="58"/>
        <v>689.46586480458461</v>
      </c>
      <c r="AM115" s="59">
        <f t="shared" si="59"/>
        <v>982.79919813791798</v>
      </c>
      <c r="AN115" s="59">
        <f ca="1">AVERAGE(OFFSET($AM$3,0,0,'Données projet'!$E$10+1,1))-AVERAGE(OFFSET($H$3,0,0,'Données projet'!$E$10+1,1))</f>
        <v>356.320269084225</v>
      </c>
      <c r="AO115" s="59">
        <f t="shared" si="90"/>
        <v>208.88199836488002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66.543001281527353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66.543001281527353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2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100.47960000000018</v>
      </c>
      <c r="D116" s="11">
        <f t="shared" si="86"/>
        <v>27.076223799065254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984.64144686997872</v>
      </c>
      <c r="H116" s="67">
        <f t="shared" si="56"/>
        <v>515.49305978337225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1.9</v>
      </c>
      <c r="N116" s="13">
        <f>IF('Données projet'!$A$36&gt;35,N115+M116-V115,IF(A116&lt;'Données projet'!$A$36,$K$205^A116,IF(A116='Données projet'!$A$36,'Données projet'!$B$36,N115+M116-V115)))</f>
        <v>271.6999999999997</v>
      </c>
      <c r="O116" s="13">
        <f>N116*VLOOKUP('Données projet'!$B$9,Paramètres!$A$1:$I$89,3,0)*VLOOKUP('Données projet'!$B$9,Paramètres!$A$1:$I$89,5,0)</f>
        <v>245.83415999999971</v>
      </c>
      <c r="P116" s="13">
        <f t="shared" si="87"/>
        <v>59.693018383856781</v>
      </c>
      <c r="Q116" s="20">
        <f t="shared" si="107"/>
        <v>532.12650235188346</v>
      </c>
      <c r="R116" s="59">
        <f t="shared" si="55"/>
        <v>825.45983568521683</v>
      </c>
      <c r="S116" s="59">
        <f ca="1">AVERAGE(OFFSET($R$3,0,0,'Données projet'!$E$9+1,1))-AVERAGE(OFFSET($H$3,0,0,'Données projet'!$E$9+1,1))</f>
        <v>221.63427112734911</v>
      </c>
      <c r="T116" s="59">
        <f t="shared" si="88"/>
        <v>133.63266168802033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30.237419707441141</v>
      </c>
      <c r="AA116" s="21">
        <f>EXP(-LN(2)/25)*AA115+(1-EXP(-LN(2)/25))/(LN(2)/25)*Calculateur!V116*Calculateur!X116*VLOOKUP('Données projet'!$B$9,Paramètres!$A$1:$I$89,3,0)*0.475*44/12</f>
        <v>0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30.237419707441141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4.5</v>
      </c>
      <c r="AI116" s="13">
        <f>IF('Données projet'!$A$62&gt;35,AI115+AH116-AQ115,IF(A116&lt;'Données projet'!$A$62,$AF$205^A116,IF(A116='Données projet'!$A$62,'Données projet'!$B$62,AI115+AH116-AQ115)))</f>
        <v>320.50000000000006</v>
      </c>
      <c r="AJ116" s="13">
        <f>AI116*VLOOKUP('Données projet'!$B$10,Paramètres!$A$1:$I$89,3,0)*VLOOKUP('Données projet'!$B$10,Paramètres!$A$1:$I$89,5,0)</f>
        <v>324.98700000000008</v>
      </c>
      <c r="AK116" s="13">
        <f t="shared" si="89"/>
        <v>76.390060259999458</v>
      </c>
      <c r="AL116" s="20">
        <f t="shared" si="58"/>
        <v>699.06504661949918</v>
      </c>
      <c r="AM116" s="59">
        <f t="shared" si="59"/>
        <v>992.39837995283256</v>
      </c>
      <c r="AN116" s="59">
        <f ca="1">AVERAGE(OFFSET($AM$3,0,0,'Données projet'!$E$10+1,1))-AVERAGE(OFFSET($H$3,0,0,'Données projet'!$E$10+1,1))</f>
        <v>356.320269084225</v>
      </c>
      <c r="AO116" s="59">
        <f t="shared" si="90"/>
        <v>208.88199836488002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65.238133613619723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65.238133613619723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2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101.36880000000018</v>
      </c>
      <c r="D117" s="11">
        <f t="shared" si="86"/>
        <v>27.287836803817498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993.13895076631172</v>
      </c>
      <c r="H117" s="67">
        <f t="shared" si="56"/>
        <v>517.41030909998244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1.9</v>
      </c>
      <c r="N117" s="13">
        <f>IF('Données projet'!$A$36&gt;35,N116+M117-V116,IF(A117&lt;'Données projet'!$A$36,$K$205^A117,IF(A117='Données projet'!$A$36,'Données projet'!$B$36,N116+M117-V116)))</f>
        <v>273.59999999999968</v>
      </c>
      <c r="O117" s="13">
        <f>N117*VLOOKUP('Données projet'!$B$9,Paramètres!$A$1:$I$89,3,0)*VLOOKUP('Données projet'!$B$9,Paramètres!$A$1:$I$89,5,0)</f>
        <v>247.55327999999972</v>
      </c>
      <c r="P117" s="13">
        <f t="shared" si="87"/>
        <v>60.061713068870198</v>
      </c>
      <c r="Q117" s="20">
        <f t="shared" si="107"/>
        <v>535.76277959494848</v>
      </c>
      <c r="R117" s="59">
        <f t="shared" si="55"/>
        <v>829.09611292828185</v>
      </c>
      <c r="S117" s="59">
        <f ca="1">AVERAGE(OFFSET($R$3,0,0,'Données projet'!$E$9+1,1))-AVERAGE(OFFSET($H$3,0,0,'Données projet'!$E$9+1,1))</f>
        <v>221.63427112734911</v>
      </c>
      <c r="T117" s="59">
        <f t="shared" si="88"/>
        <v>133.63266168802033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29.644482349983146</v>
      </c>
      <c r="AA117" s="21">
        <f>EXP(-LN(2)/25)*AA116+(1-EXP(-LN(2)/25))/(LN(2)/25)*Calculateur!V117*Calculateur!X117*VLOOKUP('Données projet'!$B$9,Paramètres!$A$1:$I$89,3,0)*0.475*44/12</f>
        <v>0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29.644482349983146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4.5</v>
      </c>
      <c r="AI117" s="13">
        <f>IF('Données projet'!$A$62&gt;35,AI116+AH117-AQ116,IF(A117&lt;'Données projet'!$A$62,$AF$205^A117,IF(A117='Données projet'!$A$62,'Données projet'!$B$62,AI116+AH117-AQ116)))</f>
        <v>325.00000000000006</v>
      </c>
      <c r="AJ117" s="13">
        <f>AI117*VLOOKUP('Données projet'!$B$10,Paramètres!$A$1:$I$89,3,0)*VLOOKUP('Données projet'!$B$10,Paramètres!$A$1:$I$89,5,0)</f>
        <v>329.55000000000013</v>
      </c>
      <c r="AK117" s="13">
        <f t="shared" si="89"/>
        <v>77.337003282690645</v>
      </c>
      <c r="AL117" s="20">
        <f t="shared" si="58"/>
        <v>708.661530717353</v>
      </c>
      <c r="AM117" s="59">
        <f t="shared" si="59"/>
        <v>1001.9948640506864</v>
      </c>
      <c r="AN117" s="59">
        <f ca="1">AVERAGE(OFFSET($AM$3,0,0,'Données projet'!$E$10+1,1))-AVERAGE(OFFSET($H$3,0,0,'Données projet'!$E$10+1,1))</f>
        <v>356.320269084225</v>
      </c>
      <c r="AO117" s="59">
        <f t="shared" si="90"/>
        <v>208.88199836488002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63.958853604789077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63.958853604789077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2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102.25800000000018</v>
      </c>
      <c r="D118" s="11">
        <f t="shared" si="86"/>
        <v>27.499233847895908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1001.6347875977945</v>
      </c>
      <c r="H118" s="67">
        <f t="shared" si="56"/>
        <v>519.32718228508566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1.9</v>
      </c>
      <c r="N118" s="13">
        <f>IF('Données projet'!$A$36&gt;35,N117+M118-V117,IF(A118&lt;'Données projet'!$A$36,$K$205^A118,IF(A118='Données projet'!$A$36,'Données projet'!$B$36,N117+M118-V117)))</f>
        <v>275.49999999999966</v>
      </c>
      <c r="O118" s="13">
        <f>N118*VLOOKUP('Données projet'!$B$9,Paramètres!$A$1:$I$89,3,0)*VLOOKUP('Données projet'!$B$9,Paramètres!$A$1:$I$89,5,0)</f>
        <v>249.27239999999969</v>
      </c>
      <c r="P118" s="13">
        <f t="shared" si="87"/>
        <v>60.430109843567656</v>
      </c>
      <c r="Q118" s="20">
        <f t="shared" si="107"/>
        <v>539.39853797754643</v>
      </c>
      <c r="R118" s="59">
        <f t="shared" si="55"/>
        <v>832.7318713108798</v>
      </c>
      <c r="S118" s="59">
        <f ca="1">AVERAGE(OFFSET($R$3,0,0,'Données projet'!$E$9+1,1))-AVERAGE(OFFSET($H$3,0,0,'Données projet'!$E$9+1,1))</f>
        <v>221.63427112734911</v>
      </c>
      <c r="T118" s="59">
        <f t="shared" si="88"/>
        <v>133.63266168802033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29.063172132448827</v>
      </c>
      <c r="AA118" s="21">
        <f>EXP(-LN(2)/25)*AA117+(1-EXP(-LN(2)/25))/(LN(2)/25)*Calculateur!V118*Calculateur!X118*VLOOKUP('Données projet'!$B$9,Paramètres!$A$1:$I$89,3,0)*0.475*44/12</f>
        <v>0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29.063172132448827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4.5</v>
      </c>
      <c r="AI118" s="13">
        <f>IF('Données projet'!$A$62&gt;35,AI117+AH118-AQ117,IF(A118&lt;'Données projet'!$A$62,$AF$205^A118,IF(A118='Données projet'!$A$62,'Données projet'!$B$62,AI117+AH118-AQ117)))</f>
        <v>329.50000000000006</v>
      </c>
      <c r="AJ118" s="13">
        <f>AI118*VLOOKUP('Données projet'!$B$10,Paramètres!$A$1:$I$89,3,0)*VLOOKUP('Données projet'!$B$10,Paramètres!$A$1:$I$89,5,0)</f>
        <v>334.11300000000006</v>
      </c>
      <c r="AK118" s="13">
        <f t="shared" si="89"/>
        <v>78.28242130227801</v>
      </c>
      <c r="AL118" s="20">
        <f t="shared" si="58"/>
        <v>718.25535876813422</v>
      </c>
      <c r="AM118" s="59">
        <f t="shared" si="59"/>
        <v>1011.5886921014676</v>
      </c>
      <c r="AN118" s="59">
        <f ca="1">AVERAGE(OFFSET($AM$3,0,0,'Données projet'!$E$10+1,1))-AVERAGE(OFFSET($H$3,0,0,'Données projet'!$E$10+1,1))</f>
        <v>356.320269084225</v>
      </c>
      <c r="AO118" s="59">
        <f t="shared" si="90"/>
        <v>208.88199836488002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62.704659496647842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62.704659496647842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2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103.14720000000018</v>
      </c>
      <c r="D119" s="11">
        <f t="shared" si="86"/>
        <v>27.710417026801501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1010.1289735402235</v>
      </c>
      <c r="H119" s="67">
        <f t="shared" si="56"/>
        <v>521.24368298834622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1.9</v>
      </c>
      <c r="N119" s="13">
        <f>IF('Données projet'!$A$36&gt;35,N118+M119-V118,IF(A119&lt;'Données projet'!$A$36,$K$205^A119,IF(A119='Données projet'!$A$36,'Données projet'!$B$36,N118+M119-V118)))</f>
        <v>277.39999999999964</v>
      </c>
      <c r="O119" s="13">
        <f>N119*VLOOKUP('Données projet'!$B$9,Paramètres!$A$1:$I$89,3,0)*VLOOKUP('Données projet'!$B$9,Paramètres!$A$1:$I$89,5,0)</f>
        <v>250.99151999999964</v>
      </c>
      <c r="P119" s="13">
        <f t="shared" si="87"/>
        <v>60.7982110007693</v>
      </c>
      <c r="Q119" s="20">
        <f t="shared" si="107"/>
        <v>543.03378149300579</v>
      </c>
      <c r="R119" s="59">
        <f t="shared" si="55"/>
        <v>836.36711482633905</v>
      </c>
      <c r="S119" s="59">
        <f ca="1">AVERAGE(OFFSET($R$3,0,0,'Données projet'!$E$9+1,1))-AVERAGE(OFFSET($H$3,0,0,'Données projet'!$E$9+1,1))</f>
        <v>221.63427112734911</v>
      </c>
      <c r="T119" s="59">
        <f t="shared" si="88"/>
        <v>133.63266168802033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28.493261053716132</v>
      </c>
      <c r="AA119" s="21">
        <f>EXP(-LN(2)/25)*AA118+(1-EXP(-LN(2)/25))/(LN(2)/25)*Calculateur!V119*Calculateur!X119*VLOOKUP('Données projet'!$B$9,Paramètres!$A$1:$I$89,3,0)*0.475*44/12</f>
        <v>0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28.493261053716132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4.5</v>
      </c>
      <c r="AI119" s="13">
        <f>IF('Données projet'!$A$62&gt;35,AI118+AH119-AQ118,IF(A119&lt;'Données projet'!$A$62,$AF$205^A119,IF(A119='Données projet'!$A$62,'Données projet'!$B$62,AI118+AH119-AQ118)))</f>
        <v>334.00000000000006</v>
      </c>
      <c r="AJ119" s="13">
        <f>AI119*VLOOKUP('Données projet'!$B$10,Paramètres!$A$1:$I$89,3,0)*VLOOKUP('Données projet'!$B$10,Paramètres!$A$1:$I$89,5,0)</f>
        <v>338.6760000000001</v>
      </c>
      <c r="AK119" s="13">
        <f t="shared" si="89"/>
        <v>79.226337553065719</v>
      </c>
      <c r="AL119" s="20">
        <f t="shared" si="58"/>
        <v>727.84657123825627</v>
      </c>
      <c r="AM119" s="59">
        <f t="shared" si="59"/>
        <v>1021.1799045715895</v>
      </c>
      <c r="AN119" s="59">
        <f ca="1">AVERAGE(OFFSET($AM$3,0,0,'Données projet'!$E$10+1,1))-AVERAGE(OFFSET($H$3,0,0,'Données projet'!$E$10+1,1))</f>
        <v>356.320269084225</v>
      </c>
      <c r="AO119" s="59">
        <f t="shared" si="90"/>
        <v>208.88199836488002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61.475059369984386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61.475059369984386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2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104.03640000000019</v>
      </c>
      <c r="D120" s="11">
        <f t="shared" si="86"/>
        <v>27.921388397821048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1018.6215244744094</v>
      </c>
      <c r="H120" s="67">
        <f t="shared" si="56"/>
        <v>523.15981479287188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1.9</v>
      </c>
      <c r="N120" s="13">
        <f>IF('Données projet'!$A$36&gt;35,N119+M120-V119,IF(A120&lt;'Données projet'!$A$36,$K$205^A120,IF(A120='Données projet'!$A$36,'Données projet'!$B$36,N119+M120-V119)))</f>
        <v>279.29999999999961</v>
      </c>
      <c r="O120" s="13">
        <f>N120*VLOOKUP('Données projet'!$B$9,Paramètres!$A$1:$I$89,3,0)*VLOOKUP('Données projet'!$B$9,Paramètres!$A$1:$I$89,5,0)</f>
        <v>252.71063999999964</v>
      </c>
      <c r="P120" s="13">
        <f t="shared" si="87"/>
        <v>61.166018800071058</v>
      </c>
      <c r="Q120" s="20">
        <f t="shared" si="107"/>
        <v>546.66851407678973</v>
      </c>
      <c r="R120" s="59">
        <f t="shared" si="55"/>
        <v>840.00184741012299</v>
      </c>
      <c r="S120" s="59">
        <f ca="1">AVERAGE(OFFSET($R$3,0,0,'Données projet'!$E$9+1,1))-AVERAGE(OFFSET($H$3,0,0,'Données projet'!$E$9+1,1))</f>
        <v>221.63427112734911</v>
      </c>
      <c r="T120" s="59">
        <f t="shared" si="88"/>
        <v>133.63266168802033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27.934525583625952</v>
      </c>
      <c r="AA120" s="21">
        <f>EXP(-LN(2)/25)*AA119+(1-EXP(-LN(2)/25))/(LN(2)/25)*Calculateur!V120*Calculateur!X120*VLOOKUP('Données projet'!$B$9,Paramètres!$A$1:$I$89,3,0)*0.475*44/12</f>
        <v>0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27.934525583625952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4.5</v>
      </c>
      <c r="AI120" s="13">
        <f>IF('Données projet'!$A$62&gt;35,AI119+AH120-AQ119,IF(A120&lt;'Données projet'!$A$62,$AF$205^A120,IF(A120='Données projet'!$A$62,'Données projet'!$B$62,AI119+AH120-AQ119)))</f>
        <v>338.50000000000006</v>
      </c>
      <c r="AJ120" s="13">
        <f>AI120*VLOOKUP('Données projet'!$B$10,Paramètres!$A$1:$I$89,3,0)*VLOOKUP('Données projet'!$B$10,Paramètres!$A$1:$I$89,5,0)</f>
        <v>343.23900000000009</v>
      </c>
      <c r="AK120" s="13">
        <f t="shared" si="89"/>
        <v>80.168774607305807</v>
      </c>
      <c r="AL120" s="20">
        <f t="shared" si="58"/>
        <v>737.43520744105774</v>
      </c>
      <c r="AM120" s="59">
        <f t="shared" si="59"/>
        <v>1030.7685407743911</v>
      </c>
      <c r="AN120" s="59">
        <f ca="1">AVERAGE(OFFSET($AM$3,0,0,'Données projet'!$E$10+1,1))-AVERAGE(OFFSET($H$3,0,0,'Données projet'!$E$10+1,1))</f>
        <v>356.320269084225</v>
      </c>
      <c r="AO120" s="59">
        <f t="shared" si="90"/>
        <v>208.88199836488002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60.269570951822779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60.269570951822779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2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104.92560000000019</v>
      </c>
      <c r="D121" s="11">
        <f t="shared" si="86"/>
        <v>28.132149981044396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1027.1124559940286</v>
      </c>
      <c r="H121" s="67">
        <f t="shared" si="56"/>
        <v>525.07558121698594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1.9</v>
      </c>
      <c r="N121" s="13">
        <f>IF('Données projet'!$A$36&gt;35,N120+M121-V120,IF(A121&lt;'Données projet'!$A$36,$K$205^A121,IF(A121='Données projet'!$A$36,'Données projet'!$B$36,N120+M121-V120)))</f>
        <v>281.19999999999959</v>
      </c>
      <c r="O121" s="13">
        <f>N121*VLOOKUP('Données projet'!$B$9,Paramètres!$A$1:$I$89,3,0)*VLOOKUP('Données projet'!$B$9,Paramètres!$A$1:$I$89,5,0)</f>
        <v>254.42975999999962</v>
      </c>
      <c r="P121" s="13">
        <f t="shared" si="87"/>
        <v>61.53353546854914</v>
      </c>
      <c r="Q121" s="20">
        <f t="shared" si="107"/>
        <v>550.3027396077224</v>
      </c>
      <c r="R121" s="59">
        <f t="shared" si="55"/>
        <v>843.63607294105577</v>
      </c>
      <c r="S121" s="59">
        <f ca="1">AVERAGE(OFFSET($R$3,0,0,'Données projet'!$E$9+1,1))-AVERAGE(OFFSET($H$3,0,0,'Données projet'!$E$9+1,1))</f>
        <v>221.63427112734911</v>
      </c>
      <c r="T121" s="59">
        <f t="shared" si="88"/>
        <v>133.63266168802033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27.386746575309253</v>
      </c>
      <c r="AA121" s="21">
        <f>EXP(-LN(2)/25)*AA120+(1-EXP(-LN(2)/25))/(LN(2)/25)*Calculateur!V121*Calculateur!X121*VLOOKUP('Données projet'!$B$9,Paramètres!$A$1:$I$89,3,0)*0.475*44/12</f>
        <v>0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27.386746575309253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4.5</v>
      </c>
      <c r="AI121" s="13">
        <f>IF('Données projet'!$A$62&gt;35,AI120+AH121-AQ120,IF(A121&lt;'Données projet'!$A$62,$AF$205^A121,IF(A121='Données projet'!$A$62,'Données projet'!$B$62,AI120+AH121-AQ120)))</f>
        <v>343.00000000000006</v>
      </c>
      <c r="AJ121" s="13">
        <f>AI121*VLOOKUP('Données projet'!$B$10,Paramètres!$A$1:$I$89,3,0)*VLOOKUP('Données projet'!$B$10,Paramètres!$A$1:$I$89,5,0)</f>
        <v>347.80200000000008</v>
      </c>
      <c r="AK121" s="13">
        <f t="shared" si="89"/>
        <v>81.109754402608573</v>
      </c>
      <c r="AL121" s="20">
        <f t="shared" si="58"/>
        <v>747.02130558454337</v>
      </c>
      <c r="AM121" s="59">
        <f t="shared" si="59"/>
        <v>1040.3546389178766</v>
      </c>
      <c r="AN121" s="59">
        <f ca="1">AVERAGE(OFFSET($AM$3,0,0,'Données projet'!$E$10+1,1))-AVERAGE(OFFSET($H$3,0,0,'Données projet'!$E$10+1,1))</f>
        <v>356.320269084225</v>
      </c>
      <c r="AO121" s="59">
        <f t="shared" si="90"/>
        <v>208.88199836488002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59.087721426265986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59.087721426265986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2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105.81480000000019</v>
      </c>
      <c r="D122" s="11">
        <f t="shared" si="86"/>
        <v>28.342703760346538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1035.6017834132028</v>
      </c>
      <c r="H122" s="67">
        <f t="shared" si="56"/>
        <v>526.9909857159372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1.9</v>
      </c>
      <c r="N122" s="13">
        <f>IF('Données projet'!$A$36&gt;35,N121+M122-V121,IF(A122&lt;'Données projet'!$A$36,$K$205^A122,IF(A122='Données projet'!$A$36,'Données projet'!$B$36,N121+M122-V121)))</f>
        <v>283.09999999999957</v>
      </c>
      <c r="O122" s="13">
        <f>N122*VLOOKUP('Données projet'!$B$9,Paramètres!$A$1:$I$89,3,0)*VLOOKUP('Données projet'!$B$9,Paramètres!$A$1:$I$89,5,0)</f>
        <v>256.14887999999962</v>
      </c>
      <c r="P122" s="13">
        <f t="shared" si="87"/>
        <v>61.900763201444285</v>
      </c>
      <c r="Q122" s="20">
        <f t="shared" si="107"/>
        <v>553.9364619091815</v>
      </c>
      <c r="R122" s="59">
        <f t="shared" si="55"/>
        <v>847.26979524251487</v>
      </c>
      <c r="S122" s="59">
        <f ca="1">AVERAGE(OFFSET($R$3,0,0,'Données projet'!$E$9+1,1))-AVERAGE(OFFSET($H$3,0,0,'Données projet'!$E$9+1,1))</f>
        <v>221.63427112734911</v>
      </c>
      <c r="T122" s="59">
        <f t="shared" si="88"/>
        <v>133.63266168802033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26.849709179233439</v>
      </c>
      <c r="AA122" s="21">
        <f>EXP(-LN(2)/25)*AA121+(1-EXP(-LN(2)/25))/(LN(2)/25)*Calculateur!V122*Calculateur!X122*VLOOKUP('Données projet'!$B$9,Paramètres!$A$1:$I$89,3,0)*0.475*44/12</f>
        <v>0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26.849709179233439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4.5</v>
      </c>
      <c r="AI122" s="13">
        <f>IF('Données projet'!$A$62&gt;35,AI121+AH122-AQ121,IF(A122&lt;'Données projet'!$A$62,$AF$205^A122,IF(A122='Données projet'!$A$62,'Données projet'!$B$62,AI121+AH122-AQ121)))</f>
        <v>347.50000000000006</v>
      </c>
      <c r="AJ122" s="13">
        <f>AI122*VLOOKUP('Données projet'!$B$10,Paramètres!$A$1:$I$89,3,0)*VLOOKUP('Données projet'!$B$10,Paramètres!$A$1:$I$89,5,0)</f>
        <v>352.36500000000012</v>
      </c>
      <c r="AK122" s="13">
        <f t="shared" si="89"/>
        <v>82.049298267873581</v>
      </c>
      <c r="AL122" s="20">
        <f t="shared" si="58"/>
        <v>756.60490281654677</v>
      </c>
      <c r="AM122" s="59">
        <f t="shared" si="59"/>
        <v>1049.9382361498801</v>
      </c>
      <c r="AN122" s="59">
        <f ca="1">AVERAGE(OFFSET($AM$3,0,0,'Données projet'!$E$10+1,1))-AVERAGE(OFFSET($H$3,0,0,'Données projet'!$E$10+1,1))</f>
        <v>356.320269084225</v>
      </c>
      <c r="AO122" s="59">
        <f t="shared" si="90"/>
        <v>208.88199836488002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57.929047249048331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57.929047249048331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2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106.70400000000019</v>
      </c>
      <c r="D123" s="11">
        <f t="shared" si="86"/>
        <v>28.553051684335379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1044.0895217738187</v>
      </c>
      <c r="H123" s="67">
        <f t="shared" si="56"/>
        <v>528.90603168355119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>
        <f>VLOOKUP(A123,'Données projet'!$A$35:$I$55,2,0)</f>
        <v>285</v>
      </c>
      <c r="L123" s="12">
        <f>VLOOKUP(A123,'Données projet'!$A$35:$I$55,9,0)</f>
        <v>1.9</v>
      </c>
      <c r="M123" s="12">
        <f t="array" ref="M123">INDEX(L:L,MIN(IF(ISNUMBER(L123:L319),ROW(L123:L319),"")))</f>
        <v>1.9</v>
      </c>
      <c r="N123" s="13">
        <f>IF('Données projet'!$A$36&gt;35,N122+M123-V122,IF(A123&lt;'Données projet'!$A$36,$K$205^A123,IF(A123='Données projet'!$A$36,'Données projet'!$B$36,N122+M123-V122)))</f>
        <v>284.99999999999955</v>
      </c>
      <c r="O123" s="13">
        <f>N123*VLOOKUP('Données projet'!$B$9,Paramètres!$A$1:$I$89,3,0)*VLOOKUP('Données projet'!$B$9,Paramètres!$A$1:$I$89,5,0)</f>
        <v>257.8679999999996</v>
      </c>
      <c r="P123" s="13">
        <f t="shared" si="87"/>
        <v>62.267704162827414</v>
      </c>
      <c r="Q123" s="20">
        <f t="shared" si="107"/>
        <v>557.5696847502569</v>
      </c>
      <c r="R123" s="59">
        <f t="shared" si="55"/>
        <v>850.90301808359027</v>
      </c>
      <c r="S123" s="59">
        <f ca="1">AVERAGE(OFFSET($R$3,0,0,'Données projet'!$E$9+1,1))-AVERAGE(OFFSET($H$3,0,0,'Données projet'!$E$9+1,1))</f>
        <v>221.63427112734911</v>
      </c>
      <c r="T123" s="59">
        <f t="shared" si="88"/>
        <v>133.63266168802033</v>
      </c>
      <c r="U123" s="15">
        <f>IF(ISNA(VLOOKUP(A123,'Données projet'!$A$35:$I$55,3,0)),0,VLOOKUP(A123,'Données projet'!$A$35:$I$55,3,0))</f>
        <v>18</v>
      </c>
      <c r="V123" s="15">
        <f>IF(ISNA(VLOOKUP(A123,'Données projet'!$A$35:$I$55,4,0)),0,VLOOKUP(A123,'Données projet'!$A$35:$I$55,4,0))</f>
        <v>285</v>
      </c>
      <c r="W123" s="16">
        <f>IF(ISNA(VLOOKUP(A123,'Données projet'!$A$35:$I$55,5,0)),0%,VLOOKUP(A123,'Données projet'!$A$35:$I$55,5,0)*VLOOKUP('Données projet'!$B$9,Paramètres!$A$1:$I$89,7,0))</f>
        <v>0.34400000000000003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124.38571268424876</v>
      </c>
      <c r="AA123" s="21">
        <f>EXP(-LN(2)/25)*AA122+(1-EXP(-LN(2)/25))/(LN(2)/25)*Calculateur!V123*Calculateur!X123*VLOOKUP('Données projet'!$B$9,Paramètres!$A$1:$I$89,3,0)*0.475*44/12</f>
        <v>0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124.38571268424876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>
        <f>VLOOKUP(A123,'Données projet'!$A$61:$I$81,2,0)</f>
        <v>352</v>
      </c>
      <c r="AG123" s="12">
        <f>VLOOKUP(A123,'Données projet'!$A$61:$I$81,9,0)</f>
        <v>4.5</v>
      </c>
      <c r="AH123" s="12">
        <f t="array" ref="AH123">INDEX(AG:AG,MIN(IF(ISNUMBER(AG123:AG319),ROW(AG123:AG319),"")))</f>
        <v>4.5</v>
      </c>
      <c r="AI123" s="13">
        <f>IF('Données projet'!$A$62&gt;35,AI122+AH123-AQ122,IF(A123&lt;'Données projet'!$A$62,$AF$205^A123,IF(A123='Données projet'!$A$62,'Données projet'!$B$62,AI122+AH123-AQ122)))</f>
        <v>352.00000000000006</v>
      </c>
      <c r="AJ123" s="13">
        <f>AI123*VLOOKUP('Données projet'!$B$10,Paramètres!$A$1:$I$89,3,0)*VLOOKUP('Données projet'!$B$10,Paramètres!$A$1:$I$89,5,0)</f>
        <v>356.92800000000005</v>
      </c>
      <c r="AK123" s="13">
        <f t="shared" si="89"/>
        <v>82.987426947838998</v>
      </c>
      <c r="AL123" s="20">
        <f t="shared" si="58"/>
        <v>766.18603526748632</v>
      </c>
      <c r="AM123" s="59">
        <f t="shared" si="59"/>
        <v>1059.5193686008197</v>
      </c>
      <c r="AN123" s="59">
        <f ca="1">AVERAGE(OFFSET($AM$3,0,0,'Données projet'!$E$10+1,1))-AVERAGE(OFFSET($H$3,0,0,'Données projet'!$E$10+1,1))</f>
        <v>356.320269084225</v>
      </c>
      <c r="AO123" s="59">
        <f t="shared" si="90"/>
        <v>208.88199836488002</v>
      </c>
      <c r="AP123" s="15">
        <f>IF(ISNA(VLOOKUP(A123,'Données projet'!$A$61:$I$81,3,0)),0,VLOOKUP(A123,'Données projet'!$A$61:$I$81,3,0))</f>
        <v>21</v>
      </c>
      <c r="AQ123" s="15">
        <f>IF(ISNA(VLOOKUP(A123,'Données projet'!$A$61:$I$81,4,0)),0,VLOOKUP(A123,'Données projet'!$A$61:$I$81,4,0))</f>
        <v>352</v>
      </c>
      <c r="AR123" s="16">
        <f>IF(ISNA(VLOOKUP(A123,'Données projet'!$A$61:$I$81,5,0)),0%,VLOOKUP(A123,'Données projet'!$A$61:$I$81,5,0)*VLOOKUP('Données projet'!$B$10,Paramètres!$A$1:$I$89,7,0))</f>
        <v>0.38700000000000001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209.49297330496202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209.49297330496202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2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107.59320000000019</v>
      </c>
      <c r="D124" s="11">
        <f t="shared" si="86"/>
        <v>28.763195667267546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1052.5756858525931</v>
      </c>
      <c r="H124" s="67">
        <f t="shared" si="56"/>
        <v>530.8207224538246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-4.5474735088646412E-13</v>
      </c>
      <c r="O124" s="13">
        <f>N124*VLOOKUP('Données projet'!$B$9,Paramètres!$A$1:$I$89,3,0)*VLOOKUP('Données projet'!$B$9,Paramètres!$A$1:$I$89,5,0)</f>
        <v>-4.1145540308207271E-13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221.63427112734911</v>
      </c>
      <c r="T124" s="59">
        <f t="shared" si="88"/>
        <v>133.63266168802033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121.94658472630405</v>
      </c>
      <c r="AA124" s="21">
        <f>EXP(-LN(2)/25)*AA123+(1-EXP(-LN(2)/25))/(LN(2)/25)*Calculateur!V124*Calculateur!X124*VLOOKUP('Données projet'!$B$9,Paramètres!$A$1:$I$89,3,0)*0.475*44/12</f>
        <v>0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121.94658472630405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5.6843418860808015E-14</v>
      </c>
      <c r="AJ124" s="13">
        <f>AI124*VLOOKUP('Données projet'!$B$10,Paramètres!$A$1:$I$89,3,0)*VLOOKUP('Données projet'!$B$10,Paramètres!$A$1:$I$89,5,0)</f>
        <v>5.7639226724859328E-14</v>
      </c>
      <c r="AK124" s="13">
        <f t="shared" si="89"/>
        <v>9.2325701996134334E-13</v>
      </c>
      <c r="AL124" s="20">
        <f t="shared" si="58"/>
        <v>1.708394296311803E-12</v>
      </c>
      <c r="AM124" s="59">
        <f t="shared" si="59"/>
        <v>293.33333333333502</v>
      </c>
      <c r="AN124" s="59">
        <f ca="1">AVERAGE(OFFSET($AM$3,0,0,'Données projet'!$E$10+1,1))-AVERAGE(OFFSET($H$3,0,0,'Données projet'!$E$10+1,1))</f>
        <v>356.320269084225</v>
      </c>
      <c r="AO124" s="59">
        <f t="shared" si="90"/>
        <v>208.88199836488002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205.38494387654839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205.38494387654839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2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108.4824000000002</v>
      </c>
      <c r="D125" s="11">
        <f t="shared" si="86"/>
        <v>28.973137589932421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1061.060290167901</v>
      </c>
      <c r="H125" s="67">
        <f t="shared" si="56"/>
        <v>532.73506130246597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-4.5474735088646412E-13</v>
      </c>
      <c r="O125" s="13">
        <f>N125*VLOOKUP('Données projet'!$B$9,Paramètres!$A$1:$I$89,3,0)*VLOOKUP('Données projet'!$B$9,Paramètres!$A$1:$I$89,5,0)</f>
        <v>-4.1145540308207271E-13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221.63427112734911</v>
      </c>
      <c r="T125" s="59">
        <f t="shared" si="88"/>
        <v>133.63266168802033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119.55528657989349</v>
      </c>
      <c r="AA125" s="21">
        <f>EXP(-LN(2)/25)*AA124+(1-EXP(-LN(2)/25))/(LN(2)/25)*Calculateur!V125*Calculateur!X125*VLOOKUP('Données projet'!$B$9,Paramètres!$A$1:$I$89,3,0)*0.475*44/12</f>
        <v>0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119.55528657989349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5.6843418860808015E-14</v>
      </c>
      <c r="AJ125" s="13">
        <f>AI125*VLOOKUP('Données projet'!$B$10,Paramètres!$A$1:$I$89,3,0)*VLOOKUP('Données projet'!$B$10,Paramètres!$A$1:$I$89,5,0)</f>
        <v>5.7639226724859328E-14</v>
      </c>
      <c r="AK125" s="13">
        <f t="shared" si="89"/>
        <v>9.2325701996134334E-13</v>
      </c>
      <c r="AL125" s="20">
        <f t="shared" si="58"/>
        <v>1.708394296311803E-12</v>
      </c>
      <c r="AM125" s="59">
        <f t="shared" si="59"/>
        <v>293.33333333333502</v>
      </c>
      <c r="AN125" s="59">
        <f ca="1">AVERAGE(OFFSET($AM$3,0,0,'Données projet'!$E$10+1,1))-AVERAGE(OFFSET($H$3,0,0,'Données projet'!$E$10+1,1))</f>
        <v>356.320269084225</v>
      </c>
      <c r="AO125" s="59">
        <f t="shared" si="90"/>
        <v>208.88199836488002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201.35747039957542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201.35747039957542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2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109.3716000000002</v>
      </c>
      <c r="D126" s="11">
        <f t="shared" si="86"/>
        <v>29.182879300506769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1069.5433489863697</v>
      </c>
      <c r="H126" s="67">
        <f t="shared" si="56"/>
        <v>534.64905144838292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-4.5474735088646412E-13</v>
      </c>
      <c r="O126" s="13">
        <f>N126*VLOOKUP('Données projet'!$B$9,Paramètres!$A$1:$I$89,3,0)*VLOOKUP('Données projet'!$B$9,Paramètres!$A$1:$I$89,5,0)</f>
        <v>-4.1145540308207271E-13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221.63427112734911</v>
      </c>
      <c r="T126" s="59">
        <f t="shared" si="88"/>
        <v>133.63266168802033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117.2108803315862</v>
      </c>
      <c r="AA126" s="21">
        <f>EXP(-LN(2)/25)*AA125+(1-EXP(-LN(2)/25))/(LN(2)/25)*Calculateur!V126*Calculateur!X126*VLOOKUP('Données projet'!$B$9,Paramètres!$A$1:$I$89,3,0)*0.475*44/12</f>
        <v>0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117.2108803315862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5.6843418860808015E-14</v>
      </c>
      <c r="AJ126" s="13">
        <f>AI126*VLOOKUP('Données projet'!$B$10,Paramètres!$A$1:$I$89,3,0)*VLOOKUP('Données projet'!$B$10,Paramètres!$A$1:$I$89,5,0)</f>
        <v>5.7639226724859328E-14</v>
      </c>
      <c r="AK126" s="13">
        <f t="shared" si="89"/>
        <v>9.2325701996134334E-13</v>
      </c>
      <c r="AL126" s="20">
        <f t="shared" si="58"/>
        <v>1.708394296311803E-12</v>
      </c>
      <c r="AM126" s="59">
        <f t="shared" si="59"/>
        <v>293.33333333333502</v>
      </c>
      <c r="AN126" s="59">
        <f ca="1">AVERAGE(OFFSET($AM$3,0,0,'Données projet'!$E$10+1,1))-AVERAGE(OFFSET($H$3,0,0,'Données projet'!$E$10+1,1))</f>
        <v>356.320269084225</v>
      </c>
      <c r="AO126" s="59">
        <f t="shared" si="90"/>
        <v>208.88199836488002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197.40897322096961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197.40897322096961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2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110.2608000000002</v>
      </c>
      <c r="D127" s="11">
        <f t="shared" si="86"/>
        <v>29.392422615380852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1078.0248763292573</v>
      </c>
      <c r="H127" s="67">
        <f t="shared" si="56"/>
        <v>536.56269605512193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-4.5474735088646412E-13</v>
      </c>
      <c r="O127" s="13">
        <f>N127*VLOOKUP('Données projet'!$B$9,Paramètres!$A$1:$I$89,3,0)*VLOOKUP('Données projet'!$B$9,Paramètres!$A$1:$I$89,5,0)</f>
        <v>-4.1145540308207271E-13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221.63427112734911</v>
      </c>
      <c r="T127" s="59">
        <f t="shared" si="88"/>
        <v>133.63266168802033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114.91244645986158</v>
      </c>
      <c r="AA127" s="21">
        <f>EXP(-LN(2)/25)*AA126+(1-EXP(-LN(2)/25))/(LN(2)/25)*Calculateur!V127*Calculateur!X127*VLOOKUP('Données projet'!$B$9,Paramètres!$A$1:$I$89,3,0)*0.475*44/12</f>
        <v>0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114.91244645986158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5.6843418860808015E-14</v>
      </c>
      <c r="AJ127" s="13">
        <f>AI127*VLOOKUP('Données projet'!$B$10,Paramètres!$A$1:$I$89,3,0)*VLOOKUP('Données projet'!$B$10,Paramètres!$A$1:$I$89,5,0)</f>
        <v>5.7639226724859328E-14</v>
      </c>
      <c r="AK127" s="13">
        <f t="shared" si="89"/>
        <v>9.2325701996134334E-13</v>
      </c>
      <c r="AL127" s="20">
        <f t="shared" si="58"/>
        <v>1.708394296311803E-12</v>
      </c>
      <c r="AM127" s="59">
        <f t="shared" si="59"/>
        <v>293.33333333333502</v>
      </c>
      <c r="AN127" s="59">
        <f ca="1">AVERAGE(OFFSET($AM$3,0,0,'Données projet'!$E$10+1,1))-AVERAGE(OFFSET($H$3,0,0,'Données projet'!$E$10+1,1))</f>
        <v>356.320269084225</v>
      </c>
      <c r="AO127" s="59">
        <f t="shared" si="90"/>
        <v>208.88199836488002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193.5379036636908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193.5379036636908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2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111.1500000000002</v>
      </c>
      <c r="D128" s="11">
        <f t="shared" si="86"/>
        <v>29.601769319956595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1086.5048859786139</v>
      </c>
      <c r="H128" s="67">
        <f t="shared" si="56"/>
        <v>538.47599823225801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-4.5474735088646412E-13</v>
      </c>
      <c r="O128" s="13">
        <f>N128*VLOOKUP('Données projet'!$B$9,Paramètres!$A$1:$I$89,3,0)*VLOOKUP('Données projet'!$B$9,Paramètres!$A$1:$I$89,5,0)</f>
        <v>-4.1145540308207271E-13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221.63427112734911</v>
      </c>
      <c r="T128" s="59">
        <f t="shared" si="88"/>
        <v>133.63266168802033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112.65908347445526</v>
      </c>
      <c r="AA128" s="21">
        <f>EXP(-LN(2)/25)*AA127+(1-EXP(-LN(2)/25))/(LN(2)/25)*Calculateur!V128*Calculateur!X128*VLOOKUP('Données projet'!$B$9,Paramètres!$A$1:$I$89,3,0)*0.475*44/12</f>
        <v>0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112.65908347445526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5.6843418860808015E-14</v>
      </c>
      <c r="AJ128" s="13">
        <f>AI128*VLOOKUP('Données projet'!$B$10,Paramètres!$A$1:$I$89,3,0)*VLOOKUP('Données projet'!$B$10,Paramètres!$A$1:$I$89,5,0)</f>
        <v>5.7639226724859328E-14</v>
      </c>
      <c r="AK128" s="13">
        <f t="shared" si="89"/>
        <v>9.2325701996134334E-13</v>
      </c>
      <c r="AL128" s="20">
        <f t="shared" si="58"/>
        <v>1.708394296311803E-12</v>
      </c>
      <c r="AM128" s="59">
        <f t="shared" si="59"/>
        <v>293.33333333333502</v>
      </c>
      <c r="AN128" s="59">
        <f ca="1">AVERAGE(OFFSET($AM$3,0,0,'Données projet'!$E$10+1,1))-AVERAGE(OFFSET($H$3,0,0,'Données projet'!$E$10+1,1))</f>
        <v>356.320269084225</v>
      </c>
      <c r="AO128" s="59">
        <f t="shared" si="90"/>
        <v>208.88199836488002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189.74274341931093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189.74274341931093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2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112.03920000000021</v>
      </c>
      <c r="D129" s="11">
        <f t="shared" si="86"/>
        <v>29.810921169420254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1094.9833914832457</v>
      </c>
      <c r="H129" s="67">
        <f t="shared" si="56"/>
        <v>540.38896103674051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-4.5474735088646412E-13</v>
      </c>
      <c r="O129" s="13">
        <f>N129*VLOOKUP('Données projet'!$B$9,Paramètres!$A$1:$I$89,3,0)*VLOOKUP('Données projet'!$B$9,Paramètres!$A$1:$I$89,5,0)</f>
        <v>-4.1145540308207271E-13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221.63427112734911</v>
      </c>
      <c r="T129" s="59">
        <f t="shared" si="88"/>
        <v>133.63266168802033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110.44990756277704</v>
      </c>
      <c r="AA129" s="21">
        <f>EXP(-LN(2)/25)*AA128+(1-EXP(-LN(2)/25))/(LN(2)/25)*Calculateur!V129*Calculateur!X129*VLOOKUP('Données projet'!$B$9,Paramètres!$A$1:$I$89,3,0)*0.475*44/12</f>
        <v>0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110.44990756277704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5.6843418860808015E-14</v>
      </c>
      <c r="AJ129" s="13">
        <f>AI129*VLOOKUP('Données projet'!$B$10,Paramètres!$A$1:$I$89,3,0)*VLOOKUP('Données projet'!$B$10,Paramètres!$A$1:$I$89,5,0)</f>
        <v>5.7639226724859328E-14</v>
      </c>
      <c r="AK129" s="13">
        <f t="shared" si="89"/>
        <v>9.2325701996134334E-13</v>
      </c>
      <c r="AL129" s="20">
        <f t="shared" si="58"/>
        <v>1.708394296311803E-12</v>
      </c>
      <c r="AM129" s="59">
        <f t="shared" si="59"/>
        <v>293.33333333333502</v>
      </c>
      <c r="AN129" s="59">
        <f ca="1">AVERAGE(OFFSET($AM$3,0,0,'Données projet'!$E$10+1,1))-AVERAGE(OFFSET($H$3,0,0,'Données projet'!$E$10+1,1))</f>
        <v>356.320269084225</v>
      </c>
      <c r="AO129" s="59">
        <f t="shared" si="90"/>
        <v>208.88199836488002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186.02200395250418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186.02200395250418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2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112.92840000000021</v>
      </c>
      <c r="D130" s="11">
        <f t="shared" si="86"/>
        <v>30.019879889489037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1103.4604061644784</v>
      </c>
      <c r="H130" s="67">
        <f t="shared" si="56"/>
        <v>542.30158747419375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-4.5474735088646412E-13</v>
      </c>
      <c r="O130" s="13">
        <f>N130*VLOOKUP('Données projet'!$B$9,Paramètres!$A$1:$I$89,3,0)*VLOOKUP('Données projet'!$B$9,Paramètres!$A$1:$I$89,5,0)</f>
        <v>-4.1145540308207271E-13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221.63427112734911</v>
      </c>
      <c r="T130" s="59">
        <f t="shared" si="88"/>
        <v>133.63266168802033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108.28405224326258</v>
      </c>
      <c r="AA130" s="21">
        <f>EXP(-LN(2)/25)*AA129+(1-EXP(-LN(2)/25))/(LN(2)/25)*Calculateur!V130*Calculateur!X130*VLOOKUP('Données projet'!$B$9,Paramètres!$A$1:$I$89,3,0)*0.475*44/12</f>
        <v>0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108.28405224326258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5.6843418860808015E-14</v>
      </c>
      <c r="AJ130" s="13">
        <f>AI130*VLOOKUP('Données projet'!$B$10,Paramètres!$A$1:$I$89,3,0)*VLOOKUP('Données projet'!$B$10,Paramètres!$A$1:$I$89,5,0)</f>
        <v>5.7639226724859328E-14</v>
      </c>
      <c r="AK130" s="13">
        <f t="shared" si="89"/>
        <v>9.2325701996134334E-13</v>
      </c>
      <c r="AL130" s="20">
        <f t="shared" si="58"/>
        <v>1.708394296311803E-12</v>
      </c>
      <c r="AM130" s="59">
        <f t="shared" si="59"/>
        <v>293.33333333333502</v>
      </c>
      <c r="AN130" s="59">
        <f ca="1">AVERAGE(OFFSET($AM$3,0,0,'Données projet'!$E$10+1,1))-AVERAGE(OFFSET($H$3,0,0,'Données projet'!$E$10+1,1))</f>
        <v>356.320269084225</v>
      </c>
      <c r="AO130" s="59">
        <f t="shared" si="90"/>
        <v>208.88199836488002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182.37422591721452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182.37422591721452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2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113.81760000000021</v>
      </c>
      <c r="D131" s="11">
        <f t="shared" si="86"/>
        <v>30.228647177134249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1111.9359431217397</v>
      </c>
      <c r="H131" s="67">
        <f t="shared" si="56"/>
        <v>544.21388050017583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-4.5474735088646412E-13</v>
      </c>
      <c r="O131" s="13">
        <f>N131*VLOOKUP('Données projet'!$B$9,Paramètres!$A$1:$I$89,3,0)*VLOOKUP('Données projet'!$B$9,Paramètres!$A$1:$I$89,5,0)</f>
        <v>-4.1145540308207271E-13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221.63427112734911</v>
      </c>
      <c r="T131" s="59">
        <f t="shared" si="88"/>
        <v>133.63266168802033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106.1606680255225</v>
      </c>
      <c r="AA131" s="21">
        <f>EXP(-LN(2)/25)*AA130+(1-EXP(-LN(2)/25))/(LN(2)/25)*Calculateur!V131*Calculateur!X131*VLOOKUP('Données projet'!$B$9,Paramètres!$A$1:$I$89,3,0)*0.475*44/12</f>
        <v>0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106.1606680255225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5.6843418860808015E-14</v>
      </c>
      <c r="AJ131" s="13">
        <f>AI131*VLOOKUP('Données projet'!$B$10,Paramètres!$A$1:$I$89,3,0)*VLOOKUP('Données projet'!$B$10,Paramètres!$A$1:$I$89,5,0)</f>
        <v>5.7639226724859328E-14</v>
      </c>
      <c r="AK131" s="13">
        <f t="shared" si="89"/>
        <v>9.2325701996134334E-13</v>
      </c>
      <c r="AL131" s="20">
        <f t="shared" si="58"/>
        <v>1.708394296311803E-12</v>
      </c>
      <c r="AM131" s="59">
        <f t="shared" si="59"/>
        <v>293.33333333333502</v>
      </c>
      <c r="AN131" s="59">
        <f ca="1">AVERAGE(OFFSET($AM$3,0,0,'Données projet'!$E$10+1,1))-AVERAGE(OFFSET($H$3,0,0,'Données projet'!$E$10+1,1))</f>
        <v>356.320269084225</v>
      </c>
      <c r="AO131" s="59">
        <f t="shared" si="90"/>
        <v>208.88199836488002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178.79797858427199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178.79797858427199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2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114.70680000000021</v>
      </c>
      <c r="D132" s="11">
        <f t="shared" si="86"/>
        <v>30.437224701280673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1120.4100152379581</v>
      </c>
      <c r="H132" s="67">
        <f t="shared" ref="H132:H195" si="110">(B132+E132+F132)*44/12+(C132+D132)*0.475*44/12</f>
        <v>546.12584302139749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-4.5474735088646412E-13</v>
      </c>
      <c r="O132" s="13">
        <f>N132*VLOOKUP('Données projet'!$B$9,Paramètres!$A$1:$I$89,3,0)*VLOOKUP('Données projet'!$B$9,Paramètres!$A$1:$I$89,5,0)</f>
        <v>-4.1145540308207271E-13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221.63427112734911</v>
      </c>
      <c r="T132" s="59">
        <f t="shared" si="88"/>
        <v>133.63266168802033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104.07892207715581</v>
      </c>
      <c r="AA132" s="21">
        <f>EXP(-LN(2)/25)*AA131+(1-EXP(-LN(2)/25))/(LN(2)/25)*Calculateur!V132*Calculateur!X132*VLOOKUP('Données projet'!$B$9,Paramètres!$A$1:$I$89,3,0)*0.475*44/12</f>
        <v>0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104.07892207715581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5.6843418860808015E-14</v>
      </c>
      <c r="AJ132" s="13">
        <f>AI132*VLOOKUP('Données projet'!$B$10,Paramètres!$A$1:$I$89,3,0)*VLOOKUP('Données projet'!$B$10,Paramètres!$A$1:$I$89,5,0)</f>
        <v>5.7639226724859328E-14</v>
      </c>
      <c r="AK132" s="13">
        <f t="shared" si="89"/>
        <v>9.2325701996134334E-13</v>
      </c>
      <c r="AL132" s="20">
        <f t="shared" ref="AL132:AL153" si="112">(AJ132+AK132)*0.475*44/12</f>
        <v>1.708394296311803E-12</v>
      </c>
      <c r="AM132" s="59">
        <f t="shared" ref="AM132:AM195" si="113">AL132+(AD132+AE132)*44/12</f>
        <v>293.33333333333502</v>
      </c>
      <c r="AN132" s="59">
        <f ca="1">AVERAGE(OFFSET($AM$3,0,0,'Données projet'!$E$10+1,1))-AVERAGE(OFFSET($H$3,0,0,'Données projet'!$E$10+1,1))</f>
        <v>356.320269084225</v>
      </c>
      <c r="AO132" s="59">
        <f t="shared" si="90"/>
        <v>208.88199836488002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175.29185928023296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175.29185928023296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2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115.59600000000022</v>
      </c>
      <c r="D133" s="11">
        <f t="shared" ref="D133:D196" si="140">IFERROR(EXP(-1.0587+0.8836*LN(C133)+0.284),0)</f>
        <v>30.645614103483904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1128.8826351847899</v>
      </c>
      <c r="H133" s="67">
        <f t="shared" si="110"/>
        <v>548.03747789690146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-4.5474735088646412E-13</v>
      </c>
      <c r="O133" s="13">
        <f>N133*VLOOKUP('Données projet'!$B$9,Paramètres!$A$1:$I$89,3,0)*VLOOKUP('Données projet'!$B$9,Paramètres!$A$1:$I$89,5,0)</f>
        <v>-4.1145540308207271E-13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221.63427112734911</v>
      </c>
      <c r="T133" s="59">
        <f t="shared" ref="T133:T196" si="142">$T$3</f>
        <v>133.63266168802033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102.03799789709694</v>
      </c>
      <c r="AA133" s="21">
        <f>EXP(-LN(2)/25)*AA132+(1-EXP(-LN(2)/25))/(LN(2)/25)*Calculateur!V133*Calculateur!X133*VLOOKUP('Données projet'!$B$9,Paramètres!$A$1:$I$89,3,0)*0.475*44/12</f>
        <v>0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102.03799789709694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5.6843418860808015E-14</v>
      </c>
      <c r="AJ133" s="13">
        <f>AI133*VLOOKUP('Données projet'!$B$10,Paramètres!$A$1:$I$89,3,0)*VLOOKUP('Données projet'!$B$10,Paramètres!$A$1:$I$89,5,0)</f>
        <v>5.7639226724859328E-14</v>
      </c>
      <c r="AK133" s="13">
        <f t="shared" ref="AK133:AK153" si="143">EXP(-1.0587+0.8836*LN(AJ133)+0.284)</f>
        <v>9.2325701996134334E-13</v>
      </c>
      <c r="AL133" s="20">
        <f t="shared" si="112"/>
        <v>1.708394296311803E-12</v>
      </c>
      <c r="AM133" s="59">
        <f t="shared" si="113"/>
        <v>293.33333333333502</v>
      </c>
      <c r="AN133" s="59">
        <f ca="1">AVERAGE(OFFSET($AM$3,0,0,'Données projet'!$E$10+1,1))-AVERAGE(OFFSET($H$3,0,0,'Données projet'!$E$10+1,1))</f>
        <v>356.320269084225</v>
      </c>
      <c r="AO133" s="59">
        <f t="shared" ref="AO133:AO196" si="144">$AO$3</f>
        <v>208.88199836488002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171.85449283722451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171.85449283722451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2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116.48520000000022</v>
      </c>
      <c r="D134" s="11">
        <f t="shared" si="140"/>
        <v>30.853816998586289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1137.3538154276855</v>
      </c>
      <c r="H134" s="67">
        <f t="shared" si="110"/>
        <v>549.94878793920475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-4.5474735088646412E-13</v>
      </c>
      <c r="O134" s="13">
        <f>N134*VLOOKUP('Données projet'!$B$9,Paramètres!$A$1:$I$89,3,0)*VLOOKUP('Données projet'!$B$9,Paramètres!$A$1:$I$89,5,0)</f>
        <v>-4.1145540308207271E-13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221.63427112734911</v>
      </c>
      <c r="T134" s="59">
        <f t="shared" si="142"/>
        <v>133.63266168802033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100.03709499536819</v>
      </c>
      <c r="AA134" s="21">
        <f>EXP(-LN(2)/25)*AA133+(1-EXP(-LN(2)/25))/(LN(2)/25)*Calculateur!V134*Calculateur!X134*VLOOKUP('Données projet'!$B$9,Paramètres!$A$1:$I$89,3,0)*0.475*44/12</f>
        <v>0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100.03709499536819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5.6843418860808015E-14</v>
      </c>
      <c r="AJ134" s="13">
        <f>AI134*VLOOKUP('Données projet'!$B$10,Paramètres!$A$1:$I$89,3,0)*VLOOKUP('Données projet'!$B$10,Paramètres!$A$1:$I$89,5,0)</f>
        <v>5.7639226724859328E-14</v>
      </c>
      <c r="AK134" s="13">
        <f t="shared" si="143"/>
        <v>9.2325701996134334E-13</v>
      </c>
      <c r="AL134" s="20">
        <f t="shared" si="112"/>
        <v>1.708394296311803E-12</v>
      </c>
      <c r="AM134" s="59">
        <f t="shared" si="113"/>
        <v>293.33333333333502</v>
      </c>
      <c r="AN134" s="59">
        <f ca="1">AVERAGE(OFFSET($AM$3,0,0,'Données projet'!$E$10+1,1))-AVERAGE(OFFSET($H$3,0,0,'Données projet'!$E$10+1,1))</f>
        <v>356.320269084225</v>
      </c>
      <c r="AO134" s="59">
        <f t="shared" si="144"/>
        <v>208.88199836488002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168.48453105357697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168.48453105357697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2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117.37440000000022</v>
      </c>
      <c r="D135" s="11">
        <f t="shared" si="140"/>
        <v>31.061834975351932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1145.8235682307889</v>
      </c>
      <c r="H135" s="67">
        <f t="shared" si="110"/>
        <v>551.85977591540495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-4.5474735088646412E-13</v>
      </c>
      <c r="O135" s="13">
        <f>N135*VLOOKUP('Données projet'!$B$9,Paramètres!$A$1:$I$89,3,0)*VLOOKUP('Données projet'!$B$9,Paramètres!$A$1:$I$89,5,0)</f>
        <v>-4.1145540308207271E-13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221.63427112734911</v>
      </c>
      <c r="T135" s="59">
        <f t="shared" si="142"/>
        <v>133.63266168802033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98.075428579112085</v>
      </c>
      <c r="AA135" s="21">
        <f>EXP(-LN(2)/25)*AA134+(1-EXP(-LN(2)/25))/(LN(2)/25)*Calculateur!V135*Calculateur!X135*VLOOKUP('Données projet'!$B$9,Paramètres!$A$1:$I$89,3,0)*0.475*44/12</f>
        <v>0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98.075428579112085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5.6843418860808015E-14</v>
      </c>
      <c r="AJ135" s="13">
        <f>AI135*VLOOKUP('Données projet'!$B$10,Paramètres!$A$1:$I$89,3,0)*VLOOKUP('Données projet'!$B$10,Paramètres!$A$1:$I$89,5,0)</f>
        <v>5.7639226724859328E-14</v>
      </c>
      <c r="AK135" s="13">
        <f t="shared" si="143"/>
        <v>9.2325701996134334E-13</v>
      </c>
      <c r="AL135" s="20">
        <f t="shared" si="112"/>
        <v>1.708394296311803E-12</v>
      </c>
      <c r="AM135" s="59">
        <f t="shared" si="113"/>
        <v>293.33333333333502</v>
      </c>
      <c r="AN135" s="59">
        <f ca="1">AVERAGE(OFFSET($AM$3,0,0,'Données projet'!$E$10+1,1))-AVERAGE(OFFSET($H$3,0,0,'Données projet'!$E$10+1,1))</f>
        <v>356.320269084225</v>
      </c>
      <c r="AO135" s="59">
        <f t="shared" si="144"/>
        <v>208.88199836488002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165.18065216503302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165.18065216503302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2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118.26360000000022</v>
      </c>
      <c r="D136" s="11">
        <f t="shared" si="140"/>
        <v>31.26966959708238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1154.2919056616904</v>
      </c>
      <c r="H136" s="67">
        <f t="shared" si="110"/>
        <v>553.77044454825227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-4.5474735088646412E-13</v>
      </c>
      <c r="O136" s="13">
        <f>N136*VLOOKUP('Données projet'!$B$9,Paramètres!$A$1:$I$89,3,0)*VLOOKUP('Données projet'!$B$9,Paramètres!$A$1:$I$89,5,0)</f>
        <v>-4.1145540308207271E-13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221.63427112734911</v>
      </c>
      <c r="T136" s="59">
        <f t="shared" si="142"/>
        <v>133.63266168802033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96.152229244780386</v>
      </c>
      <c r="AA136" s="21">
        <f>EXP(-LN(2)/25)*AA135+(1-EXP(-LN(2)/25))/(LN(2)/25)*Calculateur!V136*Calculateur!X136*VLOOKUP('Données projet'!$B$9,Paramètres!$A$1:$I$89,3,0)*0.475*44/12</f>
        <v>0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96.152229244780386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5.6843418860808015E-14</v>
      </c>
      <c r="AJ136" s="13">
        <f>AI136*VLOOKUP('Données projet'!$B$10,Paramètres!$A$1:$I$89,3,0)*VLOOKUP('Données projet'!$B$10,Paramètres!$A$1:$I$89,5,0)</f>
        <v>5.7639226724859328E-14</v>
      </c>
      <c r="AK136" s="13">
        <f t="shared" si="143"/>
        <v>9.2325701996134334E-13</v>
      </c>
      <c r="AL136" s="20">
        <f t="shared" si="112"/>
        <v>1.708394296311803E-12</v>
      </c>
      <c r="AM136" s="59">
        <f t="shared" si="113"/>
        <v>293.33333333333502</v>
      </c>
      <c r="AN136" s="59">
        <f ca="1">AVERAGE(OFFSET($AM$3,0,0,'Données projet'!$E$10+1,1))-AVERAGE(OFFSET($H$3,0,0,'Données projet'!$E$10+1,1))</f>
        <v>356.320269084225</v>
      </c>
      <c r="AO136" s="59">
        <f t="shared" si="144"/>
        <v>208.88199836488002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161.94156032632628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161.94156032632628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2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119.15280000000023</v>
      </c>
      <c r="D137" s="11">
        <f t="shared" si="140"/>
        <v>31.477322402212781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1162.7588395960302</v>
      </c>
      <c r="H137" s="67">
        <f t="shared" si="110"/>
        <v>555.68079651718767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-4.5474735088646412E-13</v>
      </c>
      <c r="O137" s="13">
        <f>N137*VLOOKUP('Données projet'!$B$9,Paramètres!$A$1:$I$89,3,0)*VLOOKUP('Données projet'!$B$9,Paramètres!$A$1:$I$89,5,0)</f>
        <v>-4.1145540308207271E-13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221.63427112734911</v>
      </c>
      <c r="T137" s="59">
        <f t="shared" si="142"/>
        <v>133.63266168802033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94.266742676359172</v>
      </c>
      <c r="AA137" s="21">
        <f>EXP(-LN(2)/25)*AA136+(1-EXP(-LN(2)/25))/(LN(2)/25)*Calculateur!V137*Calculateur!X137*VLOOKUP('Données projet'!$B$9,Paramètres!$A$1:$I$89,3,0)*0.475*44/12</f>
        <v>0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94.266742676359172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5.6843418860808015E-14</v>
      </c>
      <c r="AJ137" s="13">
        <f>AI137*VLOOKUP('Données projet'!$B$10,Paramètres!$A$1:$I$89,3,0)*VLOOKUP('Données projet'!$B$10,Paramètres!$A$1:$I$89,5,0)</f>
        <v>5.7639226724859328E-14</v>
      </c>
      <c r="AK137" s="13">
        <f t="shared" si="143"/>
        <v>9.2325701996134334E-13</v>
      </c>
      <c r="AL137" s="20">
        <f t="shared" si="112"/>
        <v>1.708394296311803E-12</v>
      </c>
      <c r="AM137" s="59">
        <f t="shared" si="113"/>
        <v>293.33333333333502</v>
      </c>
      <c r="AN137" s="59">
        <f ca="1">AVERAGE(OFFSET($AM$3,0,0,'Données projet'!$E$10+1,1))-AVERAGE(OFFSET($H$3,0,0,'Données projet'!$E$10+1,1))</f>
        <v>356.320269084225</v>
      </c>
      <c r="AO137" s="59">
        <f t="shared" si="144"/>
        <v>208.88199836488002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158.76598510292564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158.76598510292564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2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120.04200000000023</v>
      </c>
      <c r="D138" s="11">
        <f t="shared" si="140"/>
        <v>31.68479490489014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1171.2243817219608</v>
      </c>
      <c r="H138" s="67">
        <f t="shared" si="110"/>
        <v>557.59083445935073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-4.5474735088646412E-13</v>
      </c>
      <c r="O138" s="13">
        <f>N138*VLOOKUP('Données projet'!$B$9,Paramètres!$A$1:$I$89,3,0)*VLOOKUP('Données projet'!$B$9,Paramètres!$A$1:$I$89,5,0)</f>
        <v>-4.1145540308207271E-13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221.63427112734911</v>
      </c>
      <c r="T138" s="59">
        <f t="shared" si="142"/>
        <v>133.63266168802033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92.418229349511435</v>
      </c>
      <c r="AA138" s="21">
        <f>EXP(-LN(2)/25)*AA137+(1-EXP(-LN(2)/25))/(LN(2)/25)*Calculateur!V138*Calculateur!X138*VLOOKUP('Données projet'!$B$9,Paramètres!$A$1:$I$89,3,0)*0.475*44/12</f>
        <v>0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92.418229349511435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5.6843418860808015E-14</v>
      </c>
      <c r="AJ138" s="13">
        <f>AI138*VLOOKUP('Données projet'!$B$10,Paramètres!$A$1:$I$89,3,0)*VLOOKUP('Données projet'!$B$10,Paramètres!$A$1:$I$89,5,0)</f>
        <v>5.7639226724859328E-14</v>
      </c>
      <c r="AK138" s="13">
        <f t="shared" si="143"/>
        <v>9.2325701996134334E-13</v>
      </c>
      <c r="AL138" s="20">
        <f t="shared" si="112"/>
        <v>1.708394296311803E-12</v>
      </c>
      <c r="AM138" s="59">
        <f t="shared" si="113"/>
        <v>293.33333333333502</v>
      </c>
      <c r="AN138" s="59">
        <f ca="1">AVERAGE(OFFSET($AM$3,0,0,'Données projet'!$E$10+1,1))-AVERAGE(OFFSET($H$3,0,0,'Données projet'!$E$10+1,1))</f>
        <v>356.320269084225</v>
      </c>
      <c r="AO138" s="59">
        <f t="shared" si="144"/>
        <v>208.88199836488002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155.65268097274625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155.65268097274625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2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120.93120000000023</v>
      </c>
      <c r="D139" s="11">
        <f t="shared" si="140"/>
        <v>31.892088595533707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1179.6885435444726</v>
      </c>
      <c r="H139" s="67">
        <f t="shared" si="110"/>
        <v>559.50056097055494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-4.5474735088646412E-13</v>
      </c>
      <c r="O139" s="13">
        <f>N139*VLOOKUP('Données projet'!$B$9,Paramètres!$A$1:$I$89,3,0)*VLOOKUP('Données projet'!$B$9,Paramètres!$A$1:$I$89,5,0)</f>
        <v>-4.1145540308207271E-13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221.63427112734911</v>
      </c>
      <c r="T139" s="59">
        <f t="shared" si="142"/>
        <v>133.63266168802033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90.605964241521392</v>
      </c>
      <c r="AA139" s="21">
        <f>EXP(-LN(2)/25)*AA138+(1-EXP(-LN(2)/25))/(LN(2)/25)*Calculateur!V139*Calculateur!X139*VLOOKUP('Données projet'!$B$9,Paramètres!$A$1:$I$89,3,0)*0.475*44/12</f>
        <v>0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90.605964241521392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5.6843418860808015E-14</v>
      </c>
      <c r="AJ139" s="13">
        <f>AI139*VLOOKUP('Données projet'!$B$10,Paramètres!$A$1:$I$89,3,0)*VLOOKUP('Données projet'!$B$10,Paramètres!$A$1:$I$89,5,0)</f>
        <v>5.7639226724859328E-14</v>
      </c>
      <c r="AK139" s="13">
        <f t="shared" si="143"/>
        <v>9.2325701996134334E-13</v>
      </c>
      <c r="AL139" s="20">
        <f t="shared" si="112"/>
        <v>1.708394296311803E-12</v>
      </c>
      <c r="AM139" s="59">
        <f t="shared" si="113"/>
        <v>293.33333333333502</v>
      </c>
      <c r="AN139" s="59">
        <f ca="1">AVERAGE(OFFSET($AM$3,0,0,'Données projet'!$E$10+1,1))-AVERAGE(OFFSET($H$3,0,0,'Données projet'!$E$10+1,1))</f>
        <v>356.320269084225</v>
      </c>
      <c r="AO139" s="59">
        <f t="shared" si="144"/>
        <v>208.88199836488002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152.60042683763166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152.60042683763166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2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121.82040000000023</v>
      </c>
      <c r="D140" s="11">
        <f t="shared" si="140"/>
        <v>32.09920494137846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1188.1513363895899</v>
      </c>
      <c r="H140" s="67">
        <f t="shared" si="110"/>
        <v>561.40997860623452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-4.5474735088646412E-13</v>
      </c>
      <c r="O140" s="13">
        <f>N140*VLOOKUP('Données projet'!$B$9,Paramètres!$A$1:$I$89,3,0)*VLOOKUP('Données projet'!$B$9,Paramètres!$A$1:$I$89,5,0)</f>
        <v>-4.1145540308207271E-13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221.63427112734911</v>
      </c>
      <c r="T140" s="59">
        <f t="shared" si="142"/>
        <v>133.63266168802033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88.829236546926467</v>
      </c>
      <c r="AA140" s="21">
        <f>EXP(-LN(2)/25)*AA139+(1-EXP(-LN(2)/25))/(LN(2)/25)*Calculateur!V140*Calculateur!X140*VLOOKUP('Données projet'!$B$9,Paramètres!$A$1:$I$89,3,0)*0.475*44/12</f>
        <v>0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88.829236546926467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5.6843418860808015E-14</v>
      </c>
      <c r="AJ140" s="13">
        <f>AI140*VLOOKUP('Données projet'!$B$10,Paramètres!$A$1:$I$89,3,0)*VLOOKUP('Données projet'!$B$10,Paramètres!$A$1:$I$89,5,0)</f>
        <v>5.7639226724859328E-14</v>
      </c>
      <c r="AK140" s="13">
        <f t="shared" si="143"/>
        <v>9.2325701996134334E-13</v>
      </c>
      <c r="AL140" s="20">
        <f t="shared" si="112"/>
        <v>1.708394296311803E-12</v>
      </c>
      <c r="AM140" s="59">
        <f t="shared" si="113"/>
        <v>293.33333333333502</v>
      </c>
      <c r="AN140" s="59">
        <f ca="1">AVERAGE(OFFSET($AM$3,0,0,'Données projet'!$E$10+1,1))-AVERAGE(OFFSET($H$3,0,0,'Données projet'!$E$10+1,1))</f>
        <v>356.320269084225</v>
      </c>
      <c r="AO140" s="59">
        <f t="shared" si="144"/>
        <v>208.88199836488002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149.60802554441548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149.60802554441548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2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122.70960000000024</v>
      </c>
      <c r="D141" s="11">
        <f t="shared" si="140"/>
        <v>32.306145387002346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1196.6127714084412</v>
      </c>
      <c r="H141" s="67">
        <f t="shared" si="110"/>
        <v>563.31908988236285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-4.5474735088646412E-13</v>
      </c>
      <c r="O141" s="13">
        <f>N141*VLOOKUP('Données projet'!$B$9,Paramètres!$A$1:$I$89,3,0)*VLOOKUP('Données projet'!$B$9,Paramètres!$A$1:$I$89,5,0)</f>
        <v>-4.1145540308207271E-13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221.63427112734911</v>
      </c>
      <c r="T141" s="59">
        <f t="shared" si="142"/>
        <v>133.63266168802033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87.08734939872565</v>
      </c>
      <c r="AA141" s="21">
        <f>EXP(-LN(2)/25)*AA140+(1-EXP(-LN(2)/25))/(LN(2)/25)*Calculateur!V141*Calculateur!X141*VLOOKUP('Données projet'!$B$9,Paramètres!$A$1:$I$89,3,0)*0.475*44/12</f>
        <v>0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87.08734939872565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5.6843418860808015E-14</v>
      </c>
      <c r="AJ141" s="13">
        <f>AI141*VLOOKUP('Données projet'!$B$10,Paramètres!$A$1:$I$89,3,0)*VLOOKUP('Données projet'!$B$10,Paramètres!$A$1:$I$89,5,0)</f>
        <v>5.7639226724859328E-14</v>
      </c>
      <c r="AK141" s="13">
        <f t="shared" si="143"/>
        <v>9.2325701996134334E-13</v>
      </c>
      <c r="AL141" s="20">
        <f t="shared" si="112"/>
        <v>1.708394296311803E-12</v>
      </c>
      <c r="AM141" s="59">
        <f t="shared" si="113"/>
        <v>293.33333333333502</v>
      </c>
      <c r="AN141" s="59">
        <f ca="1">AVERAGE(OFFSET($AM$3,0,0,'Données projet'!$E$10+1,1))-AVERAGE(OFFSET($H$3,0,0,'Données projet'!$E$10+1,1))</f>
        <v>356.320269084225</v>
      </c>
      <c r="AO141" s="59">
        <f t="shared" si="144"/>
        <v>208.88199836488002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146.67430341537471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146.67430341537471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2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123.59880000000024</v>
      </c>
      <c r="D142" s="11">
        <f t="shared" si="140"/>
        <v>32.512911354837613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1205.0728595812045</v>
      </c>
      <c r="H142" s="67">
        <f t="shared" si="110"/>
        <v>565.22789727634256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-4.5474735088646412E-13</v>
      </c>
      <c r="O142" s="13">
        <f>N142*VLOOKUP('Données projet'!$B$9,Paramètres!$A$1:$I$89,3,0)*VLOOKUP('Données projet'!$B$9,Paramètres!$A$1:$I$89,5,0)</f>
        <v>-4.1145540308207271E-13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221.63427112734911</v>
      </c>
      <c r="T142" s="59">
        <f t="shared" si="142"/>
        <v>133.63266168802033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85.379619595054805</v>
      </c>
      <c r="AA142" s="21">
        <f>EXP(-LN(2)/25)*AA141+(1-EXP(-LN(2)/25))/(LN(2)/25)*Calculateur!V142*Calculateur!X142*VLOOKUP('Données projet'!$B$9,Paramètres!$A$1:$I$89,3,0)*0.475*44/12</f>
        <v>0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85.379619595054805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5.6843418860808015E-14</v>
      </c>
      <c r="AJ142" s="13">
        <f>AI142*VLOOKUP('Données projet'!$B$10,Paramètres!$A$1:$I$89,3,0)*VLOOKUP('Données projet'!$B$10,Paramètres!$A$1:$I$89,5,0)</f>
        <v>5.7639226724859328E-14</v>
      </c>
      <c r="AK142" s="13">
        <f t="shared" si="143"/>
        <v>9.2325701996134334E-13</v>
      </c>
      <c r="AL142" s="20">
        <f t="shared" si="112"/>
        <v>1.708394296311803E-12</v>
      </c>
      <c r="AM142" s="59">
        <f t="shared" si="113"/>
        <v>293.33333333333502</v>
      </c>
      <c r="AN142" s="59">
        <f ca="1">AVERAGE(OFFSET($AM$3,0,0,'Données projet'!$E$10+1,1))-AVERAGE(OFFSET($H$3,0,0,'Données projet'!$E$10+1,1))</f>
        <v>356.320269084225</v>
      </c>
      <c r="AO142" s="59">
        <f t="shared" si="144"/>
        <v>208.88199836488002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143.79810978789061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143.79810978789061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2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124.48800000000024</v>
      </c>
      <c r="D143" s="11">
        <f t="shared" si="140"/>
        <v>32.719504245667331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1213.5316117209427</v>
      </c>
      <c r="H143" s="67">
        <f t="shared" si="110"/>
        <v>567.13640322787103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-4.5474735088646412E-13</v>
      </c>
      <c r="O143" s="13">
        <f>N143*VLOOKUP('Données projet'!$B$9,Paramètres!$A$1:$I$89,3,0)*VLOOKUP('Données projet'!$B$9,Paramètres!$A$1:$I$89,5,0)</f>
        <v>-4.1145540308207271E-13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221.63427112734911</v>
      </c>
      <c r="T143" s="59">
        <f t="shared" si="142"/>
        <v>133.63266168802033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83.705377331221612</v>
      </c>
      <c r="AA143" s="21">
        <f>EXP(-LN(2)/25)*AA142+(1-EXP(-LN(2)/25))/(LN(2)/25)*Calculateur!V143*Calculateur!X143*VLOOKUP('Données projet'!$B$9,Paramètres!$A$1:$I$89,3,0)*0.475*44/12</f>
        <v>0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83.705377331221612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5.6843418860808015E-14</v>
      </c>
      <c r="AJ143" s="13">
        <f>AI143*VLOOKUP('Données projet'!$B$10,Paramètres!$A$1:$I$89,3,0)*VLOOKUP('Données projet'!$B$10,Paramètres!$A$1:$I$89,5,0)</f>
        <v>5.7639226724859328E-14</v>
      </c>
      <c r="AK143" s="13">
        <f t="shared" si="143"/>
        <v>9.2325701996134334E-13</v>
      </c>
      <c r="AL143" s="20">
        <f t="shared" si="112"/>
        <v>1.708394296311803E-12</v>
      </c>
      <c r="AM143" s="59">
        <f t="shared" si="113"/>
        <v>293.33333333333502</v>
      </c>
      <c r="AN143" s="59">
        <f ca="1">AVERAGE(OFFSET($AM$3,0,0,'Données projet'!$E$10+1,1))-AVERAGE(OFFSET($H$3,0,0,'Données projet'!$E$10+1,1))</f>
        <v>356.320269084225</v>
      </c>
      <c r="AO143" s="59">
        <f t="shared" si="144"/>
        <v>208.88199836488002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140.97831656313659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140.97831656313659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2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125.37720000000024</v>
      </c>
      <c r="D144" s="11">
        <f t="shared" si="140"/>
        <v>32.925925439106905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1221.9890384773182</v>
      </c>
      <c r="H144" s="67">
        <f t="shared" si="110"/>
        <v>569.04461013977823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-4.5474735088646412E-13</v>
      </c>
      <c r="O144" s="13">
        <f>N144*VLOOKUP('Données projet'!$B$9,Paramètres!$A$1:$I$89,3,0)*VLOOKUP('Données projet'!$B$9,Paramètres!$A$1:$I$89,5,0)</f>
        <v>-4.1145540308207271E-13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221.63427112734911</v>
      </c>
      <c r="T144" s="59">
        <f t="shared" si="142"/>
        <v>133.63266168802033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82.063965936995245</v>
      </c>
      <c r="AA144" s="21">
        <f>EXP(-LN(2)/25)*AA143+(1-EXP(-LN(2)/25))/(LN(2)/25)*Calculateur!V144*Calculateur!X144*VLOOKUP('Données projet'!$B$9,Paramètres!$A$1:$I$89,3,0)*0.475*44/12</f>
        <v>0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82.063965936995245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5.6843418860808015E-14</v>
      </c>
      <c r="AJ144" s="13">
        <f>AI144*VLOOKUP('Données projet'!$B$10,Paramètres!$A$1:$I$89,3,0)*VLOOKUP('Données projet'!$B$10,Paramètres!$A$1:$I$89,5,0)</f>
        <v>5.7639226724859328E-14</v>
      </c>
      <c r="AK144" s="13">
        <f t="shared" si="143"/>
        <v>9.2325701996134334E-13</v>
      </c>
      <c r="AL144" s="20">
        <f t="shared" si="112"/>
        <v>1.708394296311803E-12</v>
      </c>
      <c r="AM144" s="59">
        <f t="shared" si="113"/>
        <v>293.33333333333502</v>
      </c>
      <c r="AN144" s="59">
        <f ca="1">AVERAGE(OFFSET($AM$3,0,0,'Données projet'!$E$10+1,1))-AVERAGE(OFFSET($H$3,0,0,'Données projet'!$E$10+1,1))</f>
        <v>356.320269084225</v>
      </c>
      <c r="AO144" s="59">
        <f t="shared" si="144"/>
        <v>208.88199836488002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138.21381776361594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138.21381776361594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2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126.26640000000025</v>
      </c>
      <c r="D145" s="11">
        <f t="shared" si="140"/>
        <v>33.132176294071868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1230.4451503402058</v>
      </c>
      <c r="H145" s="67">
        <f t="shared" si="110"/>
        <v>570.95252037884222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-4.5474735088646412E-13</v>
      </c>
      <c r="O145" s="13">
        <f>N145*VLOOKUP('Données projet'!$B$9,Paramètres!$A$1:$I$89,3,0)*VLOOKUP('Données projet'!$B$9,Paramètres!$A$1:$I$89,5,0)</f>
        <v>-4.1145540308207271E-13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221.63427112734911</v>
      </c>
      <c r="T145" s="59">
        <f t="shared" si="142"/>
        <v>133.63266168802033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80.454741619047567</v>
      </c>
      <c r="AA145" s="21">
        <f>EXP(-LN(2)/25)*AA144+(1-EXP(-LN(2)/25))/(LN(2)/25)*Calculateur!V145*Calculateur!X145*VLOOKUP('Données projet'!$B$9,Paramètres!$A$1:$I$89,3,0)*0.475*44/12</f>
        <v>0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80.454741619047567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5.6843418860808015E-14</v>
      </c>
      <c r="AJ145" s="13">
        <f>AI145*VLOOKUP('Données projet'!$B$10,Paramètres!$A$1:$I$89,3,0)*VLOOKUP('Données projet'!$B$10,Paramètres!$A$1:$I$89,5,0)</f>
        <v>5.7639226724859328E-14</v>
      </c>
      <c r="AK145" s="13">
        <f t="shared" si="143"/>
        <v>9.2325701996134334E-13</v>
      </c>
      <c r="AL145" s="20">
        <f t="shared" si="112"/>
        <v>1.708394296311803E-12</v>
      </c>
      <c r="AM145" s="59">
        <f t="shared" si="113"/>
        <v>293.33333333333502</v>
      </c>
      <c r="AN145" s="59">
        <f ca="1">AVERAGE(OFFSET($AM$3,0,0,'Données projet'!$E$10+1,1))-AVERAGE(OFFSET($H$3,0,0,'Données projet'!$E$10+1,1))</f>
        <v>356.320269084225</v>
      </c>
      <c r="AO145" s="59">
        <f t="shared" si="144"/>
        <v>208.88199836488002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135.50352909937612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135.50352909937612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2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127.15560000000025</v>
      </c>
      <c r="D146" s="11">
        <f t="shared" si="140"/>
        <v>33.33825814923194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1238.8999576431959</v>
      </c>
      <c r="H146" s="67">
        <f t="shared" si="110"/>
        <v>572.8601362765794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-4.5474735088646412E-13</v>
      </c>
      <c r="O146" s="13">
        <f>N146*VLOOKUP('Données projet'!$B$9,Paramètres!$A$1:$I$89,3,0)*VLOOKUP('Données projet'!$B$9,Paramètres!$A$1:$I$89,5,0)</f>
        <v>-4.1145540308207271E-13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221.63427112734911</v>
      </c>
      <c r="T146" s="59">
        <f t="shared" si="142"/>
        <v>133.63266168802033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78.877073208444926</v>
      </c>
      <c r="AA146" s="21">
        <f>EXP(-LN(2)/25)*AA145+(1-EXP(-LN(2)/25))/(LN(2)/25)*Calculateur!V146*Calculateur!X146*VLOOKUP('Données projet'!$B$9,Paramètres!$A$1:$I$89,3,0)*0.475*44/12</f>
        <v>0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78.877073208444926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5.6843418860808015E-14</v>
      </c>
      <c r="AJ146" s="13">
        <f>AI146*VLOOKUP('Données projet'!$B$10,Paramètres!$A$1:$I$89,3,0)*VLOOKUP('Données projet'!$B$10,Paramètres!$A$1:$I$89,5,0)</f>
        <v>5.7639226724859328E-14</v>
      </c>
      <c r="AK146" s="13">
        <f t="shared" si="143"/>
        <v>9.2325701996134334E-13</v>
      </c>
      <c r="AL146" s="20">
        <f t="shared" si="112"/>
        <v>1.708394296311803E-12</v>
      </c>
      <c r="AM146" s="59">
        <f t="shared" si="113"/>
        <v>293.33333333333502</v>
      </c>
      <c r="AN146" s="59">
        <f ca="1">AVERAGE(OFFSET($AM$3,0,0,'Données projet'!$E$10+1,1))-AVERAGE(OFFSET($H$3,0,0,'Données projet'!$E$10+1,1))</f>
        <v>356.320269084225</v>
      </c>
      <c r="AO146" s="59">
        <f t="shared" si="144"/>
        <v>208.88199836488002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132.84638754272919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132.84638754272919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2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128.04480000000024</v>
      </c>
      <c r="D147" s="11">
        <f t="shared" si="140"/>
        <v>33.544172323452237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1247.3534705670015</v>
      </c>
      <c r="H147" s="67">
        <f t="shared" si="110"/>
        <v>574.76746013001298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-4.5474735088646412E-13</v>
      </c>
      <c r="O147" s="13">
        <f>N147*VLOOKUP('Données projet'!$B$9,Paramètres!$A$1:$I$89,3,0)*VLOOKUP('Données projet'!$B$9,Paramètres!$A$1:$I$89,5,0)</f>
        <v>-4.1145540308207271E-13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221.63427112734911</v>
      </c>
      <c r="T147" s="59">
        <f t="shared" si="142"/>
        <v>133.63266168802033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77.330341913091488</v>
      </c>
      <c r="AA147" s="21">
        <f>EXP(-LN(2)/25)*AA146+(1-EXP(-LN(2)/25))/(LN(2)/25)*Calculateur!V147*Calculateur!X147*VLOOKUP('Données projet'!$B$9,Paramètres!$A$1:$I$89,3,0)*0.475*44/12</f>
        <v>0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77.330341913091488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5.6843418860808015E-14</v>
      </c>
      <c r="AJ147" s="13">
        <f>AI147*VLOOKUP('Données projet'!$B$10,Paramètres!$A$1:$I$89,3,0)*VLOOKUP('Données projet'!$B$10,Paramètres!$A$1:$I$89,5,0)</f>
        <v>5.7639226724859328E-14</v>
      </c>
      <c r="AK147" s="13">
        <f t="shared" si="143"/>
        <v>9.2325701996134334E-13</v>
      </c>
      <c r="AL147" s="20">
        <f t="shared" si="112"/>
        <v>1.708394296311803E-12</v>
      </c>
      <c r="AM147" s="59">
        <f t="shared" si="113"/>
        <v>293.33333333333502</v>
      </c>
      <c r="AN147" s="59">
        <f ca="1">AVERAGE(OFFSET($AM$3,0,0,'Données projet'!$E$10+1,1))-AVERAGE(OFFSET($H$3,0,0,'Données projet'!$E$10+1,1))</f>
        <v>356.320269084225</v>
      </c>
      <c r="AO147" s="59">
        <f t="shared" si="144"/>
        <v>208.88199836488002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130.2413509113118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130.2413509113118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2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128.93400000000022</v>
      </c>
      <c r="D148" s="11">
        <f t="shared" si="140"/>
        <v>33.749920116221446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1255.8056991427636</v>
      </c>
      <c r="H148" s="67">
        <f t="shared" si="110"/>
        <v>576.6744942024194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-4.5474735088646412E-13</v>
      </c>
      <c r="O148" s="13">
        <f>N148*VLOOKUP('Données projet'!$B$9,Paramètres!$A$1:$I$89,3,0)*VLOOKUP('Données projet'!$B$9,Paramètres!$A$1:$I$89,5,0)</f>
        <v>-4.1145540308207271E-13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221.63427112734911</v>
      </c>
      <c r="T148" s="59">
        <f t="shared" si="142"/>
        <v>133.63266168802033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75.813941075026989</v>
      </c>
      <c r="AA148" s="21">
        <f>EXP(-LN(2)/25)*AA147+(1-EXP(-LN(2)/25))/(LN(2)/25)*Calculateur!V148*Calculateur!X148*VLOOKUP('Données projet'!$B$9,Paramètres!$A$1:$I$89,3,0)*0.475*44/12</f>
        <v>0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75.813941075026989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5.6843418860808015E-14</v>
      </c>
      <c r="AJ148" s="13">
        <f>AI148*VLOOKUP('Données projet'!$B$10,Paramètres!$A$1:$I$89,3,0)*VLOOKUP('Données projet'!$B$10,Paramètres!$A$1:$I$89,5,0)</f>
        <v>5.7639226724859328E-14</v>
      </c>
      <c r="AK148" s="13">
        <f t="shared" si="143"/>
        <v>9.2325701996134334E-13</v>
      </c>
      <c r="AL148" s="20">
        <f t="shared" si="112"/>
        <v>1.708394296311803E-12</v>
      </c>
      <c r="AM148" s="59">
        <f t="shared" si="113"/>
        <v>293.33333333333502</v>
      </c>
      <c r="AN148" s="59">
        <f ca="1">AVERAGE(OFFSET($AM$3,0,0,'Données projet'!$E$10+1,1))-AVERAGE(OFFSET($H$3,0,0,'Données projet'!$E$10+1,1))</f>
        <v>356.320269084225</v>
      </c>
      <c r="AO148" s="59">
        <f t="shared" si="144"/>
        <v>208.88199836488002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127.68739745932105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127.68739745932105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2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129.82320000000021</v>
      </c>
      <c r="D149" s="11">
        <f t="shared" si="140"/>
        <v>33.955502808068339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1264.256653255266</v>
      </c>
      <c r="H149" s="67">
        <f t="shared" si="110"/>
        <v>578.58124072405269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-4.5474735088646412E-13</v>
      </c>
      <c r="O149" s="13">
        <f>N149*VLOOKUP('Données projet'!$B$9,Paramètres!$A$1:$I$89,3,0)*VLOOKUP('Données projet'!$B$9,Paramètres!$A$1:$I$89,5,0)</f>
        <v>-4.1145540308207271E-13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221.63427112734911</v>
      </c>
      <c r="T149" s="59">
        <f t="shared" si="142"/>
        <v>133.63266168802033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74.327275932483758</v>
      </c>
      <c r="AA149" s="21">
        <f>EXP(-LN(2)/25)*AA148+(1-EXP(-LN(2)/25))/(LN(2)/25)*Calculateur!V149*Calculateur!X149*VLOOKUP('Données projet'!$B$9,Paramètres!$A$1:$I$89,3,0)*0.475*44/12</f>
        <v>0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74.327275932483758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5.6843418860808015E-14</v>
      </c>
      <c r="AJ149" s="13">
        <f>AI149*VLOOKUP('Données projet'!$B$10,Paramètres!$A$1:$I$89,3,0)*VLOOKUP('Données projet'!$B$10,Paramètres!$A$1:$I$89,5,0)</f>
        <v>5.7639226724859328E-14</v>
      </c>
      <c r="AK149" s="13">
        <f t="shared" si="143"/>
        <v>9.2325701996134334E-13</v>
      </c>
      <c r="AL149" s="20">
        <f t="shared" si="112"/>
        <v>1.708394296311803E-12</v>
      </c>
      <c r="AM149" s="59">
        <f t="shared" si="113"/>
        <v>293.33333333333502</v>
      </c>
      <c r="AN149" s="59">
        <f ca="1">AVERAGE(OFFSET($AM$3,0,0,'Données projet'!$E$10+1,1))-AVERAGE(OFFSET($H$3,0,0,'Données projet'!$E$10+1,1))</f>
        <v>356.320269084225</v>
      </c>
      <c r="AO149" s="59">
        <f t="shared" si="144"/>
        <v>208.88199836488002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125.18352547676604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125.18352547676604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2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130.7124000000002</v>
      </c>
      <c r="D150" s="11">
        <f t="shared" si="140"/>
        <v>34.160921660966174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1272.7063426460566</v>
      </c>
      <c r="H150" s="67">
        <f t="shared" si="110"/>
        <v>580.48770189284971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-4.5474735088646412E-13</v>
      </c>
      <c r="O150" s="13">
        <f>N150*VLOOKUP('Données projet'!$B$9,Paramètres!$A$1:$I$89,3,0)*VLOOKUP('Données projet'!$B$9,Paramètres!$A$1:$I$89,5,0)</f>
        <v>-4.1145540308207271E-13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221.63427112734911</v>
      </c>
      <c r="T150" s="59">
        <f t="shared" si="142"/>
        <v>133.63266168802033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72.869763386609591</v>
      </c>
      <c r="AA150" s="21">
        <f>EXP(-LN(2)/25)*AA149+(1-EXP(-LN(2)/25))/(LN(2)/25)*Calculateur!V150*Calculateur!X150*VLOOKUP('Données projet'!$B$9,Paramètres!$A$1:$I$89,3,0)*0.475*44/12</f>
        <v>0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72.869763386609591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5.6843418860808015E-14</v>
      </c>
      <c r="AJ150" s="13">
        <f>AI150*VLOOKUP('Données projet'!$B$10,Paramètres!$A$1:$I$89,3,0)*VLOOKUP('Données projet'!$B$10,Paramètres!$A$1:$I$89,5,0)</f>
        <v>5.7639226724859328E-14</v>
      </c>
      <c r="AK150" s="13">
        <f t="shared" si="143"/>
        <v>9.2325701996134334E-13</v>
      </c>
      <c r="AL150" s="20">
        <f t="shared" si="112"/>
        <v>1.708394296311803E-12</v>
      </c>
      <c r="AM150" s="59">
        <f t="shared" si="113"/>
        <v>293.33333333333502</v>
      </c>
      <c r="AN150" s="59">
        <f ca="1">AVERAGE(OFFSET($AM$3,0,0,'Données projet'!$E$10+1,1))-AVERAGE(OFFSET($H$3,0,0,'Données projet'!$E$10+1,1))</f>
        <v>356.320269084225</v>
      </c>
      <c r="AO150" s="59">
        <f t="shared" si="144"/>
        <v>208.88199836488002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122.72875289657782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122.72875289657782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2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131.60160000000019</v>
      </c>
      <c r="D151" s="11">
        <f t="shared" si="140"/>
        <v>34.366177918726152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1281.1547769164843</v>
      </c>
      <c r="H151" s="67">
        <f t="shared" si="110"/>
        <v>582.39387987511509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-4.5474735088646412E-13</v>
      </c>
      <c r="O151" s="13">
        <f>N151*VLOOKUP('Données projet'!$B$9,Paramètres!$A$1:$I$89,3,0)*VLOOKUP('Données projet'!$B$9,Paramètres!$A$1:$I$89,5,0)</f>
        <v>-4.1145540308207271E-13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221.63427112734911</v>
      </c>
      <c r="T151" s="59">
        <f t="shared" si="142"/>
        <v>133.63266168802033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71.440831772765151</v>
      </c>
      <c r="AA151" s="21">
        <f>EXP(-LN(2)/25)*AA150+(1-EXP(-LN(2)/25))/(LN(2)/25)*Calculateur!V151*Calculateur!X151*VLOOKUP('Données projet'!$B$9,Paramètres!$A$1:$I$89,3,0)*0.475*44/12</f>
        <v>0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71.440831772765151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5.6843418860808015E-14</v>
      </c>
      <c r="AJ151" s="13">
        <f>AI151*VLOOKUP('Données projet'!$B$10,Paramètres!$A$1:$I$89,3,0)*VLOOKUP('Données projet'!$B$10,Paramètres!$A$1:$I$89,5,0)</f>
        <v>5.7639226724859328E-14</v>
      </c>
      <c r="AK151" s="13">
        <f t="shared" si="143"/>
        <v>9.2325701996134334E-13</v>
      </c>
      <c r="AL151" s="20">
        <f t="shared" si="112"/>
        <v>1.708394296311803E-12</v>
      </c>
      <c r="AM151" s="59">
        <f t="shared" si="113"/>
        <v>293.33333333333502</v>
      </c>
      <c r="AN151" s="59">
        <f ca="1">AVERAGE(OFFSET($AM$3,0,0,'Données projet'!$E$10+1,1))-AVERAGE(OFFSET($H$3,0,0,'Données projet'!$E$10+1,1))</f>
        <v>356.320269084225</v>
      </c>
      <c r="AO151" s="59">
        <f t="shared" si="144"/>
        <v>208.88199836488002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120.32211690942367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120.32211690942367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2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132.49080000000018</v>
      </c>
      <c r="D152" s="11">
        <f t="shared" si="140"/>
        <v>34.571272807379401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1289.6019655306493</v>
      </c>
      <c r="H152" s="67">
        <f t="shared" si="110"/>
        <v>584.29977680618606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-4.5474735088646412E-13</v>
      </c>
      <c r="O152" s="13">
        <f>N152*VLOOKUP('Données projet'!$B$9,Paramètres!$A$1:$I$89,3,0)*VLOOKUP('Données projet'!$B$9,Paramètres!$A$1:$I$89,5,0)</f>
        <v>-4.1145540308207271E-13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221.63427112734911</v>
      </c>
      <c r="T152" s="59">
        <f t="shared" si="142"/>
        <v>133.63266168802033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70.039920636305979</v>
      </c>
      <c r="AA152" s="21">
        <f>EXP(-LN(2)/25)*AA151+(1-EXP(-LN(2)/25))/(LN(2)/25)*Calculateur!V152*Calculateur!X152*VLOOKUP('Données projet'!$B$9,Paramètres!$A$1:$I$89,3,0)*0.475*44/12</f>
        <v>0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70.039920636305979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5.6843418860808015E-14</v>
      </c>
      <c r="AJ152" s="13">
        <f>AI152*VLOOKUP('Données projet'!$B$10,Paramètres!$A$1:$I$89,3,0)*VLOOKUP('Données projet'!$B$10,Paramètres!$A$1:$I$89,5,0)</f>
        <v>5.7639226724859328E-14</v>
      </c>
      <c r="AK152" s="13">
        <f t="shared" si="143"/>
        <v>9.2325701996134334E-13</v>
      </c>
      <c r="AL152" s="20">
        <f t="shared" si="112"/>
        <v>1.708394296311803E-12</v>
      </c>
      <c r="AM152" s="59">
        <f t="shared" si="113"/>
        <v>293.33333333333502</v>
      </c>
      <c r="AN152" s="59">
        <f ca="1">AVERAGE(OFFSET($AM$3,0,0,'Données projet'!$E$10+1,1))-AVERAGE(OFFSET($H$3,0,0,'Données projet'!$E$10+1,1))</f>
        <v>356.320269084225</v>
      </c>
      <c r="AO152" s="59">
        <f t="shared" si="144"/>
        <v>208.88199836488002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117.9626735860746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117.9626735860746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2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133.38000000000017</v>
      </c>
      <c r="D153" s="11">
        <f t="shared" si="140"/>
        <v>34.776207535549027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1298.0479178182745</v>
      </c>
      <c r="H153" s="67">
        <f t="shared" si="110"/>
        <v>586.20539479108152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-4.5474735088646412E-13</v>
      </c>
      <c r="O153" s="13">
        <f>N153*VLOOKUP('Données projet'!$B$9,Paramètres!$A$1:$I$89,3,0)*VLOOKUP('Données projet'!$B$9,Paramètres!$A$1:$I$89,5,0)</f>
        <v>-4.1145540308207271E-13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221.63427112734911</v>
      </c>
      <c r="T153" s="59">
        <f t="shared" si="142"/>
        <v>133.63266168802033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68.666480512761339</v>
      </c>
      <c r="AA153" s="21">
        <f>EXP(-LN(2)/25)*AA152+(1-EXP(-LN(2)/25))/(LN(2)/25)*Calculateur!V153*Calculateur!X153*VLOOKUP('Données projet'!$B$9,Paramètres!$A$1:$I$89,3,0)*0.475*44/12</f>
        <v>0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68.666480512761339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5.6843418860808015E-14</v>
      </c>
      <c r="AJ153" s="13">
        <f>AI153*VLOOKUP('Données projet'!$B$10,Paramètres!$A$1:$I$89,3,0)*VLOOKUP('Données projet'!$B$10,Paramètres!$A$1:$I$89,5,0)</f>
        <v>5.7639226724859328E-14</v>
      </c>
      <c r="AK153" s="13">
        <f t="shared" si="143"/>
        <v>9.2325701996134334E-13</v>
      </c>
      <c r="AL153" s="20">
        <f t="shared" si="112"/>
        <v>1.708394296311803E-12</v>
      </c>
      <c r="AM153" s="59">
        <f t="shared" si="113"/>
        <v>293.33333333333502</v>
      </c>
      <c r="AN153" s="59">
        <f ca="1">AVERAGE(OFFSET($AM$3,0,0,'Données projet'!$E$10+1,1))-AVERAGE(OFFSET($H$3,0,0,'Données projet'!$E$10+1,1))</f>
        <v>356.320269084225</v>
      </c>
      <c r="AO153" s="59">
        <f t="shared" si="144"/>
        <v>208.88199836488002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115.64949750717808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115.64949750717808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2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134.26920000000015</v>
      </c>
      <c r="D154" s="11">
        <f t="shared" si="140"/>
        <v>34.980983294811438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1306.492642977493</v>
      </c>
      <c r="H154" s="67">
        <f t="shared" si="110"/>
        <v>588.11073590513013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-4.5474735088646412E-13</v>
      </c>
      <c r="O154" s="13">
        <f>N154*VLOOKUP('Données projet'!$B$9,Paramètres!$A$1:$I$89,3,0)*VLOOKUP('Données projet'!$B$9,Paramètres!$A$1:$I$89,5,0)</f>
        <v>-4.1145540308207271E-13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221.63427112734911</v>
      </c>
      <c r="T154" s="59">
        <f t="shared" si="142"/>
        <v>133.63266168802033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67.319972712323661</v>
      </c>
      <c r="AA154" s="21">
        <f>EXP(-LN(2)/25)*AA153+(1-EXP(-LN(2)/25))/(LN(2)/25)*Calculateur!V154*Calculateur!X154*VLOOKUP('Données projet'!$B$9,Paramètres!$A$1:$I$89,3,0)*0.475*44/12</f>
        <v>0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67.319972712323661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5.6843418860808015E-14</v>
      </c>
      <c r="AJ154" s="13">
        <f>AI154*VLOOKUP('Données projet'!$B$10,Paramètres!$A$1:$I$89,3,0)*VLOOKUP('Données projet'!$B$10,Paramètres!$A$1:$I$89,5,0)</f>
        <v>5.7639226724859328E-14</v>
      </c>
      <c r="AK154" s="13">
        <f t="shared" ref="AK154:AK203" si="164">EXP(-1.0587+0.8836*LN(AJ154)+0.284)</f>
        <v>9.2325701996134334E-13</v>
      </c>
      <c r="AL154" s="20">
        <f t="shared" ref="AL154:AL203" si="165">(AJ154+AK154)*0.475*44/12</f>
        <v>1.708394296311803E-12</v>
      </c>
      <c r="AM154" s="59">
        <f t="shared" si="113"/>
        <v>293.33333333333502</v>
      </c>
      <c r="AN154" s="59">
        <f ca="1">AVERAGE(OFFSET($AM$3,0,0,'Données projet'!$E$10+1,1))-AVERAGE(OFFSET($H$3,0,0,'Données projet'!$E$10+1,1))</f>
        <v>356.320269084225</v>
      </c>
      <c r="AO154" s="59">
        <f t="shared" si="144"/>
        <v>208.88199836488002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113.38168140029063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113.38168140029063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2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135.15840000000014</v>
      </c>
      <c r="D155" s="11">
        <f t="shared" si="140"/>
        <v>35.185601260048031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1314.9361500775651</v>
      </c>
      <c r="H155" s="67">
        <f t="shared" si="110"/>
        <v>590.0158021945839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-4.5474735088646412E-13</v>
      </c>
      <c r="O155" s="13">
        <f>N155*VLOOKUP('Données projet'!$B$9,Paramètres!$A$1:$I$89,3,0)*VLOOKUP('Données projet'!$B$9,Paramètres!$A$1:$I$89,5,0)</f>
        <v>-4.1145540308207271E-13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221.63427112734911</v>
      </c>
      <c r="T155" s="59">
        <f t="shared" si="142"/>
        <v>133.63266168802033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65.9998691085639</v>
      </c>
      <c r="AA155" s="21">
        <f>EXP(-LN(2)/25)*AA154+(1-EXP(-LN(2)/25))/(LN(2)/25)*Calculateur!V155*Calculateur!X155*VLOOKUP('Données projet'!$B$9,Paramètres!$A$1:$I$89,3,0)*0.475*44/12</f>
        <v>0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65.9998691085639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5.6843418860808015E-14</v>
      </c>
      <c r="AJ155" s="13">
        <f>AI155*VLOOKUP('Données projet'!$B$10,Paramètres!$A$1:$I$89,3,0)*VLOOKUP('Données projet'!$B$10,Paramètres!$A$1:$I$89,5,0)</f>
        <v>5.7639226724859328E-14</v>
      </c>
      <c r="AK155" s="13">
        <f t="shared" si="164"/>
        <v>9.2325701996134334E-13</v>
      </c>
      <c r="AL155" s="20">
        <f t="shared" si="165"/>
        <v>1.708394296311803E-12</v>
      </c>
      <c r="AM155" s="59">
        <f t="shared" si="113"/>
        <v>293.33333333333502</v>
      </c>
      <c r="AN155" s="59">
        <f ca="1">AVERAGE(OFFSET($AM$3,0,0,'Données projet'!$E$10+1,1))-AVERAGE(OFFSET($H$3,0,0,'Données projet'!$E$10+1,1))</f>
        <v>356.320269084225</v>
      </c>
      <c r="AO155" s="59">
        <f t="shared" si="144"/>
        <v>208.88199836488002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111.158335784028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111.158335784028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2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136.04760000000013</v>
      </c>
      <c r="D156" s="11">
        <f t="shared" si="140"/>
        <v>35.390062589787611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1323.3784480615195</v>
      </c>
      <c r="H156" s="67">
        <f t="shared" si="110"/>
        <v>591.92059567721367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-4.5474735088646412E-13</v>
      </c>
      <c r="O156" s="13">
        <f>N156*VLOOKUP('Données projet'!$B$9,Paramètres!$A$1:$I$89,3,0)*VLOOKUP('Données projet'!$B$9,Paramètres!$A$1:$I$89,5,0)</f>
        <v>-4.1145540308207271E-13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221.63427112734911</v>
      </c>
      <c r="T156" s="59">
        <f t="shared" si="142"/>
        <v>133.63266168802033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64.705651931290177</v>
      </c>
      <c r="AA156" s="21">
        <f>EXP(-LN(2)/25)*AA155+(1-EXP(-LN(2)/25))/(LN(2)/25)*Calculateur!V156*Calculateur!X156*VLOOKUP('Données projet'!$B$9,Paramètres!$A$1:$I$89,3,0)*0.475*44/12</f>
        <v>0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64.705651931290177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5.6843418860808015E-14</v>
      </c>
      <c r="AJ156" s="13">
        <f>AI156*VLOOKUP('Données projet'!$B$10,Paramètres!$A$1:$I$89,3,0)*VLOOKUP('Données projet'!$B$10,Paramètres!$A$1:$I$89,5,0)</f>
        <v>5.7639226724859328E-14</v>
      </c>
      <c r="AK156" s="13">
        <f t="shared" si="164"/>
        <v>9.2325701996134334E-13</v>
      </c>
      <c r="AL156" s="20">
        <f t="shared" si="165"/>
        <v>1.708394296311803E-12</v>
      </c>
      <c r="AM156" s="59">
        <f t="shared" si="113"/>
        <v>293.33333333333502</v>
      </c>
      <c r="AN156" s="59">
        <f ca="1">AVERAGE(OFFSET($AM$3,0,0,'Données projet'!$E$10+1,1))-AVERAGE(OFFSET($H$3,0,0,'Données projet'!$E$10+1,1))</f>
        <v>356.320269084225</v>
      </c>
      <c r="AO156" s="59">
        <f t="shared" si="144"/>
        <v>208.88199836488002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108.97858861919336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108.97858861919336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2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136.93680000000012</v>
      </c>
      <c r="D157" s="11">
        <f t="shared" si="140"/>
        <v>35.594368426539035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1331.8195457487234</v>
      </c>
      <c r="H157" s="67">
        <f t="shared" si="110"/>
        <v>593.82511834288903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-4.5474735088646412E-13</v>
      </c>
      <c r="O157" s="13">
        <f>N157*VLOOKUP('Données projet'!$B$9,Paramètres!$A$1:$I$89,3,0)*VLOOKUP('Données projet'!$B$9,Paramètres!$A$1:$I$89,5,0)</f>
        <v>-4.1145540308207271E-13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221.63427112734911</v>
      </c>
      <c r="T157" s="59">
        <f t="shared" si="142"/>
        <v>133.63266168802033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63.436813563468256</v>
      </c>
      <c r="AA157" s="21">
        <f>EXP(-LN(2)/25)*AA156+(1-EXP(-LN(2)/25))/(LN(2)/25)*Calculateur!V157*Calculateur!X157*VLOOKUP('Données projet'!$B$9,Paramètres!$A$1:$I$89,3,0)*0.475*44/12</f>
        <v>0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63.436813563468256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5.6843418860808015E-14</v>
      </c>
      <c r="AJ157" s="13">
        <f>AI157*VLOOKUP('Données projet'!$B$10,Paramètres!$A$1:$I$89,3,0)*VLOOKUP('Données projet'!$B$10,Paramètres!$A$1:$I$89,5,0)</f>
        <v>5.7639226724859328E-14</v>
      </c>
      <c r="AK157" s="13">
        <f t="shared" si="164"/>
        <v>9.2325701996134334E-13</v>
      </c>
      <c r="AL157" s="20">
        <f t="shared" si="165"/>
        <v>1.708394296311803E-12</v>
      </c>
      <c r="AM157" s="59">
        <f t="shared" si="113"/>
        <v>293.33333333333502</v>
      </c>
      <c r="AN157" s="59">
        <f ca="1">AVERAGE(OFFSET($AM$3,0,0,'Données projet'!$E$10+1,1))-AVERAGE(OFFSET($H$3,0,0,'Données projet'!$E$10+1,1))</f>
        <v>356.320269084225</v>
      </c>
      <c r="AO157" s="59">
        <f t="shared" si="144"/>
        <v>208.88199836488002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106.84158496674664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106.84158496674664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2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137.82600000000011</v>
      </c>
      <c r="D158" s="11">
        <f t="shared" si="140"/>
        <v>35.798519897115533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1340.2594518373839</v>
      </c>
      <c r="H158" s="67">
        <f t="shared" si="110"/>
        <v>595.72937215414299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-4.5474735088646412E-13</v>
      </c>
      <c r="O158" s="13">
        <f>N158*VLOOKUP('Données projet'!$B$9,Paramètres!$A$1:$I$89,3,0)*VLOOKUP('Données projet'!$B$9,Paramètres!$A$1:$I$89,5,0)</f>
        <v>-4.1145540308207271E-13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221.63427112734911</v>
      </c>
      <c r="T158" s="59">
        <f t="shared" si="142"/>
        <v>133.63266168802033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62.192856342124337</v>
      </c>
      <c r="AA158" s="21">
        <f>EXP(-LN(2)/25)*AA157+(1-EXP(-LN(2)/25))/(LN(2)/25)*Calculateur!V158*Calculateur!X158*VLOOKUP('Données projet'!$B$9,Paramètres!$A$1:$I$89,3,0)*0.475*44/12</f>
        <v>0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62.192856342124337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5.6843418860808015E-14</v>
      </c>
      <c r="AJ158" s="13">
        <f>AI158*VLOOKUP('Données projet'!$B$10,Paramètres!$A$1:$I$89,3,0)*VLOOKUP('Données projet'!$B$10,Paramètres!$A$1:$I$89,5,0)</f>
        <v>5.7639226724859328E-14</v>
      </c>
      <c r="AK158" s="13">
        <f t="shared" si="164"/>
        <v>9.2325701996134334E-13</v>
      </c>
      <c r="AL158" s="20">
        <f t="shared" si="165"/>
        <v>1.708394296311803E-12</v>
      </c>
      <c r="AM158" s="59">
        <f t="shared" si="113"/>
        <v>293.33333333333502</v>
      </c>
      <c r="AN158" s="59">
        <f ca="1">AVERAGE(OFFSET($AM$3,0,0,'Données projet'!$E$10+1,1))-AVERAGE(OFFSET($H$3,0,0,'Données projet'!$E$10+1,1))</f>
        <v>356.320269084225</v>
      </c>
      <c r="AO158" s="59">
        <f t="shared" si="144"/>
        <v>208.88199836488002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104.74648665248087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104.74648665248087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2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138.7152000000001</v>
      </c>
      <c r="D159" s="11">
        <f t="shared" si="140"/>
        <v>36.002518112950014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1348.6981749069832</v>
      </c>
      <c r="H159" s="67">
        <f t="shared" si="110"/>
        <v>597.63335904672135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-4.5474735088646412E-13</v>
      </c>
      <c r="O159" s="13">
        <f>N159*VLOOKUP('Données projet'!$B$9,Paramètres!$A$1:$I$89,3,0)*VLOOKUP('Données projet'!$B$9,Paramètres!$A$1:$I$89,5,0)</f>
        <v>-4.1145540308207271E-13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221.63427112734911</v>
      </c>
      <c r="T159" s="59">
        <f t="shared" si="142"/>
        <v>133.63266168802033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60.973292363151984</v>
      </c>
      <c r="AA159" s="21">
        <f>EXP(-LN(2)/25)*AA158+(1-EXP(-LN(2)/25))/(LN(2)/25)*Calculateur!V159*Calculateur!X159*VLOOKUP('Données projet'!$B$9,Paramètres!$A$1:$I$89,3,0)*0.475*44/12</f>
        <v>0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60.973292363151984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5.6843418860808015E-14</v>
      </c>
      <c r="AJ159" s="13">
        <f>AI159*VLOOKUP('Données projet'!$B$10,Paramètres!$A$1:$I$89,3,0)*VLOOKUP('Données projet'!$B$10,Paramètres!$A$1:$I$89,5,0)</f>
        <v>5.7639226724859328E-14</v>
      </c>
      <c r="AK159" s="13">
        <f t="shared" si="164"/>
        <v>9.2325701996134334E-13</v>
      </c>
      <c r="AL159" s="20">
        <f t="shared" si="165"/>
        <v>1.708394296311803E-12</v>
      </c>
      <c r="AM159" s="59">
        <f t="shared" si="113"/>
        <v>293.33333333333502</v>
      </c>
      <c r="AN159" s="59">
        <f ca="1">AVERAGE(OFFSET($AM$3,0,0,'Données projet'!$E$10+1,1))-AVERAGE(OFFSET($H$3,0,0,'Données projet'!$E$10+1,1))</f>
        <v>356.320269084225</v>
      </c>
      <c r="AO159" s="59">
        <f t="shared" si="144"/>
        <v>208.88199836488002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102.69247193827405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102.69247193827405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2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139.60440000000008</v>
      </c>
      <c r="D160" s="11">
        <f t="shared" si="140"/>
        <v>36.206364170402217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1357.1357234206496</v>
      </c>
      <c r="H160" s="67">
        <f t="shared" si="110"/>
        <v>599.53708093011733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-4.5474735088646412E-13</v>
      </c>
      <c r="O160" s="13">
        <f>N160*VLOOKUP('Données projet'!$B$9,Paramètres!$A$1:$I$89,3,0)*VLOOKUP('Données projet'!$B$9,Paramètres!$A$1:$I$89,5,0)</f>
        <v>-4.1145540308207271E-13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221.63427112734911</v>
      </c>
      <c r="T160" s="59">
        <f t="shared" si="142"/>
        <v>133.63266168802033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59.777643289946703</v>
      </c>
      <c r="AA160" s="21">
        <f>EXP(-LN(2)/25)*AA159+(1-EXP(-LN(2)/25))/(LN(2)/25)*Calculateur!V160*Calculateur!X160*VLOOKUP('Données projet'!$B$9,Paramètres!$A$1:$I$89,3,0)*0.475*44/12</f>
        <v>0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59.777643289946703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5.6843418860808015E-14</v>
      </c>
      <c r="AJ160" s="13">
        <f>AI160*VLOOKUP('Données projet'!$B$10,Paramètres!$A$1:$I$89,3,0)*VLOOKUP('Données projet'!$B$10,Paramètres!$A$1:$I$89,5,0)</f>
        <v>5.7639226724859328E-14</v>
      </c>
      <c r="AK160" s="13">
        <f t="shared" si="164"/>
        <v>9.2325701996134334E-13</v>
      </c>
      <c r="AL160" s="20">
        <f t="shared" si="165"/>
        <v>1.708394296311803E-12</v>
      </c>
      <c r="AM160" s="59">
        <f t="shared" si="113"/>
        <v>293.33333333333502</v>
      </c>
      <c r="AN160" s="59">
        <f ca="1">AVERAGE(OFFSET($AM$3,0,0,'Données projet'!$E$10+1,1))-AVERAGE(OFFSET($H$3,0,0,'Données projet'!$E$10+1,1))</f>
        <v>356.320269084225</v>
      </c>
      <c r="AO160" s="59">
        <f t="shared" si="144"/>
        <v>208.88199836488002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100.67873519978757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100.67873519978757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2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140.49360000000007</v>
      </c>
      <c r="D161" s="11">
        <f t="shared" si="140"/>
        <v>36.410059151057943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1365.5721057274657</v>
      </c>
      <c r="H161" s="67">
        <f t="shared" si="110"/>
        <v>601.44053968809271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-4.5474735088646412E-13</v>
      </c>
      <c r="O161" s="13">
        <f>N161*VLOOKUP('Données projet'!$B$9,Paramètres!$A$1:$I$89,3,0)*VLOOKUP('Données projet'!$B$9,Paramètres!$A$1:$I$89,5,0)</f>
        <v>-4.1145540308207271E-13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221.63427112734911</v>
      </c>
      <c r="T161" s="59">
        <f t="shared" si="142"/>
        <v>133.63266168802033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58.605440165793055</v>
      </c>
      <c r="AA161" s="21">
        <f>EXP(-LN(2)/25)*AA160+(1-EXP(-LN(2)/25))/(LN(2)/25)*Calculateur!V161*Calculateur!X161*VLOOKUP('Données projet'!$B$9,Paramètres!$A$1:$I$89,3,0)*0.475*44/12</f>
        <v>0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58.605440165793055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5.6843418860808015E-14</v>
      </c>
      <c r="AJ161" s="13">
        <f>AI161*VLOOKUP('Données projet'!$B$10,Paramètres!$A$1:$I$89,3,0)*VLOOKUP('Données projet'!$B$10,Paramètres!$A$1:$I$89,5,0)</f>
        <v>5.7639226724859328E-14</v>
      </c>
      <c r="AK161" s="13">
        <f t="shared" si="164"/>
        <v>9.2325701996134334E-13</v>
      </c>
      <c r="AL161" s="20">
        <f t="shared" si="165"/>
        <v>1.708394296311803E-12</v>
      </c>
      <c r="AM161" s="59">
        <f t="shared" si="113"/>
        <v>293.33333333333502</v>
      </c>
      <c r="AN161" s="59">
        <f ca="1">AVERAGE(OFFSET($AM$3,0,0,'Données projet'!$E$10+1,1))-AVERAGE(OFFSET($H$3,0,0,'Données projet'!$E$10+1,1))</f>
        <v>356.320269084225</v>
      </c>
      <c r="AO161" s="59">
        <f t="shared" si="144"/>
        <v>208.88199836488002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98.704486610484679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98.704486610484679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2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141.38280000000006</v>
      </c>
      <c r="D162" s="11">
        <f t="shared" si="140"/>
        <v>36.613604122020263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1374.0073300647182</v>
      </c>
      <c r="H162" s="67">
        <f t="shared" si="110"/>
        <v>603.34373717918538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-4.5474735088646412E-13</v>
      </c>
      <c r="O162" s="13">
        <f>N162*VLOOKUP('Données projet'!$B$9,Paramètres!$A$1:$I$89,3,0)*VLOOKUP('Données projet'!$B$9,Paramètres!$A$1:$I$89,5,0)</f>
        <v>-4.1145540308207271E-13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221.63427112734911</v>
      </c>
      <c r="T162" s="59">
        <f t="shared" si="142"/>
        <v>133.63266168802033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57.45622322993075</v>
      </c>
      <c r="AA162" s="21">
        <f>EXP(-LN(2)/25)*AA161+(1-EXP(-LN(2)/25))/(LN(2)/25)*Calculateur!V162*Calculateur!X162*VLOOKUP('Données projet'!$B$9,Paramètres!$A$1:$I$89,3,0)*0.475*44/12</f>
        <v>0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57.45622322993075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5.6843418860808015E-14</v>
      </c>
      <c r="AJ162" s="13">
        <f>AI162*VLOOKUP('Données projet'!$B$10,Paramètres!$A$1:$I$89,3,0)*VLOOKUP('Données projet'!$B$10,Paramètres!$A$1:$I$89,5,0)</f>
        <v>5.7639226724859328E-14</v>
      </c>
      <c r="AK162" s="13">
        <f t="shared" si="164"/>
        <v>9.2325701996134334E-13</v>
      </c>
      <c r="AL162" s="20">
        <f t="shared" si="165"/>
        <v>1.708394296311803E-12</v>
      </c>
      <c r="AM162" s="59">
        <f t="shared" si="113"/>
        <v>293.33333333333502</v>
      </c>
      <c r="AN162" s="59">
        <f ca="1">AVERAGE(OFFSET($AM$3,0,0,'Données projet'!$E$10+1,1))-AVERAGE(OFFSET($H$3,0,0,'Données projet'!$E$10+1,1))</f>
        <v>356.320269084225</v>
      </c>
      <c r="AO162" s="59">
        <f t="shared" si="144"/>
        <v>208.88199836488002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96.768951831845271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96.768951831845271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2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142.27200000000005</v>
      </c>
      <c r="D163" s="11">
        <f t="shared" si="140"/>
        <v>36.817000136193258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1382.4414045600888</v>
      </c>
      <c r="H163" s="67">
        <f t="shared" si="110"/>
        <v>605.24667523720336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-4.5474735088646412E-13</v>
      </c>
      <c r="O163" s="13">
        <f>N163*VLOOKUP('Données projet'!$B$9,Paramètres!$A$1:$I$89,3,0)*VLOOKUP('Données projet'!$B$9,Paramètres!$A$1:$I$89,5,0)</f>
        <v>-4.1145540308207271E-13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221.63427112734911</v>
      </c>
      <c r="T163" s="59">
        <f t="shared" si="142"/>
        <v>133.63266168802033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56.329541737227586</v>
      </c>
      <c r="AA163" s="21">
        <f>EXP(-LN(2)/25)*AA162+(1-EXP(-LN(2)/25))/(LN(2)/25)*Calculateur!V163*Calculateur!X163*VLOOKUP('Données projet'!$B$9,Paramètres!$A$1:$I$89,3,0)*0.475*44/12</f>
        <v>0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56.329541737227586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5.6843418860808015E-14</v>
      </c>
      <c r="AJ163" s="13">
        <f>AI163*VLOOKUP('Données projet'!$B$10,Paramètres!$A$1:$I$89,3,0)*VLOOKUP('Données projet'!$B$10,Paramètres!$A$1:$I$89,5,0)</f>
        <v>5.7639226724859328E-14</v>
      </c>
      <c r="AK163" s="13">
        <f t="shared" si="164"/>
        <v>9.2325701996134334E-13</v>
      </c>
      <c r="AL163" s="20">
        <f t="shared" si="165"/>
        <v>1.708394296311803E-12</v>
      </c>
      <c r="AM163" s="59">
        <f t="shared" si="113"/>
        <v>293.33333333333502</v>
      </c>
      <c r="AN163" s="59">
        <f ca="1">AVERAGE(OFFSET($AM$3,0,0,'Données projet'!$E$10+1,1))-AVERAGE(OFFSET($H$3,0,0,'Données projet'!$E$10+1,1))</f>
        <v>356.320269084225</v>
      </c>
      <c r="AO163" s="59">
        <f t="shared" si="144"/>
        <v>208.88199836488002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94.871371709655349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94.871371709655349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2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143.16120000000004</v>
      </c>
      <c r="D164" s="11">
        <f t="shared" si="140"/>
        <v>37.020248232558458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1390.8743372337849</v>
      </c>
      <c r="H164" s="67">
        <f t="shared" si="110"/>
        <v>607.14935567170596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-4.5474735088646412E-13</v>
      </c>
      <c r="O164" s="13">
        <f>N164*VLOOKUP('Données projet'!$B$9,Paramètres!$A$1:$I$89,3,0)*VLOOKUP('Données projet'!$B$9,Paramètres!$A$1:$I$89,5,0)</f>
        <v>-4.1145540308207271E-13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221.63427112734911</v>
      </c>
      <c r="T164" s="59">
        <f t="shared" si="142"/>
        <v>133.63266168802033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55.224953781388479</v>
      </c>
      <c r="AA164" s="21">
        <f>EXP(-LN(2)/25)*AA163+(1-EXP(-LN(2)/25))/(LN(2)/25)*Calculateur!V164*Calculateur!X164*VLOOKUP('Données projet'!$B$9,Paramètres!$A$1:$I$89,3,0)*0.475*44/12</f>
        <v>0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55.224953781388479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5.6843418860808015E-14</v>
      </c>
      <c r="AJ164" s="13">
        <f>AI164*VLOOKUP('Données projet'!$B$10,Paramètres!$A$1:$I$89,3,0)*VLOOKUP('Données projet'!$B$10,Paramètres!$A$1:$I$89,5,0)</f>
        <v>5.7639226724859328E-14</v>
      </c>
      <c r="AK164" s="13">
        <f t="shared" si="164"/>
        <v>9.2325701996134334E-13</v>
      </c>
      <c r="AL164" s="20">
        <f t="shared" si="165"/>
        <v>1.708394296311803E-12</v>
      </c>
      <c r="AM164" s="59">
        <f t="shared" si="113"/>
        <v>293.33333333333502</v>
      </c>
      <c r="AN164" s="59">
        <f ca="1">AVERAGE(OFFSET($AM$3,0,0,'Données projet'!$E$10+1,1))-AVERAGE(OFFSET($H$3,0,0,'Données projet'!$E$10+1,1))</f>
        <v>356.320269084225</v>
      </c>
      <c r="AO164" s="59">
        <f t="shared" si="144"/>
        <v>208.88199836488002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93.011001976251976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93.011001976251976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2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144.05040000000002</v>
      </c>
      <c r="D165" s="11">
        <f t="shared" si="140"/>
        <v>37.223349436444416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1399.3061360006238</v>
      </c>
      <c r="H165" s="67">
        <f t="shared" si="110"/>
        <v>609.05178026847398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-4.5474735088646412E-13</v>
      </c>
      <c r="O165" s="13">
        <f>N165*VLOOKUP('Données projet'!$B$9,Paramètres!$A$1:$I$89,3,0)*VLOOKUP('Données projet'!$B$9,Paramètres!$A$1:$I$89,5,0)</f>
        <v>-4.1145540308207271E-13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221.63427112734911</v>
      </c>
      <c r="T165" s="59">
        <f t="shared" si="142"/>
        <v>133.63266168802033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54.142026121631247</v>
      </c>
      <c r="AA165" s="21">
        <f>EXP(-LN(2)/25)*AA164+(1-EXP(-LN(2)/25))/(LN(2)/25)*Calculateur!V165*Calculateur!X165*VLOOKUP('Données projet'!$B$9,Paramètres!$A$1:$I$89,3,0)*0.475*44/12</f>
        <v>0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54.142026121631247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5.6843418860808015E-14</v>
      </c>
      <c r="AJ165" s="13">
        <f>AI165*VLOOKUP('Données projet'!$B$10,Paramètres!$A$1:$I$89,3,0)*VLOOKUP('Données projet'!$B$10,Paramètres!$A$1:$I$89,5,0)</f>
        <v>5.7639226724859328E-14</v>
      </c>
      <c r="AK165" s="13">
        <f t="shared" si="164"/>
        <v>9.2325701996134334E-13</v>
      </c>
      <c r="AL165" s="20">
        <f t="shared" si="165"/>
        <v>1.708394296311803E-12</v>
      </c>
      <c r="AM165" s="59">
        <f t="shared" si="113"/>
        <v>293.33333333333502</v>
      </c>
      <c r="AN165" s="59">
        <f ca="1">AVERAGE(OFFSET($AM$3,0,0,'Données projet'!$E$10+1,1))-AVERAGE(OFFSET($H$3,0,0,'Données projet'!$E$10+1,1))</f>
        <v>356.320269084225</v>
      </c>
      <c r="AO165" s="59">
        <f t="shared" si="144"/>
        <v>208.88199836488002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91.187112958607145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91.187112958607145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2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144.93960000000001</v>
      </c>
      <c r="D166" s="11">
        <f t="shared" si="140"/>
        <v>37.426304759789126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1407.7368086720564</v>
      </c>
      <c r="H166" s="67">
        <f t="shared" si="110"/>
        <v>610.95395078996603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-4.5474735088646412E-13</v>
      </c>
      <c r="O166" s="13">
        <f>N166*VLOOKUP('Données projet'!$B$9,Paramètres!$A$1:$I$89,3,0)*VLOOKUP('Données projet'!$B$9,Paramètres!$A$1:$I$89,5,0)</f>
        <v>-4.1145540308207271E-13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221.63427112734911</v>
      </c>
      <c r="T166" s="59">
        <f t="shared" si="142"/>
        <v>133.63266168802033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53.080334012761206</v>
      </c>
      <c r="AA166" s="21">
        <f>EXP(-LN(2)/25)*AA165+(1-EXP(-LN(2)/25))/(LN(2)/25)*Calculateur!V166*Calculateur!X166*VLOOKUP('Données projet'!$B$9,Paramètres!$A$1:$I$89,3,0)*0.475*44/12</f>
        <v>0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53.080334012761206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5.6843418860808015E-14</v>
      </c>
      <c r="AJ166" s="13">
        <f>AI166*VLOOKUP('Données projet'!$B$10,Paramètres!$A$1:$I$89,3,0)*VLOOKUP('Données projet'!$B$10,Paramètres!$A$1:$I$89,5,0)</f>
        <v>5.7639226724859328E-14</v>
      </c>
      <c r="AK166" s="13">
        <f t="shared" si="164"/>
        <v>9.2325701996134334E-13</v>
      </c>
      <c r="AL166" s="20">
        <f t="shared" si="165"/>
        <v>1.708394296311803E-12</v>
      </c>
      <c r="AM166" s="59">
        <f t="shared" si="113"/>
        <v>293.33333333333502</v>
      </c>
      <c r="AN166" s="59">
        <f ca="1">AVERAGE(OFFSET($AM$3,0,0,'Données projet'!$E$10+1,1))-AVERAGE(OFFSET($H$3,0,0,'Données projet'!$E$10+1,1))</f>
        <v>356.320269084225</v>
      </c>
      <c r="AO166" s="59">
        <f t="shared" si="144"/>
        <v>208.88199836488002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89.39898929213588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89.39898929213588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2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145.8288</v>
      </c>
      <c r="D167" s="11">
        <f t="shared" si="140"/>
        <v>37.629115201395898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1416.1663629581437</v>
      </c>
      <c r="H167" s="67">
        <f t="shared" si="110"/>
        <v>612.85586897576445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-4.5474735088646412E-13</v>
      </c>
      <c r="O167" s="13">
        <f>N167*VLOOKUP('Données projet'!$B$9,Paramètres!$A$1:$I$89,3,0)*VLOOKUP('Données projet'!$B$9,Paramètres!$A$1:$I$89,5,0)</f>
        <v>-4.1145540308207271E-13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221.63427112734911</v>
      </c>
      <c r="T167" s="59">
        <f t="shared" si="142"/>
        <v>133.63266168802033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52.039461038577862</v>
      </c>
      <c r="AA167" s="21">
        <f>EXP(-LN(2)/25)*AA166+(1-EXP(-LN(2)/25))/(LN(2)/25)*Calculateur!V167*Calculateur!X167*VLOOKUP('Données projet'!$B$9,Paramètres!$A$1:$I$89,3,0)*0.475*44/12</f>
        <v>0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52.039461038577862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5.6843418860808015E-14</v>
      </c>
      <c r="AJ167" s="13">
        <f>AI167*VLOOKUP('Données projet'!$B$10,Paramètres!$A$1:$I$89,3,0)*VLOOKUP('Données projet'!$B$10,Paramètres!$A$1:$I$89,5,0)</f>
        <v>5.7639226724859328E-14</v>
      </c>
      <c r="AK167" s="13">
        <f t="shared" si="164"/>
        <v>9.2325701996134334E-13</v>
      </c>
      <c r="AL167" s="20">
        <f t="shared" si="165"/>
        <v>1.708394296311803E-12</v>
      </c>
      <c r="AM167" s="59">
        <f t="shared" si="113"/>
        <v>293.33333333333502</v>
      </c>
      <c r="AN167" s="59">
        <f ca="1">AVERAGE(OFFSET($AM$3,0,0,'Données projet'!$E$10+1,1))-AVERAGE(OFFSET($H$3,0,0,'Données projet'!$E$10+1,1))</f>
        <v>356.320269084225</v>
      </c>
      <c r="AO167" s="59">
        <f t="shared" si="144"/>
        <v>208.88199836488002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87.645929640116364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87.645929640116364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2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146.71799999999999</v>
      </c>
      <c r="D168" s="11">
        <f t="shared" si="140"/>
        <v>37.831781747183037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1424.594806469483</v>
      </c>
      <c r="H168" s="67">
        <f t="shared" si="110"/>
        <v>614.75753654301047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-4.5474735088646412E-13</v>
      </c>
      <c r="O168" s="13">
        <f>N168*VLOOKUP('Données projet'!$B$9,Paramètres!$A$1:$I$89,3,0)*VLOOKUP('Données projet'!$B$9,Paramètres!$A$1:$I$89,5,0)</f>
        <v>-4.1145540308207271E-13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221.63427112734911</v>
      </c>
      <c r="T168" s="59">
        <f t="shared" si="142"/>
        <v>133.63266168802033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51.018998948548429</v>
      </c>
      <c r="AA168" s="21">
        <f>EXP(-LN(2)/25)*AA167+(1-EXP(-LN(2)/25))/(LN(2)/25)*Calculateur!V168*Calculateur!X168*VLOOKUP('Données projet'!$B$9,Paramètres!$A$1:$I$89,3,0)*0.475*44/12</f>
        <v>0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51.018998948548429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5.6843418860808015E-14</v>
      </c>
      <c r="AJ168" s="13">
        <f>AI168*VLOOKUP('Données projet'!$B$10,Paramètres!$A$1:$I$89,3,0)*VLOOKUP('Données projet'!$B$10,Paramètres!$A$1:$I$89,5,0)</f>
        <v>5.7639226724859328E-14</v>
      </c>
      <c r="AK168" s="13">
        <f t="shared" si="164"/>
        <v>9.2325701996134334E-13</v>
      </c>
      <c r="AL168" s="20">
        <f t="shared" si="165"/>
        <v>1.708394296311803E-12</v>
      </c>
      <c r="AM168" s="59">
        <f t="shared" si="113"/>
        <v>293.33333333333502</v>
      </c>
      <c r="AN168" s="59">
        <f ca="1">AVERAGE(OFFSET($AM$3,0,0,'Données projet'!$E$10+1,1))-AVERAGE(OFFSET($H$3,0,0,'Données projet'!$E$10+1,1))</f>
        <v>356.320269084225</v>
      </c>
      <c r="AO168" s="59">
        <f t="shared" si="144"/>
        <v>208.88199836488002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85.927246418612157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85.927246418612157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2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147.60719999999998</v>
      </c>
      <c r="D169" s="11">
        <f t="shared" si="140"/>
        <v>38.034305370426985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1433.0221467190852</v>
      </c>
      <c r="H169" s="67">
        <f t="shared" si="110"/>
        <v>616.65895518682692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-4.5474735088646412E-13</v>
      </c>
      <c r="O169" s="13">
        <f>N169*VLOOKUP('Données projet'!$B$9,Paramètres!$A$1:$I$89,3,0)*VLOOKUP('Données projet'!$B$9,Paramètres!$A$1:$I$89,5,0)</f>
        <v>-4.1145540308207271E-13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221.63427112734911</v>
      </c>
      <c r="T169" s="59">
        <f t="shared" si="142"/>
        <v>133.63266168802033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50.018547497684054</v>
      </c>
      <c r="AA169" s="21">
        <f>EXP(-LN(2)/25)*AA168+(1-EXP(-LN(2)/25))/(LN(2)/25)*Calculateur!V169*Calculateur!X169*VLOOKUP('Données projet'!$B$9,Paramètres!$A$1:$I$89,3,0)*0.475*44/12</f>
        <v>0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50.018547497684054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5.6843418860808015E-14</v>
      </c>
      <c r="AJ169" s="13">
        <f>AI169*VLOOKUP('Données projet'!$B$10,Paramètres!$A$1:$I$89,3,0)*VLOOKUP('Données projet'!$B$10,Paramètres!$A$1:$I$89,5,0)</f>
        <v>5.7639226724859328E-14</v>
      </c>
      <c r="AK169" s="13">
        <f t="shared" si="164"/>
        <v>9.2325701996134334E-13</v>
      </c>
      <c r="AL169" s="20">
        <f t="shared" si="165"/>
        <v>1.708394296311803E-12</v>
      </c>
      <c r="AM169" s="59">
        <f t="shared" si="113"/>
        <v>293.33333333333502</v>
      </c>
      <c r="AN169" s="59">
        <f ca="1">AVERAGE(OFFSET($AM$3,0,0,'Données projet'!$E$10+1,1))-AVERAGE(OFFSET($H$3,0,0,'Données projet'!$E$10+1,1))</f>
        <v>356.320269084225</v>
      </c>
      <c r="AO169" s="59">
        <f t="shared" si="144"/>
        <v>208.88199836488002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84.242265526788387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84.242265526788387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2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148.49639999999997</v>
      </c>
      <c r="D170" s="11">
        <f t="shared" si="140"/>
        <v>38.23668703199958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1441.4483911242071</v>
      </c>
      <c r="H170" s="67">
        <f t="shared" si="110"/>
        <v>618.56012658073257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-4.5474735088646412E-13</v>
      </c>
      <c r="O170" s="13">
        <f>N170*VLOOKUP('Données projet'!$B$9,Paramètres!$A$1:$I$89,3,0)*VLOOKUP('Données projet'!$B$9,Paramètres!$A$1:$I$89,5,0)</f>
        <v>-4.1145540308207271E-13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221.63427112734911</v>
      </c>
      <c r="T170" s="59">
        <f t="shared" si="142"/>
        <v>133.63266168802033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49.037714289556</v>
      </c>
      <c r="AA170" s="21">
        <f>EXP(-LN(2)/25)*AA169+(1-EXP(-LN(2)/25))/(LN(2)/25)*Calculateur!V170*Calculateur!X170*VLOOKUP('Données projet'!$B$9,Paramètres!$A$1:$I$89,3,0)*0.475*44/12</f>
        <v>0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49.037714289556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5.6843418860808015E-14</v>
      </c>
      <c r="AJ170" s="13">
        <f>AI170*VLOOKUP('Données projet'!$B$10,Paramètres!$A$1:$I$89,3,0)*VLOOKUP('Données projet'!$B$10,Paramètres!$A$1:$I$89,5,0)</f>
        <v>5.7639226724859328E-14</v>
      </c>
      <c r="AK170" s="13">
        <f t="shared" si="164"/>
        <v>9.2325701996134334E-13</v>
      </c>
      <c r="AL170" s="20">
        <f t="shared" si="165"/>
        <v>1.708394296311803E-12</v>
      </c>
      <c r="AM170" s="59">
        <f t="shared" si="113"/>
        <v>293.33333333333502</v>
      </c>
      <c r="AN170" s="59">
        <f ca="1">AVERAGE(OFFSET($AM$3,0,0,'Données projet'!$E$10+1,1))-AVERAGE(OFFSET($H$3,0,0,'Données projet'!$E$10+1,1))</f>
        <v>356.320269084225</v>
      </c>
      <c r="AO170" s="59">
        <f t="shared" si="144"/>
        <v>208.88199836488002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82.590326082516412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82.590326082516412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2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149.38559999999995</v>
      </c>
      <c r="D171" s="11">
        <f t="shared" si="140"/>
        <v>38.438927680599591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1449.8735470081367</v>
      </c>
      <c r="H171" s="67">
        <f t="shared" si="110"/>
        <v>620.46105237704421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-4.5474735088646412E-13</v>
      </c>
      <c r="O171" s="13">
        <f>N171*VLOOKUP('Données projet'!$B$9,Paramètres!$A$1:$I$89,3,0)*VLOOKUP('Données projet'!$B$9,Paramètres!$A$1:$I$89,5,0)</f>
        <v>-4.1145540308207271E-13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221.63427112734911</v>
      </c>
      <c r="T171" s="59">
        <f t="shared" si="142"/>
        <v>133.63266168802033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48.076114622390151</v>
      </c>
      <c r="AA171" s="21">
        <f>EXP(-LN(2)/25)*AA170+(1-EXP(-LN(2)/25))/(LN(2)/25)*Calculateur!V171*Calculateur!X171*VLOOKUP('Données projet'!$B$9,Paramètres!$A$1:$I$89,3,0)*0.475*44/12</f>
        <v>0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48.076114622390151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5.6843418860808015E-14</v>
      </c>
      <c r="AJ171" s="13">
        <f>AI171*VLOOKUP('Données projet'!$B$10,Paramètres!$A$1:$I$89,3,0)*VLOOKUP('Données projet'!$B$10,Paramètres!$A$1:$I$89,5,0)</f>
        <v>5.7639226724859328E-14</v>
      </c>
      <c r="AK171" s="13">
        <f t="shared" si="164"/>
        <v>9.2325701996134334E-13</v>
      </c>
      <c r="AL171" s="20">
        <f t="shared" si="165"/>
        <v>1.708394296311803E-12</v>
      </c>
      <c r="AM171" s="59">
        <f t="shared" si="113"/>
        <v>293.33333333333502</v>
      </c>
      <c r="AN171" s="59">
        <f ca="1">AVERAGE(OFFSET($AM$3,0,0,'Données projet'!$E$10+1,1))-AVERAGE(OFFSET($H$3,0,0,'Données projet'!$E$10+1,1))</f>
        <v>356.320269084225</v>
      </c>
      <c r="AO171" s="59">
        <f t="shared" si="144"/>
        <v>208.88199836488002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80.970780163163042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80.970780163163042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2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150.27479999999994</v>
      </c>
      <c r="D172" s="11">
        <f t="shared" si="140"/>
        <v>38.641028252978323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1458.2976216019376</v>
      </c>
      <c r="H172" s="67">
        <f t="shared" si="110"/>
        <v>622.36173420727039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-4.5474735088646412E-13</v>
      </c>
      <c r="O172" s="13">
        <f>N172*VLOOKUP('Données projet'!$B$9,Paramètres!$A$1:$I$89,3,0)*VLOOKUP('Données projet'!$B$9,Paramètres!$A$1:$I$89,5,0)</f>
        <v>-4.1145540308207271E-13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221.63427112734911</v>
      </c>
      <c r="T172" s="59">
        <f t="shared" si="142"/>
        <v>133.63266168802033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47.133371338179543</v>
      </c>
      <c r="AA172" s="21">
        <f>EXP(-LN(2)/25)*AA171+(1-EXP(-LN(2)/25))/(LN(2)/25)*Calculateur!V172*Calculateur!X172*VLOOKUP('Données projet'!$B$9,Paramètres!$A$1:$I$89,3,0)*0.475*44/12</f>
        <v>0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47.133371338179543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5.6843418860808015E-14</v>
      </c>
      <c r="AJ172" s="13">
        <f>AI172*VLOOKUP('Données projet'!$B$10,Paramètres!$A$1:$I$89,3,0)*VLOOKUP('Données projet'!$B$10,Paramètres!$A$1:$I$89,5,0)</f>
        <v>5.7639226724859328E-14</v>
      </c>
      <c r="AK172" s="13">
        <f t="shared" si="164"/>
        <v>9.2325701996134334E-13</v>
      </c>
      <c r="AL172" s="20">
        <f t="shared" si="165"/>
        <v>1.708394296311803E-12</v>
      </c>
      <c r="AM172" s="59">
        <f t="shared" si="113"/>
        <v>293.33333333333502</v>
      </c>
      <c r="AN172" s="59">
        <f ca="1">AVERAGE(OFFSET($AM$3,0,0,'Données projet'!$E$10+1,1))-AVERAGE(OFFSET($H$3,0,0,'Données projet'!$E$10+1,1))</f>
        <v>356.320269084225</v>
      </c>
      <c r="AO172" s="59">
        <f t="shared" si="144"/>
        <v>208.88199836488002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79.382992551462721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79.382992551462721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2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151.16399999999993</v>
      </c>
      <c r="D173" s="11">
        <f t="shared" si="140"/>
        <v>38.842989674159945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1466.7206220461464</v>
      </c>
      <c r="H173" s="67">
        <f t="shared" si="110"/>
        <v>624.26217368249513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-4.5474735088646412E-13</v>
      </c>
      <c r="O173" s="13">
        <f>N173*VLOOKUP('Données projet'!$B$9,Paramètres!$A$1:$I$89,3,0)*VLOOKUP('Données projet'!$B$9,Paramètres!$A$1:$I$89,5,0)</f>
        <v>-4.1145540308207271E-13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221.63427112734911</v>
      </c>
      <c r="T173" s="59">
        <f t="shared" si="142"/>
        <v>133.63266168802033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46.209114674755682</v>
      </c>
      <c r="AA173" s="21">
        <f>EXP(-LN(2)/25)*AA172+(1-EXP(-LN(2)/25))/(LN(2)/25)*Calculateur!V173*Calculateur!X173*VLOOKUP('Données projet'!$B$9,Paramètres!$A$1:$I$89,3,0)*0.475*44/12</f>
        <v>0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46.209114674755682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5.6843418860808015E-14</v>
      </c>
      <c r="AJ173" s="13">
        <f>AI173*VLOOKUP('Données projet'!$B$10,Paramètres!$A$1:$I$89,3,0)*VLOOKUP('Données projet'!$B$10,Paramètres!$A$1:$I$89,5,0)</f>
        <v>5.7639226724859328E-14</v>
      </c>
      <c r="AK173" s="13">
        <f t="shared" si="164"/>
        <v>9.2325701996134334E-13</v>
      </c>
      <c r="AL173" s="20">
        <f t="shared" si="165"/>
        <v>1.708394296311803E-12</v>
      </c>
      <c r="AM173" s="59">
        <f t="shared" si="113"/>
        <v>293.33333333333502</v>
      </c>
      <c r="AN173" s="59">
        <f ca="1">AVERAGE(OFFSET($AM$3,0,0,'Données projet'!$E$10+1,1))-AVERAGE(OFFSET($H$3,0,0,'Données projet'!$E$10+1,1))</f>
        <v>356.320269084225</v>
      </c>
      <c r="AO173" s="59">
        <f t="shared" si="144"/>
        <v>208.88199836488002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77.826340486373027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77.826340486373027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2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152.05319999999992</v>
      </c>
      <c r="D174" s="11">
        <f t="shared" si="140"/>
        <v>39.044812857656339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1475.1425553924346</v>
      </c>
      <c r="H174" s="67">
        <f t="shared" si="110"/>
        <v>626.1623723937513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-4.5474735088646412E-13</v>
      </c>
      <c r="O174" s="13">
        <f>N174*VLOOKUP('Données projet'!$B$9,Paramètres!$A$1:$I$89,3,0)*VLOOKUP('Données projet'!$B$9,Paramètres!$A$1:$I$89,5,0)</f>
        <v>-4.1145540308207271E-13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221.63427112734911</v>
      </c>
      <c r="T174" s="59">
        <f t="shared" si="142"/>
        <v>133.63266168802033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45.30298212076066</v>
      </c>
      <c r="AA174" s="21">
        <f>EXP(-LN(2)/25)*AA173+(1-EXP(-LN(2)/25))/(LN(2)/25)*Calculateur!V174*Calculateur!X174*VLOOKUP('Données projet'!$B$9,Paramètres!$A$1:$I$89,3,0)*0.475*44/12</f>
        <v>0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45.30298212076066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5.6843418860808015E-14</v>
      </c>
      <c r="AJ174" s="13">
        <f>AI174*VLOOKUP('Données projet'!$B$10,Paramètres!$A$1:$I$89,3,0)*VLOOKUP('Données projet'!$B$10,Paramètres!$A$1:$I$89,5,0)</f>
        <v>5.7639226724859328E-14</v>
      </c>
      <c r="AK174" s="13">
        <f t="shared" si="164"/>
        <v>9.2325701996134334E-13</v>
      </c>
      <c r="AL174" s="20">
        <f t="shared" si="165"/>
        <v>1.708394296311803E-12</v>
      </c>
      <c r="AM174" s="59">
        <f t="shared" si="113"/>
        <v>293.33333333333502</v>
      </c>
      <c r="AN174" s="59">
        <f ca="1">AVERAGE(OFFSET($AM$3,0,0,'Données projet'!$E$10+1,1))-AVERAGE(OFFSET($H$3,0,0,'Données projet'!$E$10+1,1))</f>
        <v>356.320269084225</v>
      </c>
      <c r="AO174" s="59">
        <f t="shared" si="144"/>
        <v>208.88199836488002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76.30021341881573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76.30021341881573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2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152.94239999999991</v>
      </c>
      <c r="D175" s="11">
        <f t="shared" si="140"/>
        <v>39.246498705676842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1483.5634286052243</v>
      </c>
      <c r="H175" s="67">
        <f t="shared" si="110"/>
        <v>628.06233191238698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-4.5474735088646412E-13</v>
      </c>
      <c r="O175" s="13">
        <f>N175*VLOOKUP('Données projet'!$B$9,Paramètres!$A$1:$I$89,3,0)*VLOOKUP('Données projet'!$B$9,Paramètres!$A$1:$I$89,5,0)</f>
        <v>-4.1145540308207271E-13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221.63427112734911</v>
      </c>
      <c r="T175" s="59">
        <f t="shared" si="142"/>
        <v>133.63266168802033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44.414618273463198</v>
      </c>
      <c r="AA175" s="21">
        <f>EXP(-LN(2)/25)*AA174+(1-EXP(-LN(2)/25))/(LN(2)/25)*Calculateur!V175*Calculateur!X175*VLOOKUP('Données projet'!$B$9,Paramètres!$A$1:$I$89,3,0)*0.475*44/12</f>
        <v>0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44.414618273463198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5.6843418860808015E-14</v>
      </c>
      <c r="AJ175" s="13">
        <f>AI175*VLOOKUP('Données projet'!$B$10,Paramètres!$A$1:$I$89,3,0)*VLOOKUP('Données projet'!$B$10,Paramètres!$A$1:$I$89,5,0)</f>
        <v>5.7639226724859328E-14</v>
      </c>
      <c r="AK175" s="13">
        <f t="shared" si="164"/>
        <v>9.2325701996134334E-13</v>
      </c>
      <c r="AL175" s="20">
        <f t="shared" si="165"/>
        <v>1.708394296311803E-12</v>
      </c>
      <c r="AM175" s="59">
        <f t="shared" si="113"/>
        <v>293.33333333333502</v>
      </c>
      <c r="AN175" s="59">
        <f ca="1">AVERAGE(OFFSET($AM$3,0,0,'Données projet'!$E$10+1,1))-AVERAGE(OFFSET($H$3,0,0,'Données projet'!$E$10+1,1))</f>
        <v>356.320269084225</v>
      </c>
      <c r="AO175" s="59">
        <f t="shared" si="144"/>
        <v>208.88199836488002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74.804012772207642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74.804012772207642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2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153.8315999999999</v>
      </c>
      <c r="D176" s="11">
        <f t="shared" si="140"/>
        <v>39.448048109333072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1491.9832485632724</v>
      </c>
      <c r="H176" s="67">
        <f t="shared" si="110"/>
        <v>629.96205379042158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-4.5474735088646412E-13</v>
      </c>
      <c r="O176" s="13">
        <f>N176*VLOOKUP('Données projet'!$B$9,Paramètres!$A$1:$I$89,3,0)*VLOOKUP('Données projet'!$B$9,Paramètres!$A$1:$I$89,5,0)</f>
        <v>-4.1145540308207271E-13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221.63427112734911</v>
      </c>
      <c r="T176" s="59">
        <f t="shared" si="142"/>
        <v>133.63266168802033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43.543674699362789</v>
      </c>
      <c r="AA176" s="21">
        <f>EXP(-LN(2)/25)*AA175+(1-EXP(-LN(2)/25))/(LN(2)/25)*Calculateur!V176*Calculateur!X176*VLOOKUP('Données projet'!$B$9,Paramètres!$A$1:$I$89,3,0)*0.475*44/12</f>
        <v>0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43.543674699362789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5.6843418860808015E-14</v>
      </c>
      <c r="AJ176" s="13">
        <f>AI176*VLOOKUP('Données projet'!$B$10,Paramètres!$A$1:$I$89,3,0)*VLOOKUP('Données projet'!$B$10,Paramètres!$A$1:$I$89,5,0)</f>
        <v>5.7639226724859328E-14</v>
      </c>
      <c r="AK176" s="13">
        <f t="shared" si="164"/>
        <v>9.2325701996134334E-13</v>
      </c>
      <c r="AL176" s="20">
        <f t="shared" si="165"/>
        <v>1.708394296311803E-12</v>
      </c>
      <c r="AM176" s="59">
        <f t="shared" si="113"/>
        <v>293.33333333333502</v>
      </c>
      <c r="AN176" s="59">
        <f ca="1">AVERAGE(OFFSET($AM$3,0,0,'Données projet'!$E$10+1,1))-AVERAGE(OFFSET($H$3,0,0,'Données projet'!$E$10+1,1))</f>
        <v>356.320269084225</v>
      </c>
      <c r="AO176" s="59">
        <f t="shared" si="144"/>
        <v>208.88199836488002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73.337151707687255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73.337151707687255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2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154.72079999999988</v>
      </c>
      <c r="D177" s="11">
        <f t="shared" si="140"/>
        <v>39.649461948838557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1500.4020220612092</v>
      </c>
      <c r="H177" s="67">
        <f t="shared" si="110"/>
        <v>631.86153956089356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-4.5474735088646412E-13</v>
      </c>
      <c r="O177" s="13">
        <f>N177*VLOOKUP('Données projet'!$B$9,Paramètres!$A$1:$I$89,3,0)*VLOOKUP('Données projet'!$B$9,Paramètres!$A$1:$I$89,5,0)</f>
        <v>-4.1145540308207271E-13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221.63427112734911</v>
      </c>
      <c r="T177" s="59">
        <f t="shared" si="142"/>
        <v>133.63266168802033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42.689809797527367</v>
      </c>
      <c r="AA177" s="21">
        <f>EXP(-LN(2)/25)*AA176+(1-EXP(-LN(2)/25))/(LN(2)/25)*Calculateur!V177*Calculateur!X177*VLOOKUP('Données projet'!$B$9,Paramètres!$A$1:$I$89,3,0)*0.475*44/12</f>
        <v>0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42.689809797527367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5.6843418860808015E-14</v>
      </c>
      <c r="AJ177" s="13">
        <f>AI177*VLOOKUP('Données projet'!$B$10,Paramètres!$A$1:$I$89,3,0)*VLOOKUP('Données projet'!$B$10,Paramètres!$A$1:$I$89,5,0)</f>
        <v>5.7639226724859328E-14</v>
      </c>
      <c r="AK177" s="13">
        <f t="shared" si="164"/>
        <v>9.2325701996134334E-13</v>
      </c>
      <c r="AL177" s="20">
        <f t="shared" si="165"/>
        <v>1.708394296311803E-12</v>
      </c>
      <c r="AM177" s="59">
        <f t="shared" si="113"/>
        <v>293.33333333333502</v>
      </c>
      <c r="AN177" s="59">
        <f ca="1">AVERAGE(OFFSET($AM$3,0,0,'Données projet'!$E$10+1,1))-AVERAGE(OFFSET($H$3,0,0,'Données projet'!$E$10+1,1))</f>
        <v>356.320269084225</v>
      </c>
      <c r="AO177" s="59">
        <f t="shared" si="144"/>
        <v>208.88199836488002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71.899054893945205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71.899054893945205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2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155.60999999999987</v>
      </c>
      <c r="D178" s="11">
        <f t="shared" si="140"/>
        <v>39.850741093704151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1508.8197558110487</v>
      </c>
      <c r="H178" s="67">
        <f t="shared" si="110"/>
        <v>633.76079073820119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-4.5474735088646412E-13</v>
      </c>
      <c r="O178" s="13">
        <f>N178*VLOOKUP('Données projet'!$B$9,Paramètres!$A$1:$I$89,3,0)*VLOOKUP('Données projet'!$B$9,Paramètres!$A$1:$I$89,5,0)</f>
        <v>-4.1145540308207271E-13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221.63427112734911</v>
      </c>
      <c r="T178" s="59">
        <f t="shared" si="142"/>
        <v>133.63266168802033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41.852688665610771</v>
      </c>
      <c r="AA178" s="21">
        <f>EXP(-LN(2)/25)*AA177+(1-EXP(-LN(2)/25))/(LN(2)/25)*Calculateur!V178*Calculateur!X178*VLOOKUP('Données projet'!$B$9,Paramètres!$A$1:$I$89,3,0)*0.475*44/12</f>
        <v>0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41.852688665610771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5.6843418860808015E-14</v>
      </c>
      <c r="AJ178" s="13">
        <f>AI178*VLOOKUP('Données projet'!$B$10,Paramètres!$A$1:$I$89,3,0)*VLOOKUP('Données projet'!$B$10,Paramètres!$A$1:$I$89,5,0)</f>
        <v>5.7639226724859328E-14</v>
      </c>
      <c r="AK178" s="13">
        <f t="shared" si="164"/>
        <v>9.2325701996134334E-13</v>
      </c>
      <c r="AL178" s="20">
        <f t="shared" si="165"/>
        <v>1.708394296311803E-12</v>
      </c>
      <c r="AM178" s="59">
        <f t="shared" si="113"/>
        <v>293.33333333333502</v>
      </c>
      <c r="AN178" s="59">
        <f ca="1">AVERAGE(OFFSET($AM$3,0,0,'Données projet'!$E$10+1,1))-AVERAGE(OFFSET($H$3,0,0,'Données projet'!$E$10+1,1))</f>
        <v>356.320269084225</v>
      </c>
      <c r="AO178" s="59">
        <f t="shared" si="144"/>
        <v>208.88199836488002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70.489158281568194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70.489158281568194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2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156.49919999999986</v>
      </c>
      <c r="D179" s="11">
        <f t="shared" si="140"/>
        <v>40.051886402928353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1517.2364564436564</v>
      </c>
      <c r="H179" s="67">
        <f t="shared" si="110"/>
        <v>635.65980881843325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-4.5474735088646412E-13</v>
      </c>
      <c r="O179" s="13">
        <f>N179*VLOOKUP('Données projet'!$B$9,Paramètres!$A$1:$I$89,3,0)*VLOOKUP('Données projet'!$B$9,Paramètres!$A$1:$I$89,5,0)</f>
        <v>-4.1145540308207271E-13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221.63427112734911</v>
      </c>
      <c r="T179" s="59">
        <f t="shared" si="142"/>
        <v>133.63266168802033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41.031982968497587</v>
      </c>
      <c r="AA179" s="21">
        <f>EXP(-LN(2)/25)*AA178+(1-EXP(-LN(2)/25))/(LN(2)/25)*Calculateur!V179*Calculateur!X179*VLOOKUP('Données projet'!$B$9,Paramètres!$A$1:$I$89,3,0)*0.475*44/12</f>
        <v>0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41.031982968497587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5.6843418860808015E-14</v>
      </c>
      <c r="AJ179" s="13">
        <f>AI179*VLOOKUP('Données projet'!$B$10,Paramètres!$A$1:$I$89,3,0)*VLOOKUP('Données projet'!$B$10,Paramètres!$A$1:$I$89,5,0)</f>
        <v>5.7639226724859328E-14</v>
      </c>
      <c r="AK179" s="13">
        <f t="shared" si="164"/>
        <v>9.2325701996134334E-13</v>
      </c>
      <c r="AL179" s="20">
        <f t="shared" si="165"/>
        <v>1.708394296311803E-12</v>
      </c>
      <c r="AM179" s="59">
        <f t="shared" si="113"/>
        <v>293.33333333333502</v>
      </c>
      <c r="AN179" s="59">
        <f ca="1">AVERAGE(OFFSET($AM$3,0,0,'Données projet'!$E$10+1,1))-AVERAGE(OFFSET($H$3,0,0,'Données projet'!$E$10+1,1))</f>
        <v>356.320269084225</v>
      </c>
      <c r="AO179" s="59">
        <f t="shared" si="144"/>
        <v>208.88199836488002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69.106908881807868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69.106908881807868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2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157.38839999999985</v>
      </c>
      <c r="D180" s="11">
        <f t="shared" si="140"/>
        <v>40.252898725183421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1525.6521305101869</v>
      </c>
      <c r="H180" s="67">
        <f t="shared" si="110"/>
        <v>637.55859527969415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-4.5474735088646412E-13</v>
      </c>
      <c r="O180" s="13">
        <f>N180*VLOOKUP('Données projet'!$B$9,Paramètres!$A$1:$I$89,3,0)*VLOOKUP('Données projet'!$B$9,Paramètres!$A$1:$I$89,5,0)</f>
        <v>-4.1145540308207271E-13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221.63427112734911</v>
      </c>
      <c r="T180" s="59">
        <f t="shared" si="142"/>
        <v>133.63266168802033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40.227370809523748</v>
      </c>
      <c r="AA180" s="21">
        <f>EXP(-LN(2)/25)*AA179+(1-EXP(-LN(2)/25))/(LN(2)/25)*Calculateur!V180*Calculateur!X180*VLOOKUP('Données projet'!$B$9,Paramètres!$A$1:$I$89,3,0)*0.475*44/12</f>
        <v>0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40.227370809523748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5.6843418860808015E-14</v>
      </c>
      <c r="AJ180" s="13">
        <f>AI180*VLOOKUP('Données projet'!$B$10,Paramètres!$A$1:$I$89,3,0)*VLOOKUP('Données projet'!$B$10,Paramètres!$A$1:$I$89,5,0)</f>
        <v>5.7639226724859328E-14</v>
      </c>
      <c r="AK180" s="13">
        <f t="shared" si="164"/>
        <v>9.2325701996134334E-13</v>
      </c>
      <c r="AL180" s="20">
        <f t="shared" si="165"/>
        <v>1.708394296311803E-12</v>
      </c>
      <c r="AM180" s="59">
        <f t="shared" si="113"/>
        <v>293.33333333333502</v>
      </c>
      <c r="AN180" s="59">
        <f ca="1">AVERAGE(OFFSET($AM$3,0,0,'Données projet'!$E$10+1,1))-AVERAGE(OFFSET($H$3,0,0,'Données projet'!$E$10+1,1))</f>
        <v>356.320269084225</v>
      </c>
      <c r="AO180" s="59">
        <f t="shared" si="144"/>
        <v>208.88199836488002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67.751764549687962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67.751764549687962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2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158.27759999999984</v>
      </c>
      <c r="D181" s="11">
        <f t="shared" si="140"/>
        <v>40.45377889899725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1534.0667844834863</v>
      </c>
      <c r="H181" s="67">
        <f t="shared" si="110"/>
        <v>639.4571515824199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-4.5474735088646412E-13</v>
      </c>
      <c r="O181" s="13">
        <f>N181*VLOOKUP('Données projet'!$B$9,Paramètres!$A$1:$I$89,3,0)*VLOOKUP('Données projet'!$B$9,Paramètres!$A$1:$I$89,5,0)</f>
        <v>-4.1145540308207271E-13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221.63427112734911</v>
      </c>
      <c r="T181" s="59">
        <f t="shared" si="142"/>
        <v>133.63266168802033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39.438536604222428</v>
      </c>
      <c r="AA181" s="21">
        <f>EXP(-LN(2)/25)*AA180+(1-EXP(-LN(2)/25))/(LN(2)/25)*Calculateur!V181*Calculateur!X181*VLOOKUP('Données projet'!$B$9,Paramètres!$A$1:$I$89,3,0)*0.475*44/12</f>
        <v>0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39.438536604222428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5.6843418860808015E-14</v>
      </c>
      <c r="AJ181" s="13">
        <f>AI181*VLOOKUP('Données projet'!$B$10,Paramètres!$A$1:$I$89,3,0)*VLOOKUP('Données projet'!$B$10,Paramètres!$A$1:$I$89,5,0)</f>
        <v>5.7639226724859328E-14</v>
      </c>
      <c r="AK181" s="13">
        <f t="shared" si="164"/>
        <v>9.2325701996134334E-13</v>
      </c>
      <c r="AL181" s="20">
        <f t="shared" si="165"/>
        <v>1.708394296311803E-12</v>
      </c>
      <c r="AM181" s="59">
        <f t="shared" si="113"/>
        <v>293.33333333333502</v>
      </c>
      <c r="AN181" s="59">
        <f ca="1">AVERAGE(OFFSET($AM$3,0,0,'Données projet'!$E$10+1,1))-AVERAGE(OFFSET($H$3,0,0,'Données projet'!$E$10+1,1))</f>
        <v>356.320269084225</v>
      </c>
      <c r="AO181" s="59">
        <f t="shared" si="144"/>
        <v>208.88199836488002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66.423193771364495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66.423193771364495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2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159.16679999999982</v>
      </c>
      <c r="D182" s="11">
        <f t="shared" si="140"/>
        <v>40.654527752930711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1542.4804247594639</v>
      </c>
      <c r="H182" s="67">
        <f t="shared" si="110"/>
        <v>641.35547916968733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-4.5474735088646412E-13</v>
      </c>
      <c r="O182" s="13">
        <f>N182*VLOOKUP('Données projet'!$B$9,Paramètres!$A$1:$I$89,3,0)*VLOOKUP('Données projet'!$B$9,Paramètres!$A$1:$I$89,5,0)</f>
        <v>-4.1145540308207271E-13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221.63427112734911</v>
      </c>
      <c r="T182" s="59">
        <f t="shared" si="142"/>
        <v>133.63266168802033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38.665170956545708</v>
      </c>
      <c r="AA182" s="21">
        <f>EXP(-LN(2)/25)*AA181+(1-EXP(-LN(2)/25))/(LN(2)/25)*Calculateur!V182*Calculateur!X182*VLOOKUP('Données projet'!$B$9,Paramètres!$A$1:$I$89,3,0)*0.475*44/12</f>
        <v>0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38.665170956545708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5.6843418860808015E-14</v>
      </c>
      <c r="AJ182" s="13">
        <f>AI182*VLOOKUP('Données projet'!$B$10,Paramètres!$A$1:$I$89,3,0)*VLOOKUP('Données projet'!$B$10,Paramètres!$A$1:$I$89,5,0)</f>
        <v>5.7639226724859328E-14</v>
      </c>
      <c r="AK182" s="13">
        <f t="shared" si="164"/>
        <v>9.2325701996134334E-13</v>
      </c>
      <c r="AL182" s="20">
        <f t="shared" si="165"/>
        <v>1.708394296311803E-12</v>
      </c>
      <c r="AM182" s="59">
        <f t="shared" si="113"/>
        <v>293.33333333333502</v>
      </c>
      <c r="AN182" s="59">
        <f ca="1">AVERAGE(OFFSET($AM$3,0,0,'Données projet'!$E$10+1,1))-AVERAGE(OFFSET($H$3,0,0,'Données projet'!$E$10+1,1))</f>
        <v>356.320269084225</v>
      </c>
      <c r="AO182" s="59">
        <f t="shared" si="144"/>
        <v>208.88199836488002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65.1206754556558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65.1206754556558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2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160.05599999999981</v>
      </c>
      <c r="D183" s="11">
        <f t="shared" si="140"/>
        <v>40.855146105751388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1550.8930576584305</v>
      </c>
      <c r="H183" s="67">
        <f t="shared" si="110"/>
        <v>643.2535794675166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-4.5474735088646412E-13</v>
      </c>
      <c r="O183" s="13">
        <f>N183*VLOOKUP('Données projet'!$B$9,Paramètres!$A$1:$I$89,3,0)*VLOOKUP('Données projet'!$B$9,Paramètres!$A$1:$I$89,5,0)</f>
        <v>-4.1145540308207271E-13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221.63427112734911</v>
      </c>
      <c r="T183" s="59">
        <f t="shared" si="142"/>
        <v>133.63266168802033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37.906970537513459</v>
      </c>
      <c r="AA183" s="21">
        <f>EXP(-LN(2)/25)*AA182+(1-EXP(-LN(2)/25))/(LN(2)/25)*Calculateur!V183*Calculateur!X183*VLOOKUP('Données projet'!$B$9,Paramètres!$A$1:$I$89,3,0)*0.475*44/12</f>
        <v>0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37.906970537513459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5.6843418860808015E-14</v>
      </c>
      <c r="AJ183" s="13">
        <f>AI183*VLOOKUP('Données projet'!$B$10,Paramètres!$A$1:$I$89,3,0)*VLOOKUP('Données projet'!$B$10,Paramètres!$A$1:$I$89,5,0)</f>
        <v>5.7639226724859328E-14</v>
      </c>
      <c r="AK183" s="13">
        <f t="shared" si="164"/>
        <v>9.2325701996134334E-13</v>
      </c>
      <c r="AL183" s="20">
        <f t="shared" si="165"/>
        <v>1.708394296311803E-12</v>
      </c>
      <c r="AM183" s="59">
        <f t="shared" si="113"/>
        <v>293.33333333333502</v>
      </c>
      <c r="AN183" s="59">
        <f ca="1">AVERAGE(OFFSET($AM$3,0,0,'Données projet'!$E$10+1,1))-AVERAGE(OFFSET($H$3,0,0,'Données projet'!$E$10+1,1))</f>
        <v>356.320269084225</v>
      </c>
      <c r="AO183" s="59">
        <f t="shared" si="144"/>
        <v>208.88199836488002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63.843698729660424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63.843698729660424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2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160.9451999999998</v>
      </c>
      <c r="D184" s="11">
        <f t="shared" si="140"/>
        <v>41.055634766602871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1559.3046894264069</v>
      </c>
      <c r="H184" s="67">
        <f t="shared" si="110"/>
        <v>645.15145388516635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-4.5474735088646412E-13</v>
      </c>
      <c r="O184" s="13">
        <f>N184*VLOOKUP('Données projet'!$B$9,Paramètres!$A$1:$I$89,3,0)*VLOOKUP('Données projet'!$B$9,Paramètres!$A$1:$I$89,5,0)</f>
        <v>-4.1145540308207271E-13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221.63427112734911</v>
      </c>
      <c r="T184" s="59">
        <f t="shared" si="142"/>
        <v>133.63266168802033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37.163637966241843</v>
      </c>
      <c r="AA184" s="21">
        <f>EXP(-LN(2)/25)*AA183+(1-EXP(-LN(2)/25))/(LN(2)/25)*Calculateur!V184*Calculateur!X184*VLOOKUP('Données projet'!$B$9,Paramètres!$A$1:$I$89,3,0)*0.475*44/12</f>
        <v>0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37.163637966241843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5.6843418860808015E-14</v>
      </c>
      <c r="AJ184" s="13">
        <f>AI184*VLOOKUP('Données projet'!$B$10,Paramètres!$A$1:$I$89,3,0)*VLOOKUP('Données projet'!$B$10,Paramètres!$A$1:$I$89,5,0)</f>
        <v>5.7639226724859328E-14</v>
      </c>
      <c r="AK184" s="13">
        <f t="shared" si="164"/>
        <v>9.2325701996134334E-13</v>
      </c>
      <c r="AL184" s="20">
        <f t="shared" si="165"/>
        <v>1.708394296311803E-12</v>
      </c>
      <c r="AM184" s="59">
        <f t="shared" si="113"/>
        <v>293.33333333333502</v>
      </c>
      <c r="AN184" s="59">
        <f ca="1">AVERAGE(OFFSET($AM$3,0,0,'Données projet'!$E$10+1,1))-AVERAGE(OFFSET($H$3,0,0,'Données projet'!$E$10+1,1))</f>
        <v>356.320269084225</v>
      </c>
      <c r="AO184" s="59">
        <f t="shared" si="144"/>
        <v>208.88199836488002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62.591762738382926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62.591762738382926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2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161.83439999999979</v>
      </c>
      <c r="D185" s="11">
        <f t="shared" si="140"/>
        <v>41.255994535170444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1567.7153262364018</v>
      </c>
      <c r="H185" s="67">
        <f t="shared" si="110"/>
        <v>647.0491038154214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-4.5474735088646412E-13</v>
      </c>
      <c r="O185" s="13">
        <f>N185*VLOOKUP('Données projet'!$B$9,Paramètres!$A$1:$I$89,3,0)*VLOOKUP('Données projet'!$B$9,Paramètres!$A$1:$I$89,5,0)</f>
        <v>-4.1145540308207271E-13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221.63427112734911</v>
      </c>
      <c r="T185" s="59">
        <f t="shared" si="142"/>
        <v>133.63266168802033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36.43488169330476</v>
      </c>
      <c r="AA185" s="21">
        <f>EXP(-LN(2)/25)*AA184+(1-EXP(-LN(2)/25))/(LN(2)/25)*Calculateur!V185*Calculateur!X185*VLOOKUP('Données projet'!$B$9,Paramètres!$A$1:$I$89,3,0)*0.475*44/12</f>
        <v>0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36.43488169330476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5.6843418860808015E-14</v>
      </c>
      <c r="AJ185" s="13">
        <f>AI185*VLOOKUP('Données projet'!$B$10,Paramètres!$A$1:$I$89,3,0)*VLOOKUP('Données projet'!$B$10,Paramètres!$A$1:$I$89,5,0)</f>
        <v>5.7639226724859328E-14</v>
      </c>
      <c r="AK185" s="13">
        <f t="shared" si="164"/>
        <v>9.2325701996134334E-13</v>
      </c>
      <c r="AL185" s="20">
        <f t="shared" si="165"/>
        <v>1.708394296311803E-12</v>
      </c>
      <c r="AM185" s="59">
        <f t="shared" si="113"/>
        <v>293.33333333333502</v>
      </c>
      <c r="AN185" s="59">
        <f ca="1">AVERAGE(OFFSET($AM$3,0,0,'Données projet'!$E$10+1,1))-AVERAGE(OFFSET($H$3,0,0,'Données projet'!$E$10+1,1))</f>
        <v>356.320269084225</v>
      </c>
      <c r="AO185" s="59">
        <f t="shared" si="144"/>
        <v>208.88199836488002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61.364376448288823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61.364376448288823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2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162.72359999999978</v>
      </c>
      <c r="D186" s="11">
        <f t="shared" si="140"/>
        <v>41.456226201843137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1576.1249741896645</v>
      </c>
      <c r="H186" s="67">
        <f t="shared" si="110"/>
        <v>648.94653063487635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-4.5474735088646412E-13</v>
      </c>
      <c r="O186" s="13">
        <f>N186*VLOOKUP('Données projet'!$B$9,Paramètres!$A$1:$I$89,3,0)*VLOOKUP('Données projet'!$B$9,Paramètres!$A$1:$I$89,5,0)</f>
        <v>-4.1145540308207271E-13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221.63427112734911</v>
      </c>
      <c r="T186" s="59">
        <f t="shared" si="142"/>
        <v>133.63266168802033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35.72041588638254</v>
      </c>
      <c r="AA186" s="21">
        <f>EXP(-LN(2)/25)*AA185+(1-EXP(-LN(2)/25))/(LN(2)/25)*Calculateur!V186*Calculateur!X186*VLOOKUP('Données projet'!$B$9,Paramètres!$A$1:$I$89,3,0)*0.475*44/12</f>
        <v>0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35.72041588638254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5.6843418860808015E-14</v>
      </c>
      <c r="AJ186" s="13">
        <f>AI186*VLOOKUP('Données projet'!$B$10,Paramètres!$A$1:$I$89,3,0)*VLOOKUP('Données projet'!$B$10,Paramètres!$A$1:$I$89,5,0)</f>
        <v>5.7639226724859328E-14</v>
      </c>
      <c r="AK186" s="13">
        <f t="shared" si="164"/>
        <v>9.2325701996134334E-13</v>
      </c>
      <c r="AL186" s="20">
        <f t="shared" si="165"/>
        <v>1.708394296311803E-12</v>
      </c>
      <c r="AM186" s="59">
        <f t="shared" si="113"/>
        <v>293.33333333333502</v>
      </c>
      <c r="AN186" s="59">
        <f ca="1">AVERAGE(OFFSET($AM$3,0,0,'Données projet'!$E$10+1,1))-AVERAGE(OFFSET($H$3,0,0,'Données projet'!$E$10+1,1))</f>
        <v>356.320269084225</v>
      </c>
      <c r="AO186" s="59">
        <f t="shared" si="144"/>
        <v>208.88199836488002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60.16105845471175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60.16105845471175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2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163.61279999999977</v>
      </c>
      <c r="D187" s="11">
        <f t="shared" si="140"/>
        <v>41.656330547871768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1584.533639316903</v>
      </c>
      <c r="H187" s="67">
        <f t="shared" si="110"/>
        <v>650.84373570420951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-4.5474735088646412E-13</v>
      </c>
      <c r="O187" s="13">
        <f>N187*VLOOKUP('Données projet'!$B$9,Paramètres!$A$1:$I$89,3,0)*VLOOKUP('Données projet'!$B$9,Paramètres!$A$1:$I$89,5,0)</f>
        <v>-4.1145540308207271E-13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221.63427112734911</v>
      </c>
      <c r="T187" s="59">
        <f t="shared" si="142"/>
        <v>133.63266168802033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35.019960318152954</v>
      </c>
      <c r="AA187" s="21">
        <f>EXP(-LN(2)/25)*AA186+(1-EXP(-LN(2)/25))/(LN(2)/25)*Calculateur!V187*Calculateur!X187*VLOOKUP('Données projet'!$B$9,Paramètres!$A$1:$I$89,3,0)*0.475*44/12</f>
        <v>0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35.019960318152954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5.6843418860808015E-14</v>
      </c>
      <c r="AJ187" s="13">
        <f>AI187*VLOOKUP('Données projet'!$B$10,Paramètres!$A$1:$I$89,3,0)*VLOOKUP('Données projet'!$B$10,Paramètres!$A$1:$I$89,5,0)</f>
        <v>5.7639226724859328E-14</v>
      </c>
      <c r="AK187" s="13">
        <f t="shared" si="164"/>
        <v>9.2325701996134334E-13</v>
      </c>
      <c r="AL187" s="20">
        <f t="shared" si="165"/>
        <v>1.708394296311803E-12</v>
      </c>
      <c r="AM187" s="59">
        <f t="shared" si="113"/>
        <v>293.33333333333502</v>
      </c>
      <c r="AN187" s="59">
        <f ca="1">AVERAGE(OFFSET($AM$3,0,0,'Données projet'!$E$10+1,1))-AVERAGE(OFFSET($H$3,0,0,'Données projet'!$E$10+1,1))</f>
        <v>356.320269084225</v>
      </c>
      <c r="AO187" s="59">
        <f t="shared" si="144"/>
        <v>208.88199836488002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58.981336793037215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58.981336793037215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2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164.50199999999975</v>
      </c>
      <c r="D188" s="11">
        <f t="shared" si="140"/>
        <v>41.856308345523843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1592.9413275794805</v>
      </c>
      <c r="H188" s="67">
        <f t="shared" si="110"/>
        <v>652.74072036845359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-4.5474735088646412E-13</v>
      </c>
      <c r="O188" s="13">
        <f>N188*VLOOKUP('Données projet'!$B$9,Paramètres!$A$1:$I$89,3,0)*VLOOKUP('Données projet'!$B$9,Paramètres!$A$1:$I$89,5,0)</f>
        <v>-4.1145540308207271E-13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221.63427112734911</v>
      </c>
      <c r="T188" s="59">
        <f t="shared" si="142"/>
        <v>133.63266168802033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34.333240256380634</v>
      </c>
      <c r="AA188" s="21">
        <f>EXP(-LN(2)/25)*AA187+(1-EXP(-LN(2)/25))/(LN(2)/25)*Calculateur!V188*Calculateur!X188*VLOOKUP('Données projet'!$B$9,Paramètres!$A$1:$I$89,3,0)*0.475*44/12</f>
        <v>0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34.333240256380634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5.6843418860808015E-14</v>
      </c>
      <c r="AJ188" s="13">
        <f>AI188*VLOOKUP('Données projet'!$B$10,Paramètres!$A$1:$I$89,3,0)*VLOOKUP('Données projet'!$B$10,Paramètres!$A$1:$I$89,5,0)</f>
        <v>5.7639226724859328E-14</v>
      </c>
      <c r="AK188" s="13">
        <f t="shared" si="164"/>
        <v>9.2325701996134334E-13</v>
      </c>
      <c r="AL188" s="20">
        <f t="shared" si="165"/>
        <v>1.708394296311803E-12</v>
      </c>
      <c r="AM188" s="59">
        <f t="shared" si="113"/>
        <v>293.33333333333502</v>
      </c>
      <c r="AN188" s="59">
        <f ca="1">AVERAGE(OFFSET($AM$3,0,0,'Données projet'!$E$10+1,1))-AVERAGE(OFFSET($H$3,0,0,'Données projet'!$E$10+1,1))</f>
        <v>356.320269084225</v>
      </c>
      <c r="AO188" s="59">
        <f t="shared" si="144"/>
        <v>208.88199836488002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57.824748753588956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57.824748753588956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2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165.39119999999974</v>
      </c>
      <c r="D189" s="11">
        <f t="shared" si="140"/>
        <v>42.056160358234798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1601.3480448705823</v>
      </c>
      <c r="H189" s="67">
        <f t="shared" si="110"/>
        <v>654.63748595725838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-4.5474735088646412E-13</v>
      </c>
      <c r="O189" s="13">
        <f>N189*VLOOKUP('Données projet'!$B$9,Paramètres!$A$1:$I$89,3,0)*VLOOKUP('Données projet'!$B$9,Paramètres!$A$1:$I$89,5,0)</f>
        <v>-4.1145540308207271E-13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221.63427112734911</v>
      </c>
      <c r="T189" s="59">
        <f t="shared" si="142"/>
        <v>133.63266168802033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33.659986356161795</v>
      </c>
      <c r="AA189" s="21">
        <f>EXP(-LN(2)/25)*AA188+(1-EXP(-LN(2)/25))/(LN(2)/25)*Calculateur!V189*Calculateur!X189*VLOOKUP('Données projet'!$B$9,Paramètres!$A$1:$I$89,3,0)*0.475*44/12</f>
        <v>0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33.659986356161795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5.6843418860808015E-14</v>
      </c>
      <c r="AJ189" s="13">
        <f>AI189*VLOOKUP('Données projet'!$B$10,Paramètres!$A$1:$I$89,3,0)*VLOOKUP('Données projet'!$B$10,Paramètres!$A$1:$I$89,5,0)</f>
        <v>5.7639226724859328E-14</v>
      </c>
      <c r="AK189" s="13">
        <f t="shared" si="164"/>
        <v>9.2325701996134334E-13</v>
      </c>
      <c r="AL189" s="20">
        <f t="shared" si="165"/>
        <v>1.708394296311803E-12</v>
      </c>
      <c r="AM189" s="59">
        <f t="shared" si="113"/>
        <v>293.33333333333502</v>
      </c>
      <c r="AN189" s="59">
        <f ca="1">AVERAGE(OFFSET($AM$3,0,0,'Données projet'!$E$10+1,1))-AVERAGE(OFFSET($H$3,0,0,'Données projet'!$E$10+1,1))</f>
        <v>356.320269084225</v>
      </c>
      <c r="AO189" s="59">
        <f t="shared" si="144"/>
        <v>208.88199836488002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56.69084070014523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56.69084070014523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2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166.28039999999973</v>
      </c>
      <c r="D190" s="11">
        <f t="shared" si="140"/>
        <v>42.255887340755834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1609.7537970163587</v>
      </c>
      <c r="H190" s="67">
        <f t="shared" si="110"/>
        <v>656.53403378514918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-4.5474735088646412E-13</v>
      </c>
      <c r="O190" s="13">
        <f>N190*VLOOKUP('Données projet'!$B$9,Paramètres!$A$1:$I$89,3,0)*VLOOKUP('Données projet'!$B$9,Paramètres!$A$1:$I$89,5,0)</f>
        <v>-4.1145540308207271E-13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221.63427112734911</v>
      </c>
      <c r="T190" s="59">
        <f t="shared" si="142"/>
        <v>133.63266168802033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32.999934554281914</v>
      </c>
      <c r="AA190" s="21">
        <f>EXP(-LN(2)/25)*AA189+(1-EXP(-LN(2)/25))/(LN(2)/25)*Calculateur!V190*Calculateur!X190*VLOOKUP('Données projet'!$B$9,Paramètres!$A$1:$I$89,3,0)*0.475*44/12</f>
        <v>0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32.999934554281914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5.6843418860808015E-14</v>
      </c>
      <c r="AJ190" s="13">
        <f>AI190*VLOOKUP('Données projet'!$B$10,Paramètres!$A$1:$I$89,3,0)*VLOOKUP('Données projet'!$B$10,Paramètres!$A$1:$I$89,5,0)</f>
        <v>5.7639226724859328E-14</v>
      </c>
      <c r="AK190" s="13">
        <f t="shared" si="164"/>
        <v>9.2325701996134334E-13</v>
      </c>
      <c r="AL190" s="20">
        <f t="shared" si="165"/>
        <v>1.708394296311803E-12</v>
      </c>
      <c r="AM190" s="59">
        <f t="shared" si="113"/>
        <v>293.33333333333502</v>
      </c>
      <c r="AN190" s="59">
        <f ca="1">AVERAGE(OFFSET($AM$3,0,0,'Données projet'!$E$10+1,1))-AVERAGE(OFFSET($H$3,0,0,'Données projet'!$E$10+1,1))</f>
        <v>356.320269084225</v>
      </c>
      <c r="AO190" s="59">
        <f t="shared" si="144"/>
        <v>208.88199836488002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55.579167892013913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55.579167892013913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2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167.16959999999972</v>
      </c>
      <c r="D191" s="11">
        <f t="shared" si="140"/>
        <v>42.455490039298816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1618.1585897770412</v>
      </c>
      <c r="H191" s="67">
        <f t="shared" si="110"/>
        <v>658.43036515177823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-4.5474735088646412E-13</v>
      </c>
      <c r="O191" s="13">
        <f>N191*VLOOKUP('Données projet'!$B$9,Paramètres!$A$1:$I$89,3,0)*VLOOKUP('Données projet'!$B$9,Paramètres!$A$1:$I$89,5,0)</f>
        <v>-4.1145540308207271E-13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221.63427112734911</v>
      </c>
      <c r="T191" s="59">
        <f t="shared" si="142"/>
        <v>133.63266168802033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32.352825965645053</v>
      </c>
      <c r="AA191" s="21">
        <f>EXP(-LN(2)/25)*AA190+(1-EXP(-LN(2)/25))/(LN(2)/25)*Calculateur!V191*Calculateur!X191*VLOOKUP('Données projet'!$B$9,Paramètres!$A$1:$I$89,3,0)*0.475*44/12</f>
        <v>0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32.352825965645053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5.6843418860808015E-14</v>
      </c>
      <c r="AJ191" s="13">
        <f>AI191*VLOOKUP('Données projet'!$B$10,Paramètres!$A$1:$I$89,3,0)*VLOOKUP('Données projet'!$B$10,Paramètres!$A$1:$I$89,5,0)</f>
        <v>5.7639226724859328E-14</v>
      </c>
      <c r="AK191" s="13">
        <f t="shared" si="164"/>
        <v>9.2325701996134334E-13</v>
      </c>
      <c r="AL191" s="20">
        <f t="shared" si="165"/>
        <v>1.708394296311803E-12</v>
      </c>
      <c r="AM191" s="59">
        <f t="shared" si="113"/>
        <v>293.33333333333502</v>
      </c>
      <c r="AN191" s="59">
        <f ca="1">AVERAGE(OFFSET($AM$3,0,0,'Données projet'!$E$10+1,1))-AVERAGE(OFFSET($H$3,0,0,'Données projet'!$E$10+1,1))</f>
        <v>356.320269084225</v>
      </c>
      <c r="AO191" s="59">
        <f t="shared" si="144"/>
        <v>208.88199836488002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54.489294309596595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54.489294309596595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2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168.05879999999971</v>
      </c>
      <c r="D192" s="11">
        <f t="shared" si="140"/>
        <v>42.65496919167748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1626.5624288480346</v>
      </c>
      <c r="H192" s="67">
        <f t="shared" si="110"/>
        <v>660.32648134217106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-4.5474735088646412E-13</v>
      </c>
      <c r="O192" s="13">
        <f>N192*VLOOKUP('Données projet'!$B$9,Paramètres!$A$1:$I$89,3,0)*VLOOKUP('Données projet'!$B$9,Paramètres!$A$1:$I$89,5,0)</f>
        <v>-4.1145540308207271E-13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221.63427112734911</v>
      </c>
      <c r="T192" s="59">
        <f t="shared" si="142"/>
        <v>133.63266168802033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31.718406781734092</v>
      </c>
      <c r="AA192" s="21">
        <f>EXP(-LN(2)/25)*AA191+(1-EXP(-LN(2)/25))/(LN(2)/25)*Calculateur!V192*Calculateur!X192*VLOOKUP('Données projet'!$B$9,Paramètres!$A$1:$I$89,3,0)*0.475*44/12</f>
        <v>0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31.718406781734092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5.6843418860808015E-14</v>
      </c>
      <c r="AJ192" s="13">
        <f>AI192*VLOOKUP('Données projet'!$B$10,Paramètres!$A$1:$I$89,3,0)*VLOOKUP('Données projet'!$B$10,Paramètres!$A$1:$I$89,5,0)</f>
        <v>5.7639226724859328E-14</v>
      </c>
      <c r="AK192" s="13">
        <f t="shared" si="164"/>
        <v>9.2325701996134334E-13</v>
      </c>
      <c r="AL192" s="20">
        <f t="shared" si="165"/>
        <v>1.708394296311803E-12</v>
      </c>
      <c r="AM192" s="59">
        <f t="shared" si="113"/>
        <v>293.33333333333502</v>
      </c>
      <c r="AN192" s="59">
        <f ca="1">AVERAGE(OFFSET($AM$3,0,0,'Données projet'!$E$10+1,1))-AVERAGE(OFFSET($H$3,0,0,'Données projet'!$E$10+1,1))</f>
        <v>356.320269084225</v>
      </c>
      <c r="AO192" s="59">
        <f t="shared" si="144"/>
        <v>208.88199836488002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53.420792483373233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53.420792483373233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2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168.94799999999969</v>
      </c>
      <c r="D193" s="11">
        <f t="shared" si="140"/>
        <v>42.8543255274462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1634.965319860986</v>
      </c>
      <c r="H193" s="67">
        <f t="shared" si="110"/>
        <v>662.22238362696817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-4.5474735088646412E-13</v>
      </c>
      <c r="O193" s="13">
        <f>N193*VLOOKUP('Données projet'!$B$9,Paramètres!$A$1:$I$89,3,0)*VLOOKUP('Données projet'!$B$9,Paramètres!$A$1:$I$89,5,0)</f>
        <v>-4.1145540308207271E-13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221.63427112734911</v>
      </c>
      <c r="T193" s="59">
        <f t="shared" si="142"/>
        <v>133.63266168802033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31.096428171062133</v>
      </c>
      <c r="AA193" s="21">
        <f>EXP(-LN(2)/25)*AA192+(1-EXP(-LN(2)/25))/(LN(2)/25)*Calculateur!V193*Calculateur!X193*VLOOKUP('Données projet'!$B$9,Paramètres!$A$1:$I$89,3,0)*0.475*44/12</f>
        <v>0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31.096428171062133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5.6843418860808015E-14</v>
      </c>
      <c r="AJ193" s="13">
        <f>AI193*VLOOKUP('Données projet'!$B$10,Paramètres!$A$1:$I$89,3,0)*VLOOKUP('Données projet'!$B$10,Paramètres!$A$1:$I$89,5,0)</f>
        <v>5.7639226724859328E-14</v>
      </c>
      <c r="AK193" s="13">
        <f t="shared" si="164"/>
        <v>9.2325701996134334E-13</v>
      </c>
      <c r="AL193" s="20">
        <f t="shared" si="165"/>
        <v>1.708394296311803E-12</v>
      </c>
      <c r="AM193" s="59">
        <f t="shared" si="113"/>
        <v>293.33333333333502</v>
      </c>
      <c r="AN193" s="59">
        <f ca="1">AVERAGE(OFFSET($AM$3,0,0,'Données projet'!$E$10+1,1))-AVERAGE(OFFSET($H$3,0,0,'Données projet'!$E$10+1,1))</f>
        <v>356.320269084225</v>
      </c>
      <c r="AO193" s="59">
        <f t="shared" si="144"/>
        <v>208.88199836488002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52.373243326240349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52.373243326240349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2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169.83719999999968</v>
      </c>
      <c r="D194" s="11">
        <f t="shared" si="140"/>
        <v>43.053559768035143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1643.3672683848301</v>
      </c>
      <c r="H194" s="67">
        <f t="shared" si="110"/>
        <v>664.11807326266057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-4.5474735088646412E-13</v>
      </c>
      <c r="O194" s="13">
        <f>N194*VLOOKUP('Données projet'!$B$9,Paramètres!$A$1:$I$89,3,0)*VLOOKUP('Données projet'!$B$9,Paramètres!$A$1:$I$89,5,0)</f>
        <v>-4.1145540308207271E-13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221.63427112734911</v>
      </c>
      <c r="T194" s="59">
        <f t="shared" si="142"/>
        <v>133.63266168802033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30.48664618157596</v>
      </c>
      <c r="AA194" s="21">
        <f>EXP(-LN(2)/25)*AA193+(1-EXP(-LN(2)/25))/(LN(2)/25)*Calculateur!V194*Calculateur!X194*VLOOKUP('Données projet'!$B$9,Paramètres!$A$1:$I$89,3,0)*0.475*44/12</f>
        <v>0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30.48664618157596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5.6843418860808015E-14</v>
      </c>
      <c r="AJ194" s="13">
        <f>AI194*VLOOKUP('Données projet'!$B$10,Paramètres!$A$1:$I$89,3,0)*VLOOKUP('Données projet'!$B$10,Paramètres!$A$1:$I$89,5,0)</f>
        <v>5.7639226724859328E-14</v>
      </c>
      <c r="AK194" s="13">
        <f t="shared" si="164"/>
        <v>9.2325701996134334E-13</v>
      </c>
      <c r="AL194" s="20">
        <f t="shared" si="165"/>
        <v>1.708394296311803E-12</v>
      </c>
      <c r="AM194" s="59">
        <f t="shared" si="113"/>
        <v>293.33333333333502</v>
      </c>
      <c r="AN194" s="59">
        <f ca="1">AVERAGE(OFFSET($AM$3,0,0,'Données projet'!$E$10+1,1))-AVERAGE(OFFSET($H$3,0,0,'Données projet'!$E$10+1,1))</f>
        <v>356.320269084225</v>
      </c>
      <c r="AO194" s="59">
        <f t="shared" si="144"/>
        <v>208.88199836488002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51.346235969136941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51.346235969136941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2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170.72639999999967</v>
      </c>
      <c r="D195" s="11">
        <f t="shared" si="140"/>
        <v>43.252672626882983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1651.7682799268139</v>
      </c>
      <c r="H195" s="67">
        <f t="shared" si="110"/>
        <v>666.01355149182064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-4.5474735088646412E-13</v>
      </c>
      <c r="O195" s="13">
        <f>N195*VLOOKUP('Données projet'!$B$9,Paramètres!$A$1:$I$89,3,0)*VLOOKUP('Données projet'!$B$9,Paramètres!$A$1:$I$89,5,0)</f>
        <v>-4.1145540308207271E-13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221.63427112734911</v>
      </c>
      <c r="T195" s="59">
        <f t="shared" si="142"/>
        <v>133.63266168802033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29.888821644973319</v>
      </c>
      <c r="AA195" s="21">
        <f>EXP(-LN(2)/25)*AA194+(1-EXP(-LN(2)/25))/(LN(2)/25)*Calculateur!V195*Calculateur!X195*VLOOKUP('Données projet'!$B$9,Paramètres!$A$1:$I$89,3,0)*0.475*44/12</f>
        <v>0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29.888821644973319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5.6843418860808015E-14</v>
      </c>
      <c r="AJ195" s="13">
        <f>AI195*VLOOKUP('Données projet'!$B$10,Paramètres!$A$1:$I$89,3,0)*VLOOKUP('Données projet'!$B$10,Paramètres!$A$1:$I$89,5,0)</f>
        <v>5.7639226724859328E-14</v>
      </c>
      <c r="AK195" s="13">
        <f t="shared" si="164"/>
        <v>9.2325701996134334E-13</v>
      </c>
      <c r="AL195" s="20">
        <f t="shared" si="165"/>
        <v>1.708394296311803E-12</v>
      </c>
      <c r="AM195" s="59">
        <f t="shared" si="113"/>
        <v>293.33333333333502</v>
      </c>
      <c r="AN195" s="59">
        <f ca="1">AVERAGE(OFFSET($AM$3,0,0,'Données projet'!$E$10+1,1))-AVERAGE(OFFSET($H$3,0,0,'Données projet'!$E$10+1,1))</f>
        <v>356.320269084225</v>
      </c>
      <c r="AO195" s="59">
        <f t="shared" si="144"/>
        <v>208.88199836488002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50.339367599893698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50.339367599893698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2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171.61559999999966</v>
      </c>
      <c r="D196" s="11">
        <f t="shared" si="140"/>
        <v>43.451664809566452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1660.1683599334929</v>
      </c>
      <c r="H196" s="67">
        <f t="shared" ref="H196:H203" si="192">(B196+E196+F196)*44/12+(C196+D196)*0.475*44/12</f>
        <v>667.90881954332758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-4.5474735088646412E-13</v>
      </c>
      <c r="O196" s="13">
        <f>N196*VLOOKUP('Données projet'!$B$9,Paramètres!$A$1:$I$89,3,0)*VLOOKUP('Données projet'!$B$9,Paramètres!$A$1:$I$89,5,0)</f>
        <v>-4.1145540308207271E-13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221.63427112734911</v>
      </c>
      <c r="T196" s="59">
        <f t="shared" si="142"/>
        <v>133.63266168802033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29.302720082896496</v>
      </c>
      <c r="AA196" s="21">
        <f>EXP(-LN(2)/25)*AA195+(1-EXP(-LN(2)/25))/(LN(2)/25)*Calculateur!V196*Calculateur!X196*VLOOKUP('Données projet'!$B$9,Paramètres!$A$1:$I$89,3,0)*0.475*44/12</f>
        <v>0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29.302720082896496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5.6843418860808015E-14</v>
      </c>
      <c r="AJ196" s="13">
        <f>AI196*VLOOKUP('Données projet'!$B$10,Paramètres!$A$1:$I$89,3,0)*VLOOKUP('Données projet'!$B$10,Paramètres!$A$1:$I$89,5,0)</f>
        <v>5.7639226724859328E-14</v>
      </c>
      <c r="AK196" s="13">
        <f t="shared" si="164"/>
        <v>9.2325701996134334E-13</v>
      </c>
      <c r="AL196" s="20">
        <f t="shared" si="165"/>
        <v>1.708394296311803E-12</v>
      </c>
      <c r="AM196" s="59">
        <f t="shared" ref="AM196:AM203" si="193">AL196+(AD196+AE196)*44/12</f>
        <v>293.33333333333502</v>
      </c>
      <c r="AN196" s="59">
        <f ca="1">AVERAGE(OFFSET($AM$3,0,0,'Données projet'!$E$10+1,1))-AVERAGE(OFFSET($H$3,0,0,'Données projet'!$E$10+1,1))</f>
        <v>356.320269084225</v>
      </c>
      <c r="AO196" s="59">
        <f t="shared" si="144"/>
        <v>208.88199836488002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49.352243305242254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49.352243305242254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2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172.50479999999965</v>
      </c>
      <c r="D197" s="11">
        <f t="shared" ref="D197:D203" si="202">IFERROR(EXP(-1.0587+0.8836*LN(C197)+0.284),0)</f>
        <v>43.650537013927277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1668.5675137917167</v>
      </c>
      <c r="H197" s="67">
        <f t="shared" si="192"/>
        <v>669.80387863258932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-4.5474735088646412E-13</v>
      </c>
      <c r="O197" s="13">
        <f>N197*VLOOKUP('Données projet'!$B$9,Paramètres!$A$1:$I$89,3,0)*VLOOKUP('Données projet'!$B$9,Paramètres!$A$1:$I$89,5,0)</f>
        <v>-4.1145540308207271E-13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221.63427112734911</v>
      </c>
      <c r="T197" s="59">
        <f t="shared" ref="T197:T203" si="204">$T$3</f>
        <v>133.63266168802033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28.728111614965343</v>
      </c>
      <c r="AA197" s="21">
        <f>EXP(-LN(2)/25)*AA196+(1-EXP(-LN(2)/25))/(LN(2)/25)*Calculateur!V197*Calculateur!X197*VLOOKUP('Données projet'!$B$9,Paramètres!$A$1:$I$89,3,0)*0.475*44/12</f>
        <v>0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28.728111614965343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5.6843418860808015E-14</v>
      </c>
      <c r="AJ197" s="13">
        <f>AI197*VLOOKUP('Données projet'!$B$10,Paramètres!$A$1:$I$89,3,0)*VLOOKUP('Données projet'!$B$10,Paramètres!$A$1:$I$89,5,0)</f>
        <v>5.7639226724859328E-14</v>
      </c>
      <c r="AK197" s="13">
        <f t="shared" si="164"/>
        <v>9.2325701996134334E-13</v>
      </c>
      <c r="AL197" s="20">
        <f t="shared" si="165"/>
        <v>1.708394296311803E-12</v>
      </c>
      <c r="AM197" s="59">
        <f t="shared" si="193"/>
        <v>293.33333333333502</v>
      </c>
      <c r="AN197" s="59">
        <f ca="1">AVERAGE(OFFSET($AM$3,0,0,'Données projet'!$E$10+1,1))-AVERAGE(OFFSET($H$3,0,0,'Données projet'!$E$10+1,1))</f>
        <v>356.320269084225</v>
      </c>
      <c r="AO197" s="59">
        <f t="shared" ref="AO197:AO203" si="205">$AO$3</f>
        <v>208.88199836488002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48.384475915922557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48.384475915922557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2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173.39399999999964</v>
      </c>
      <c r="D198" s="11">
        <f t="shared" si="202"/>
        <v>43.849289930196555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1676.9657468295848</v>
      </c>
      <c r="H198" s="67">
        <f t="shared" si="192"/>
        <v>671.69872996175832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-4.5474735088646412E-13</v>
      </c>
      <c r="O198" s="13">
        <f>N198*VLOOKUP('Données projet'!$B$9,Paramètres!$A$1:$I$89,3,0)*VLOOKUP('Données projet'!$B$9,Paramètres!$A$1:$I$89,5,0)</f>
        <v>-4.1145540308207271E-13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221.63427112734911</v>
      </c>
      <c r="T198" s="59">
        <f t="shared" si="204"/>
        <v>133.63266168802033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28.164770868613761</v>
      </c>
      <c r="AA198" s="21">
        <f>EXP(-LN(2)/25)*AA197+(1-EXP(-LN(2)/25))/(LN(2)/25)*Calculateur!V198*Calculateur!X198*VLOOKUP('Données projet'!$B$9,Paramètres!$A$1:$I$89,3,0)*0.475*44/12</f>
        <v>0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28.164770868613761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5.6843418860808015E-14</v>
      </c>
      <c r="AJ198" s="13">
        <f>AI198*VLOOKUP('Données projet'!$B$10,Paramètres!$A$1:$I$89,3,0)*VLOOKUP('Données projet'!$B$10,Paramètres!$A$1:$I$89,5,0)</f>
        <v>5.7639226724859328E-14</v>
      </c>
      <c r="AK198" s="13">
        <f t="shared" si="164"/>
        <v>9.2325701996134334E-13</v>
      </c>
      <c r="AL198" s="20">
        <f t="shared" si="165"/>
        <v>1.708394296311803E-12</v>
      </c>
      <c r="AM198" s="59">
        <f t="shared" si="193"/>
        <v>293.33333333333502</v>
      </c>
      <c r="AN198" s="59">
        <f ca="1">AVERAGE(OFFSET($AM$3,0,0,'Données projet'!$E$10+1,1))-AVERAGE(OFFSET($H$3,0,0,'Données projet'!$E$10+1,1))</f>
        <v>356.320269084225</v>
      </c>
      <c r="AO198" s="59">
        <f t="shared" si="205"/>
        <v>208.88199836488002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47.435685854827597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47.435685854827597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2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174.28319999999962</v>
      </c>
      <c r="D199" s="11">
        <f t="shared" si="202"/>
        <v>44.047924241116036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1685.3630643173844</v>
      </c>
      <c r="H199" s="67">
        <f t="shared" si="192"/>
        <v>673.59337471994309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-4.5474735088646412E-13</v>
      </c>
      <c r="O199" s="13">
        <f>N199*VLOOKUP('Données projet'!$B$9,Paramètres!$A$1:$I$89,3,0)*VLOOKUP('Données projet'!$B$9,Paramètres!$A$1:$I$89,5,0)</f>
        <v>-4.1145540308207271E-13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221.63427112734911</v>
      </c>
      <c r="T199" s="59">
        <f t="shared" si="204"/>
        <v>133.63266168802033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27.612476890694207</v>
      </c>
      <c r="AA199" s="21">
        <f>EXP(-LN(2)/25)*AA198+(1-EXP(-LN(2)/25))/(LN(2)/25)*Calculateur!V199*Calculateur!X199*VLOOKUP('Données projet'!$B$9,Paramètres!$A$1:$I$89,3,0)*0.475*44/12</f>
        <v>0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27.612476890694207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5.6843418860808015E-14</v>
      </c>
      <c r="AJ199" s="13">
        <f>AI199*VLOOKUP('Données projet'!$B$10,Paramètres!$A$1:$I$89,3,0)*VLOOKUP('Données projet'!$B$10,Paramètres!$A$1:$I$89,5,0)</f>
        <v>5.7639226724859328E-14</v>
      </c>
      <c r="AK199" s="13">
        <f t="shared" si="164"/>
        <v>9.2325701996134334E-13</v>
      </c>
      <c r="AL199" s="20">
        <f t="shared" si="165"/>
        <v>1.708394296311803E-12</v>
      </c>
      <c r="AM199" s="59">
        <f t="shared" si="193"/>
        <v>293.33333333333502</v>
      </c>
      <c r="AN199" s="59">
        <f ca="1">AVERAGE(OFFSET($AM$3,0,0,'Données projet'!$E$10+1,1))-AVERAGE(OFFSET($H$3,0,0,'Données projet'!$E$10+1,1))</f>
        <v>356.320269084225</v>
      </c>
      <c r="AO199" s="59">
        <f t="shared" si="205"/>
        <v>208.88199836488002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46.50550098812591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46.50550098812591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2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175.17239999999961</v>
      </c>
      <c r="D200" s="11">
        <f t="shared" si="202"/>
        <v>44.246440622057428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1693.7594714685104</v>
      </c>
      <c r="H200" s="67">
        <f t="shared" si="192"/>
        <v>675.48781408341597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-4.5474735088646412E-13</v>
      </c>
      <c r="O200" s="13">
        <f>N200*VLOOKUP('Données projet'!$B$9,Paramètres!$A$1:$I$89,3,0)*VLOOKUP('Données projet'!$B$9,Paramètres!$A$1:$I$89,5,0)</f>
        <v>-4.1145540308207271E-13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221.63427112734911</v>
      </c>
      <c r="T200" s="59">
        <f t="shared" si="204"/>
        <v>133.63266168802033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27.071013060815591</v>
      </c>
      <c r="AA200" s="21">
        <f>EXP(-LN(2)/25)*AA199+(1-EXP(-LN(2)/25))/(LN(2)/25)*Calculateur!V200*Calculateur!X200*VLOOKUP('Données projet'!$B$9,Paramètres!$A$1:$I$89,3,0)*0.475*44/12</f>
        <v>0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27.071013060815591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5.6843418860808015E-14</v>
      </c>
      <c r="AJ200" s="13">
        <f>AI200*VLOOKUP('Données projet'!$B$10,Paramètres!$A$1:$I$89,3,0)*VLOOKUP('Données projet'!$B$10,Paramètres!$A$1:$I$89,5,0)</f>
        <v>5.7639226724859328E-14</v>
      </c>
      <c r="AK200" s="13">
        <f t="shared" si="164"/>
        <v>9.2325701996134334E-13</v>
      </c>
      <c r="AL200" s="20">
        <f t="shared" si="165"/>
        <v>1.708394296311803E-12</v>
      </c>
      <c r="AM200" s="59">
        <f t="shared" si="193"/>
        <v>293.33333333333502</v>
      </c>
      <c r="AN200" s="59">
        <f ca="1">AVERAGE(OFFSET($AM$3,0,0,'Données projet'!$E$10+1,1))-AVERAGE(OFFSET($H$3,0,0,'Données projet'!$E$10+1,1))</f>
        <v>356.320269084225</v>
      </c>
      <c r="AO200" s="59">
        <f t="shared" si="205"/>
        <v>208.88199836488002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45.593556479303494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45.593556479303494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2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176.0615999999996</v>
      </c>
      <c r="D201" s="11">
        <f t="shared" si="202"/>
        <v>44.44483974113885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1702.154973440367</v>
      </c>
      <c r="H201" s="67">
        <f t="shared" si="192"/>
        <v>677.3820492158161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-4.5474735088646412E-13</v>
      </c>
      <c r="O201" s="13">
        <f>N201*VLOOKUP('Données projet'!$B$9,Paramètres!$A$1:$I$89,3,0)*VLOOKUP('Données projet'!$B$9,Paramètres!$A$1:$I$89,5,0)</f>
        <v>-4.1145540308207271E-13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221.63427112734911</v>
      </c>
      <c r="T201" s="59">
        <f t="shared" si="204"/>
        <v>133.63266168802033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26.540167006380571</v>
      </c>
      <c r="AA201" s="21">
        <f>EXP(-LN(2)/25)*AA200+(1-EXP(-LN(2)/25))/(LN(2)/25)*Calculateur!V201*Calculateur!X201*VLOOKUP('Données projet'!$B$9,Paramètres!$A$1:$I$89,3,0)*0.475*44/12</f>
        <v>0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26.540167006380571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5.6843418860808015E-14</v>
      </c>
      <c r="AJ201" s="13">
        <f>AI201*VLOOKUP('Données projet'!$B$10,Paramètres!$A$1:$I$89,3,0)*VLOOKUP('Données projet'!$B$10,Paramètres!$A$1:$I$89,5,0)</f>
        <v>5.7639226724859328E-14</v>
      </c>
      <c r="AK201" s="13">
        <f t="shared" si="164"/>
        <v>9.2325701996134334E-13</v>
      </c>
      <c r="AL201" s="20">
        <f t="shared" si="165"/>
        <v>1.708394296311803E-12</v>
      </c>
      <c r="AM201" s="59">
        <f t="shared" si="193"/>
        <v>293.33333333333502</v>
      </c>
      <c r="AN201" s="59">
        <f ca="1">AVERAGE(OFFSET($AM$3,0,0,'Données projet'!$E$10+1,1))-AVERAGE(OFFSET($H$3,0,0,'Données projet'!$E$10+1,1))</f>
        <v>356.320269084225</v>
      </c>
      <c r="AO201" s="59">
        <f t="shared" si="205"/>
        <v>208.88199836488002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44.699494646067862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44.699494646067862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2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176.95079999999959</v>
      </c>
      <c r="D202" s="11">
        <f t="shared" si="202"/>
        <v>44.643122259339037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1710.5495753352454</v>
      </c>
      <c r="H202" s="67">
        <f t="shared" si="192"/>
        <v>679.27608126834809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-4.5474735088646412E-13</v>
      </c>
      <c r="O202" s="13">
        <f>N202*VLOOKUP('Données projet'!$B$9,Paramètres!$A$1:$I$89,3,0)*VLOOKUP('Données projet'!$B$9,Paramètres!$A$1:$I$89,5,0)</f>
        <v>-4.1145540308207271E-13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221.63427112734911</v>
      </c>
      <c r="T202" s="59">
        <f t="shared" si="204"/>
        <v>133.63266168802033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26.019730519288899</v>
      </c>
      <c r="AA202" s="21">
        <f>EXP(-LN(2)/25)*AA201+(1-EXP(-LN(2)/25))/(LN(2)/25)*Calculateur!V202*Calculateur!X202*VLOOKUP('Données projet'!$B$9,Paramètres!$A$1:$I$89,3,0)*0.475*44/12</f>
        <v>0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26.019730519288899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5.6843418860808015E-14</v>
      </c>
      <c r="AJ202" s="13">
        <f>AI202*VLOOKUP('Données projet'!$B$10,Paramètres!$A$1:$I$89,3,0)*VLOOKUP('Données projet'!$B$10,Paramètres!$A$1:$I$89,5,0)</f>
        <v>5.7639226724859328E-14</v>
      </c>
      <c r="AK202" s="13">
        <f t="shared" si="164"/>
        <v>9.2325701996134334E-13</v>
      </c>
      <c r="AL202" s="20">
        <f t="shared" si="165"/>
        <v>1.708394296311803E-12</v>
      </c>
      <c r="AM202" s="59">
        <f t="shared" si="193"/>
        <v>293.33333333333502</v>
      </c>
      <c r="AN202" s="59">
        <f ca="1">AVERAGE(OFFSET($AM$3,0,0,'Données projet'!$E$10+1,1))-AVERAGE(OFFSET($H$3,0,0,'Données projet'!$E$10+1,1))</f>
        <v>356.320269084225</v>
      </c>
      <c r="AO202" s="59">
        <f t="shared" si="205"/>
        <v>208.88199836488002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43.822964820058111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43.822964820058111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6" thickBot="1" x14ac:dyDescent="0.2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177.83999999999958</v>
      </c>
      <c r="D203" s="11">
        <f t="shared" si="202"/>
        <v>44.841288830609059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1718.9432822011897</v>
      </c>
      <c r="H203" s="67">
        <f t="shared" si="192"/>
        <v>681.16991137997661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-4.5474735088646412E-13</v>
      </c>
      <c r="O203" s="13">
        <f>N203*VLOOKUP('Données projet'!$B$9,Paramètres!$A$1:$I$89,3,0)*VLOOKUP('Données projet'!$B$9,Paramètres!$A$1:$I$89,5,0)</f>
        <v>-4.1145540308207271E-13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221.63427112734911</v>
      </c>
      <c r="T203" s="59">
        <f t="shared" si="204"/>
        <v>133.63266168802033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25.509499474274183</v>
      </c>
      <c r="AA203" s="21">
        <f>EXP(-LN(2)/25)*AA202+(1-EXP(-LN(2)/25))/(LN(2)/25)*Calculateur!V203*Calculateur!X203*VLOOKUP('Données projet'!$B$9,Paramètres!$A$1:$I$89,3,0)*0.475*44/12</f>
        <v>0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25.509499474274183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5.6843418860808015E-14</v>
      </c>
      <c r="AJ203" s="13">
        <f>AI203*VLOOKUP('Données projet'!$B$10,Paramètres!$A$1:$I$89,3,0)*VLOOKUP('Données projet'!$B$10,Paramètres!$A$1:$I$89,5,0)</f>
        <v>5.7639226724859328E-14</v>
      </c>
      <c r="AK203" s="13">
        <f t="shared" si="164"/>
        <v>9.2325701996134334E-13</v>
      </c>
      <c r="AL203" s="20">
        <f t="shared" si="165"/>
        <v>1.708394296311803E-12</v>
      </c>
      <c r="AM203" s="59">
        <f t="shared" si="193"/>
        <v>293.33333333333502</v>
      </c>
      <c r="AN203" s="59">
        <f ca="1">AVERAGE(OFFSET($AM$3,0,0,'Données projet'!$E$10+1,1))-AVERAGE(OFFSET($H$3,0,0,'Données projet'!$E$10+1,1))</f>
        <v>356.320269084225</v>
      </c>
      <c r="AO203" s="59">
        <f t="shared" si="205"/>
        <v>208.88199836488002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42.963623209306007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42.963623209306007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7" thickBot="1" x14ac:dyDescent="0.2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6" thickBot="1" x14ac:dyDescent="0.2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1.2054868146447177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1.2392705892426346</v>
      </c>
      <c r="BA205" s="82" t="e">
        <f>EXP(LN('Données projet'!B88)/'Données projet'!A88)</f>
        <v>#NUM!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5" defaultRowHeight="15" x14ac:dyDescent="0.2"/>
  <cols>
    <col min="1" max="1" width="23.5" style="4" bestFit="1" customWidth="1"/>
    <col min="2" max="2" width="27.6640625" style="4" bestFit="1" customWidth="1"/>
    <col min="3" max="3" width="11.83203125" style="4" bestFit="1" customWidth="1"/>
    <col min="4" max="4" width="40" style="4" bestFit="1" customWidth="1"/>
    <col min="5" max="5" width="11.83203125" style="4" bestFit="1" customWidth="1"/>
    <col min="6" max="6" width="13.6640625" style="4" bestFit="1" customWidth="1"/>
    <col min="7" max="7" width="11.5" style="4" bestFit="1" customWidth="1"/>
    <col min="8" max="8" width="39" style="4" bestFit="1" customWidth="1"/>
    <col min="9" max="9" width="16.6640625" style="4" customWidth="1"/>
    <col min="10" max="14" width="11.5" style="4"/>
    <col min="15" max="15" width="23.5" style="4" bestFit="1" customWidth="1"/>
    <col min="16" max="16384" width="11.5" style="4"/>
  </cols>
  <sheetData>
    <row r="1" spans="1:16" ht="49" thickBot="1" x14ac:dyDescent="0.2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2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0" t="s">
        <v>238</v>
      </c>
      <c r="P2" s="121">
        <v>0</v>
      </c>
    </row>
    <row r="3" spans="1:16" ht="16" thickBot="1" x14ac:dyDescent="0.2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1"/>
      <c r="P3" s="128">
        <v>0.2</v>
      </c>
    </row>
    <row r="4" spans="1:16" ht="16" thickBot="1" x14ac:dyDescent="0.2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2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0" t="s">
        <v>237</v>
      </c>
      <c r="P5" s="121">
        <v>0</v>
      </c>
    </row>
    <row r="6" spans="1:16" x14ac:dyDescent="0.2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2"/>
      <c r="P6" s="129">
        <v>0.05</v>
      </c>
    </row>
    <row r="7" spans="1:16" x14ac:dyDescent="0.2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2"/>
      <c r="P7" s="129">
        <v>0.1</v>
      </c>
    </row>
    <row r="8" spans="1:16" ht="16" thickBot="1" x14ac:dyDescent="0.2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1"/>
      <c r="P8" s="128">
        <v>0.15</v>
      </c>
    </row>
    <row r="9" spans="1:16" ht="16" thickBot="1" x14ac:dyDescent="0.2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2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0" t="s">
        <v>236</v>
      </c>
      <c r="P10" s="121">
        <v>0</v>
      </c>
    </row>
    <row r="11" spans="1:16" ht="16" thickBot="1" x14ac:dyDescent="0.2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1"/>
      <c r="P11" s="128">
        <v>0.1</v>
      </c>
    </row>
    <row r="12" spans="1:16" x14ac:dyDescent="0.2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2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2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2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2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2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2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2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2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2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2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2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2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2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2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2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2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2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2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2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2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2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2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2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2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2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2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2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2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2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2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2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2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2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2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2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2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2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2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2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2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2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2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2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2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2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2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2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2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2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2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2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2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2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2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2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2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2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2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2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2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2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2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2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2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2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2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2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2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2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2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2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2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2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2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2">
      <c r="A87" s="250" t="s">
        <v>321</v>
      </c>
      <c r="B87" s="251" t="s">
        <v>322</v>
      </c>
      <c r="C87" s="252">
        <v>0.41</v>
      </c>
      <c r="D87" s="252" t="s">
        <v>323</v>
      </c>
      <c r="E87" s="252">
        <v>1.56</v>
      </c>
      <c r="F87" s="253" t="s">
        <v>274</v>
      </c>
      <c r="G87" s="254">
        <v>0.43</v>
      </c>
      <c r="H87" s="252" t="s">
        <v>278</v>
      </c>
      <c r="I87" s="255">
        <v>0.25</v>
      </c>
      <c r="J87" s="78"/>
      <c r="K87" s="78"/>
      <c r="L87" s="78"/>
      <c r="M87" s="78"/>
      <c r="N87" s="78"/>
    </row>
    <row r="88" spans="1:14" x14ac:dyDescent="0.2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6" thickBot="1" x14ac:dyDescent="0.2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2">
      <c r="A93" s="122" t="s">
        <v>208</v>
      </c>
    </row>
    <row r="94" spans="1:14" x14ac:dyDescent="0.2">
      <c r="A94" s="122" t="s">
        <v>209</v>
      </c>
    </row>
    <row r="95" spans="1:14" x14ac:dyDescent="0.2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zoomScale="90" zoomScaleNormal="90" workbookViewId="0">
      <selection activeCell="I8" sqref="I8"/>
    </sheetView>
  </sheetViews>
  <sheetFormatPr baseColWidth="10" defaultColWidth="11.5" defaultRowHeight="15" x14ac:dyDescent="0.2"/>
  <cols>
    <col min="1" max="1" width="22.83203125" style="1" bestFit="1" customWidth="1"/>
    <col min="2" max="2" width="10.5" style="1" bestFit="1" customWidth="1"/>
    <col min="3" max="3" width="15.5" style="1" bestFit="1" customWidth="1"/>
    <col min="4" max="4" width="13.5" style="1" bestFit="1" customWidth="1"/>
    <col min="5" max="8" width="11.5" style="1"/>
    <col min="9" max="13" width="11.5" style="62"/>
    <col min="14" max="15" width="11.5" style="1"/>
    <col min="16" max="17" width="13.5" style="1" customWidth="1"/>
    <col min="18" max="16384" width="11.5" style="1"/>
  </cols>
  <sheetData>
    <row r="1" spans="1:62" ht="16" thickBo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35">
      <c r="A2" s="271" t="s">
        <v>271</v>
      </c>
      <c r="B2" s="272"/>
      <c r="C2" s="272"/>
      <c r="D2" s="272"/>
      <c r="E2" s="272"/>
      <c r="F2" s="272"/>
      <c r="G2" s="272"/>
      <c r="H2" s="272"/>
      <c r="I2" s="272"/>
      <c r="J2" s="272"/>
      <c r="K2" s="272"/>
      <c r="L2" s="273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6" thickBo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65" thickBot="1" x14ac:dyDescent="0.2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">
      <c r="A6" s="145" t="str">
        <f>IF('Données projet'!$B$9="","",'Données projet'!$B$9)</f>
        <v>Chêne sessile</v>
      </c>
      <c r="B6" s="146">
        <f>'Données projet'!D9</f>
        <v>3.1871999999999998</v>
      </c>
      <c r="C6" s="147">
        <f ca="1">IF(OR('Données projet'!B9="",'Données projet'!C9="",'Données projet'!C9=0%),0,Calculateur!S3)</f>
        <v>221.63427112734911</v>
      </c>
      <c r="D6" s="147">
        <f>IF(OR('Données projet'!B9="",'Données projet'!C9="",'Données projet'!C9=0%),0,Calculateur!T3)</f>
        <v>133.63266168802033</v>
      </c>
      <c r="E6" s="147">
        <f ca="1">MIN(C6,D6)</f>
        <v>133.63266168802033</v>
      </c>
      <c r="F6" s="147">
        <f ca="1">E6*B6</f>
        <v>425.91401933205839</v>
      </c>
      <c r="G6" s="147">
        <f ca="1">F6*(100%-'Données projet'!$C$24)*(100%-'Données projet'!$C$25)*(100%-'Données projet'!$C$26)*(100%-'Données projet'!$C$27)</f>
        <v>383.32261739885257</v>
      </c>
      <c r="H6" s="148">
        <f>IF(OR('Données projet'!B9="",'Données projet'!C9="",'Données projet'!C9=0%),0,AVERAGE(Calculateur!$AC$3:$AC$33)*B6)</f>
        <v>0</v>
      </c>
      <c r="I6" s="149">
        <f>H6*(100%-'Données projet'!$C$24)*(100%-'Données projet'!$C$25)*(100%-'Données projet'!$C$26)*(100%-'Données projet'!$C$27)</f>
        <v>0</v>
      </c>
      <c r="J6" s="150">
        <f>IF(OR('Données projet'!B9="",'Données projet'!C9="",'Données projet'!C9=0%),0,SUM(Calculateur!$V$3:$V$33)*VLOOKUP('Données projet'!$B$9,Paramètres!$A$1:$I$89,9,0)*B6)</f>
        <v>16.732799999999997</v>
      </c>
      <c r="K6" s="151">
        <f>J6*(100%-'Données projet'!$C$24)*(100%-'Données projet'!$C$25)*(100%-'Données projet'!$C$26)*(100%-'Données projet'!$C$27)</f>
        <v>15.059519999999997</v>
      </c>
      <c r="L6" s="152">
        <f ca="1">G6+I6+K6</f>
        <v>398.38213739885259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">
      <c r="A7" s="153" t="str">
        <f>IF('Données projet'!$B$10="","",'Données projet'!$B$10)</f>
        <v>Chêne pubescent</v>
      </c>
      <c r="B7" s="154">
        <f>'Données projet'!D10</f>
        <v>0.81240000000000001</v>
      </c>
      <c r="C7" s="147">
        <f ca="1">IF(OR('Données projet'!B10="",'Données projet'!C10="",'Données projet'!C10=0%),0,Calculateur!AN3)</f>
        <v>356.320269084225</v>
      </c>
      <c r="D7" s="147">
        <f>IF(OR('Données projet'!B10="",'Données projet'!C10="",'Données projet'!C10=0%),0,Calculateur!AO3)</f>
        <v>208.88199836488002</v>
      </c>
      <c r="E7" s="147">
        <f t="shared" ref="E7:E15" ca="1" si="0">MIN(C7,D7)</f>
        <v>208.88199836488002</v>
      </c>
      <c r="F7" s="147">
        <f t="shared" ref="F7:F15" ca="1" si="1">E7*B7</f>
        <v>169.69573547162852</v>
      </c>
      <c r="G7" s="147">
        <f ca="1">F7*(100%-'Données projet'!$C$24)*(100%-'Données projet'!$C$25)*(100%-'Données projet'!$C$26)*(100%-'Données projet'!$C$27)</f>
        <v>152.72616192446569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5.6867999999999999</v>
      </c>
      <c r="K7" s="151">
        <f>J7*(100%-'Données projet'!$C$24)*(100%-'Données projet'!$C$25)*(100%-'Données projet'!$C$26)*(100%-'Données projet'!$C$27)</f>
        <v>5.1181200000000002</v>
      </c>
      <c r="L7" s="152">
        <f t="shared" ref="L7:L15" ca="1" si="2">G7+I7+K7</f>
        <v>157.84428192446569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">
      <c r="A8" s="153" t="str">
        <f>IF('Données projet'!$B$11="","",'Données projet'!$B$11)</f>
        <v/>
      </c>
      <c r="B8" s="154">
        <f>'Données projet'!D11</f>
        <v>0</v>
      </c>
      <c r="C8" s="147">
        <f>IF(OR('Données projet'!B11="",'Données projet'!C11="",'Données projet'!C11=0%),0,Calculateur!BI3)</f>
        <v>0</v>
      </c>
      <c r="D8" s="147">
        <f>IF(OR('Données projet'!B11="",'Données projet'!C11="",'Données projet'!C11=0%),0,Calculateur!BJ3)</f>
        <v>0</v>
      </c>
      <c r="E8" s="147">
        <f t="shared" si="0"/>
        <v>0</v>
      </c>
      <c r="F8" s="147">
        <f t="shared" si="1"/>
        <v>0</v>
      </c>
      <c r="G8" s="147">
        <f>F8*(100%-'Données projet'!$C$24)*(100%-'Données projet'!$C$25)*(100%-'Données projet'!$C$26)*(100%-'Données projet'!$C$27)</f>
        <v>0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6" thickBot="1" x14ac:dyDescent="0.2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6" thickBot="1" x14ac:dyDescent="0.25">
      <c r="A16" s="208"/>
      <c r="B16" s="212"/>
      <c r="C16" s="213"/>
      <c r="D16" s="23"/>
      <c r="E16" s="23"/>
      <c r="F16" s="165">
        <f t="shared" ref="F16:L16" ca="1" si="3">SUM(F6:F15)</f>
        <v>595.60975480368688</v>
      </c>
      <c r="G16" s="166">
        <f t="shared" ca="1" si="3"/>
        <v>536.04877932331829</v>
      </c>
      <c r="H16" s="167">
        <f t="shared" si="3"/>
        <v>0</v>
      </c>
      <c r="I16" s="167">
        <f t="shared" si="3"/>
        <v>0</v>
      </c>
      <c r="J16" s="168">
        <f t="shared" si="3"/>
        <v>22.419599999999996</v>
      </c>
      <c r="K16" s="168">
        <f t="shared" si="3"/>
        <v>20.177639999999997</v>
      </c>
      <c r="L16" s="169">
        <f t="shared" ca="1" si="3"/>
        <v>556.22641932331828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">
      <c r="A17" s="208"/>
      <c r="B17" s="212"/>
      <c r="C17" s="213"/>
      <c r="D17" s="23"/>
      <c r="E17" s="23"/>
      <c r="F17" s="283" t="s">
        <v>246</v>
      </c>
      <c r="G17" s="284"/>
      <c r="H17" s="284"/>
      <c r="I17" s="284"/>
      <c r="J17" s="284"/>
      <c r="K17" s="284"/>
      <c r="L17" s="284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">
      <c r="A18" s="208"/>
      <c r="B18" s="212"/>
      <c r="C18" s="213"/>
      <c r="D18" s="23"/>
      <c r="E18" s="23"/>
      <c r="F18" s="270"/>
      <c r="G18" s="270"/>
      <c r="H18" s="270"/>
      <c r="I18" s="270"/>
      <c r="J18" s="270"/>
      <c r="K18" s="270"/>
      <c r="L18" s="270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6" thickBot="1" x14ac:dyDescent="0.2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6" thickBot="1" x14ac:dyDescent="0.25">
      <c r="A21" s="170" t="str">
        <f>A6</f>
        <v>Chêne sessile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6" thickBot="1" x14ac:dyDescent="0.2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6" thickBot="1" x14ac:dyDescent="0.25">
      <c r="A39" s="170" t="str">
        <f>A7</f>
        <v>Chêne pubescent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6" thickBot="1" x14ac:dyDescent="0.2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6" thickBot="1" x14ac:dyDescent="0.25">
      <c r="A57" s="170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6" thickBot="1" x14ac:dyDescent="0.2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6" thickBot="1" x14ac:dyDescent="0.25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6" thickBot="1" x14ac:dyDescent="0.2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6" thickBot="1" x14ac:dyDescent="0.25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6" thickBot="1" x14ac:dyDescent="0.2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6" thickBot="1" x14ac:dyDescent="0.25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6" thickBot="1" x14ac:dyDescent="0.2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6" thickBot="1" x14ac:dyDescent="0.2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6" thickBot="1" x14ac:dyDescent="0.2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6" thickBot="1" x14ac:dyDescent="0.2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6" thickBot="1" x14ac:dyDescent="0.2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6" thickBot="1" x14ac:dyDescent="0.2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6" thickBot="1" x14ac:dyDescent="0.2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6" thickBot="1" x14ac:dyDescent="0.2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D9" zoomScale="137" zoomScaleNormal="80" workbookViewId="0">
      <selection activeCell="L10" sqref="L10"/>
    </sheetView>
  </sheetViews>
  <sheetFormatPr baseColWidth="10" defaultColWidth="11.5" defaultRowHeight="15" x14ac:dyDescent="0.2"/>
  <cols>
    <col min="1" max="1" width="11.5" style="1"/>
    <col min="2" max="2" width="30.83203125" style="1" bestFit="1" customWidth="1"/>
    <col min="3" max="3" width="18.1640625" style="1" bestFit="1" customWidth="1"/>
    <col min="4" max="5" width="11.5" style="1"/>
    <col min="6" max="6" width="14" style="1" customWidth="1"/>
    <col min="7" max="7" width="17.5" style="1" customWidth="1"/>
    <col min="8" max="8" width="21.6640625" style="1" customWidth="1"/>
    <col min="9" max="9" width="37" style="1" customWidth="1"/>
    <col min="10" max="10" width="11.5" style="1"/>
    <col min="11" max="11" width="8.83203125" style="1" customWidth="1"/>
    <col min="12" max="12" width="11.5" style="1"/>
    <col min="13" max="13" width="21" style="1" customWidth="1"/>
    <col min="14" max="16" width="11.5" style="1"/>
    <col min="17" max="17" width="8" style="1" customWidth="1"/>
    <col min="18" max="18" width="11.5" style="1"/>
    <col min="19" max="19" width="31" style="1" customWidth="1"/>
    <col min="20" max="20" width="18.1640625" style="1" customWidth="1"/>
    <col min="21" max="21" width="16.5" style="1" customWidth="1"/>
    <col min="22" max="22" width="17.83203125" style="1" customWidth="1"/>
    <col min="23" max="16384" width="11.5" style="1"/>
  </cols>
  <sheetData>
    <row r="1" spans="1:42" ht="16" thickBo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35">
      <c r="A2" s="4"/>
      <c r="B2" s="271" t="s">
        <v>272</v>
      </c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3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">
      <c r="A4" s="4"/>
      <c r="B4" s="4"/>
      <c r="C4" s="4"/>
      <c r="D4" s="4"/>
      <c r="E4" s="4"/>
      <c r="G4" s="4"/>
      <c r="H4" s="261" t="s">
        <v>315</v>
      </c>
      <c r="I4" s="261"/>
      <c r="K4" s="285" t="s">
        <v>253</v>
      </c>
      <c r="L4" s="286"/>
      <c r="M4" s="236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6" thickBot="1" x14ac:dyDescent="0.2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35">
      <c r="A7" s="241"/>
      <c r="B7" s="242"/>
      <c r="C7" s="242"/>
      <c r="D7" s="242"/>
      <c r="E7" s="243"/>
      <c r="F7" s="243" t="s">
        <v>192</v>
      </c>
      <c r="G7" s="244"/>
      <c r="H7" s="242"/>
      <c r="I7" s="242"/>
      <c r="J7" s="245"/>
      <c r="K7" s="239"/>
      <c r="L7" s="240"/>
      <c r="M7" s="240"/>
      <c r="N7" s="246" t="s">
        <v>191</v>
      </c>
      <c r="O7" s="246"/>
      <c r="P7" s="247"/>
      <c r="Q7" s="248"/>
      <c r="R7" s="295" t="s">
        <v>310</v>
      </c>
      <c r="S7" s="296"/>
      <c r="T7" s="296"/>
      <c r="U7" s="296"/>
      <c r="V7" s="297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">
      <c r="A8" s="23"/>
      <c r="C8" s="23"/>
      <c r="D8" s="23"/>
      <c r="E8" s="23"/>
      <c r="F8" s="23"/>
      <c r="G8" s="23"/>
      <c r="H8" s="4"/>
      <c r="I8" s="4"/>
      <c r="J8" s="199"/>
      <c r="K8" s="207"/>
      <c r="L8" s="23"/>
      <c r="M8" s="23"/>
      <c r="N8" s="23"/>
      <c r="O8" s="23"/>
      <c r="P8" s="23"/>
      <c r="Q8" s="233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">
      <c r="A9" s="93" t="s">
        <v>311</v>
      </c>
      <c r="C9" s="23"/>
      <c r="D9" s="23"/>
      <c r="E9" s="23"/>
      <c r="F9" s="229"/>
      <c r="G9" s="93" t="s">
        <v>314</v>
      </c>
      <c r="J9" s="199"/>
      <c r="K9" s="207"/>
      <c r="O9" s="23"/>
      <c r="P9" s="23"/>
      <c r="Q9" s="233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">
      <c r="A10" s="93" t="s">
        <v>317</v>
      </c>
      <c r="C10" s="23"/>
      <c r="D10" s="23"/>
      <c r="E10" s="23"/>
      <c r="F10" s="229"/>
      <c r="G10" s="93" t="s">
        <v>316</v>
      </c>
      <c r="J10" s="199"/>
      <c r="K10" s="207"/>
      <c r="O10" s="23"/>
      <c r="P10" s="23"/>
      <c r="Q10" s="233"/>
      <c r="R10" s="23"/>
      <c r="S10" s="36" t="str">
        <f>B14</f>
        <v>Chêne sessile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-4788.8265858692848</v>
      </c>
      <c r="U10" s="178">
        <f>'Données projet'!D9</f>
        <v>3.1871999999999998</v>
      </c>
      <c r="V10" s="177">
        <f>U10*T10</f>
        <v>-15262.948094482585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">
      <c r="A11" s="93" t="s">
        <v>312</v>
      </c>
      <c r="B11" s="23"/>
      <c r="C11" s="23"/>
      <c r="D11" s="23"/>
      <c r="E11" s="23"/>
      <c r="F11" s="229"/>
      <c r="G11" s="93" t="s">
        <v>313</v>
      </c>
      <c r="J11" s="199"/>
      <c r="K11" s="207"/>
      <c r="M11" s="4"/>
      <c r="N11" s="4"/>
      <c r="O11" s="23"/>
      <c r="P11" s="23"/>
      <c r="Q11" s="233"/>
      <c r="R11" s="23"/>
      <c r="S11" s="36" t="str">
        <f>B45</f>
        <v>Chêne pubescent</v>
      </c>
      <c r="T11" s="238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-4762.5846927620687</v>
      </c>
      <c r="U11" s="178">
        <f>'Données projet'!D10</f>
        <v>0.81240000000000001</v>
      </c>
      <c r="V11" s="177">
        <f t="shared" ref="V11" si="0">U11*T11</f>
        <v>-3869.1238043999047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">
      <c r="B12" s="23"/>
      <c r="C12" s="23"/>
      <c r="D12" s="23"/>
      <c r="E12" s="23"/>
      <c r="F12" s="229"/>
      <c r="J12" s="199"/>
      <c r="K12" s="207"/>
      <c r="L12" s="201"/>
      <c r="M12" s="23"/>
      <c r="N12" s="23"/>
      <c r="O12" s="23"/>
      <c r="P12" s="23"/>
      <c r="Q12" s="233"/>
      <c r="R12" s="23"/>
      <c r="S12" s="36" t="str">
        <f>B76</f>
        <v/>
      </c>
      <c r="T12" s="238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8">
        <f>'Données projet'!D11</f>
        <v>0</v>
      </c>
      <c r="V12" s="177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">
      <c r="B13" s="23"/>
      <c r="C13" s="23"/>
      <c r="D13" s="23"/>
      <c r="E13" s="23"/>
      <c r="F13" s="229"/>
      <c r="J13" s="23"/>
      <c r="K13" s="207"/>
      <c r="L13" s="93" t="s">
        <v>257</v>
      </c>
      <c r="M13" s="23"/>
      <c r="N13" s="23"/>
      <c r="O13" s="23"/>
      <c r="P13" s="23"/>
      <c r="Q13" s="233"/>
      <c r="R13" s="23"/>
      <c r="S13" s="36" t="str">
        <f>B107</f>
        <v/>
      </c>
      <c r="T13" s="238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">
      <c r="A14" s="46" t="s">
        <v>165</v>
      </c>
      <c r="B14" s="174" t="str">
        <f>IF('Données projet'!$B$9="","",'Données projet'!$B$9)</f>
        <v>Chêne sessile</v>
      </c>
      <c r="C14" s="4"/>
      <c r="D14" s="4"/>
      <c r="E14" s="4"/>
      <c r="F14" s="229"/>
      <c r="G14" s="23"/>
      <c r="H14" s="36" t="s">
        <v>178</v>
      </c>
      <c r="I14" s="36" t="s">
        <v>290</v>
      </c>
      <c r="J14" s="200"/>
      <c r="K14" s="173"/>
      <c r="L14" s="201"/>
      <c r="M14" s="23"/>
      <c r="N14" s="23"/>
      <c r="O14" s="4"/>
      <c r="P14" s="4"/>
      <c r="Q14" s="234"/>
      <c r="R14" s="4"/>
      <c r="S14" s="36" t="str">
        <f>B138</f>
        <v/>
      </c>
      <c r="T14" s="238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">
      <c r="A15" s="4"/>
      <c r="B15" s="4"/>
      <c r="C15" s="4"/>
      <c r="D15" s="4"/>
      <c r="E15" s="4"/>
      <c r="F15" s="229"/>
      <c r="G15" s="288" t="s">
        <v>318</v>
      </c>
      <c r="H15" s="190">
        <v>1</v>
      </c>
      <c r="I15" s="191"/>
      <c r="J15" s="201"/>
      <c r="K15" s="207"/>
      <c r="L15" s="201"/>
      <c r="M15" s="23"/>
      <c r="N15" s="23"/>
      <c r="O15" s="23"/>
      <c r="P15" s="23"/>
      <c r="Q15" s="233"/>
      <c r="R15" s="23"/>
      <c r="S15" s="36" t="str">
        <f>B169</f>
        <v/>
      </c>
      <c r="T15" s="238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9"/>
      <c r="G16" s="288"/>
      <c r="H16" s="190"/>
      <c r="I16" s="191"/>
      <c r="J16" s="201"/>
      <c r="K16" s="207"/>
      <c r="L16" s="285" t="s">
        <v>254</v>
      </c>
      <c r="M16" s="286"/>
      <c r="N16" s="2">
        <v>30</v>
      </c>
      <c r="O16" s="23"/>
      <c r="P16" s="23"/>
      <c r="Q16" s="233"/>
      <c r="R16" s="23"/>
      <c r="S16" s="36" t="str">
        <f>B200</f>
        <v/>
      </c>
      <c r="T16" s="238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ht="16" x14ac:dyDescent="0.2">
      <c r="A17" s="49">
        <v>0</v>
      </c>
      <c r="B17" s="198" t="s">
        <v>132</v>
      </c>
      <c r="C17" s="197" t="s">
        <v>132</v>
      </c>
      <c r="D17" s="196" t="s">
        <v>132</v>
      </c>
      <c r="E17" s="193">
        <v>5065.5</v>
      </c>
      <c r="F17" s="229"/>
      <c r="G17" s="288"/>
      <c r="J17" s="201"/>
      <c r="K17" s="207"/>
      <c r="L17" s="258" t="s">
        <v>289</v>
      </c>
      <c r="M17" s="260"/>
      <c r="N17" s="175">
        <f>VLOOKUP(N16,Calculateur!$A$2:$H$153,3,0)/VLOOKUP('Scénario référence'!$G$15,Paramètres!A1:I89,3,0)/VLOOKUP('Scénario référence'!$G$15,Paramètres!A1:I89,5,0)</f>
        <v>29.999999999999993</v>
      </c>
      <c r="O17" s="23"/>
      <c r="P17" s="23"/>
      <c r="Q17" s="233"/>
      <c r="R17" s="23"/>
      <c r="S17" s="36" t="str">
        <f>B231</f>
        <v/>
      </c>
      <c r="T17" s="238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ht="16" x14ac:dyDescent="0.2">
      <c r="A18" s="49">
        <v>1</v>
      </c>
      <c r="B18" s="198" t="s">
        <v>132</v>
      </c>
      <c r="C18" s="197" t="s">
        <v>132</v>
      </c>
      <c r="D18" s="196" t="s">
        <v>132</v>
      </c>
      <c r="E18" s="193"/>
      <c r="F18" s="229"/>
      <c r="G18" s="288"/>
      <c r="J18" s="201"/>
      <c r="K18" s="207"/>
      <c r="L18" s="258" t="s">
        <v>255</v>
      </c>
      <c r="M18" s="260"/>
      <c r="N18" s="192">
        <v>10</v>
      </c>
      <c r="O18" s="23"/>
      <c r="P18" s="23"/>
      <c r="Q18" s="233"/>
      <c r="R18" s="23"/>
      <c r="S18" s="36" t="str">
        <f>B262</f>
        <v/>
      </c>
      <c r="T18" s="238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">
      <c r="A19" s="49">
        <v>2</v>
      </c>
      <c r="B19" s="198" t="s">
        <v>132</v>
      </c>
      <c r="C19" s="197" t="s">
        <v>132</v>
      </c>
      <c r="D19" s="196" t="s">
        <v>132</v>
      </c>
      <c r="E19" s="193"/>
      <c r="F19" s="229"/>
      <c r="G19" s="288"/>
      <c r="H19" s="211" t="s">
        <v>178</v>
      </c>
      <c r="I19" s="211" t="s">
        <v>287</v>
      </c>
      <c r="J19" s="93"/>
      <c r="K19" s="173"/>
      <c r="L19" s="285" t="s">
        <v>288</v>
      </c>
      <c r="M19" s="286"/>
      <c r="N19" s="179">
        <f>N17*N18</f>
        <v>299.99999999999994</v>
      </c>
      <c r="O19" s="23"/>
      <c r="P19" s="4"/>
      <c r="Q19" s="234"/>
      <c r="R19" s="4"/>
      <c r="S19" s="36" t="str">
        <f>B293</f>
        <v/>
      </c>
      <c r="T19" s="238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ht="16" x14ac:dyDescent="0.2">
      <c r="A20" s="49">
        <v>3</v>
      </c>
      <c r="B20" s="198" t="s">
        <v>132</v>
      </c>
      <c r="C20" s="197" t="s">
        <v>132</v>
      </c>
      <c r="D20" s="196" t="s">
        <v>132</v>
      </c>
      <c r="E20" s="193"/>
      <c r="F20" s="229"/>
      <c r="G20" s="288"/>
      <c r="H20" s="190">
        <v>0</v>
      </c>
      <c r="I20" s="191">
        <v>1664.5</v>
      </c>
      <c r="J20" s="4"/>
      <c r="K20" s="173"/>
      <c r="O20" s="23"/>
      <c r="P20" s="4"/>
      <c r="Q20" s="234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ht="16" x14ac:dyDescent="0.2">
      <c r="A21" s="49">
        <v>4</v>
      </c>
      <c r="B21" s="198" t="s">
        <v>132</v>
      </c>
      <c r="C21" s="197" t="s">
        <v>132</v>
      </c>
      <c r="D21" s="196" t="s">
        <v>132</v>
      </c>
      <c r="E21" s="193"/>
      <c r="F21" s="229"/>
      <c r="H21" s="190">
        <v>1</v>
      </c>
      <c r="I21" s="191">
        <f>4600/5</f>
        <v>920</v>
      </c>
      <c r="K21" s="173"/>
      <c r="O21" s="23"/>
      <c r="P21" s="4"/>
      <c r="Q21" s="234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">
      <c r="A22" s="49">
        <v>5</v>
      </c>
      <c r="B22" s="198" t="s">
        <v>132</v>
      </c>
      <c r="C22" s="197" t="s">
        <v>132</v>
      </c>
      <c r="D22" s="196" t="s">
        <v>132</v>
      </c>
      <c r="E22" s="193"/>
      <c r="F22" s="229"/>
      <c r="H22" s="190">
        <v>2</v>
      </c>
      <c r="I22" s="191">
        <f>4600/5</f>
        <v>920</v>
      </c>
      <c r="K22" s="173"/>
      <c r="O22" s="23"/>
      <c r="P22" s="4"/>
      <c r="Q22" s="234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">
      <c r="A23" s="180">
        <f>'Données projet'!A36</f>
        <v>20</v>
      </c>
      <c r="B23" s="181">
        <f>'Données projet'!D36</f>
        <v>0</v>
      </c>
      <c r="C23" s="193">
        <f>40*'Données projet'!E36+19.4*('Données projet'!F36+'Données projet'!G36)+10*'Données projet'!G36</f>
        <v>0</v>
      </c>
      <c r="D23" s="182">
        <f>B23*C23</f>
        <v>0</v>
      </c>
      <c r="E23" s="193"/>
      <c r="F23" s="229"/>
      <c r="H23" s="190">
        <v>3</v>
      </c>
      <c r="I23" s="191">
        <f>4600/5</f>
        <v>920</v>
      </c>
      <c r="K23" s="207"/>
      <c r="L23" s="287" t="s">
        <v>260</v>
      </c>
      <c r="M23" s="287"/>
      <c r="N23" s="287"/>
      <c r="O23" s="23"/>
      <c r="P23" s="23"/>
      <c r="Q23" s="233"/>
      <c r="R23" s="23"/>
      <c r="S23" s="36" t="s">
        <v>264</v>
      </c>
      <c r="T23" s="300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-41945.186318382126</v>
      </c>
      <c r="U23" s="300"/>
      <c r="V23" s="300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">
      <c r="A24" s="180">
        <f>'Données projet'!A37</f>
        <v>25</v>
      </c>
      <c r="B24" s="181">
        <f>'Données projet'!D37</f>
        <v>0</v>
      </c>
      <c r="C24" s="193">
        <f>40*'Données projet'!E37+19.4*('Données projet'!F37+'Données projet'!G37)+10*'Données projet'!G37</f>
        <v>0</v>
      </c>
      <c r="D24" s="182">
        <f t="shared" ref="D24:D42" si="2">B24*C24</f>
        <v>0</v>
      </c>
      <c r="E24" s="193"/>
      <c r="F24" s="232"/>
      <c r="H24" s="190">
        <v>4</v>
      </c>
      <c r="I24" s="191">
        <f>4600/5</f>
        <v>920</v>
      </c>
      <c r="K24" s="207"/>
      <c r="O24" s="23"/>
      <c r="P24" s="23"/>
      <c r="Q24" s="233"/>
      <c r="R24" s="23"/>
      <c r="S24" s="36" t="s">
        <v>261</v>
      </c>
      <c r="T24" s="301">
        <f ca="1">'Scénario référence'!$B$8*$M$30*'Données projet'!$C$5+('Scénario référence'!B9+'Scénario référence'!B10+'Scénario référence'!F8+'Scénario référence'!F9)*$N$19/(1+M4)^N16*'Données projet'!$C$5</f>
        <v>320.40001860840357</v>
      </c>
      <c r="U24" s="301"/>
      <c r="V24" s="301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">
      <c r="A25" s="180">
        <f>'Données projet'!A38</f>
        <v>30</v>
      </c>
      <c r="B25" s="181">
        <f>'Données projet'!D38</f>
        <v>21</v>
      </c>
      <c r="C25" s="193">
        <f>40*'Données projet'!E38+19.4*('Données projet'!F38+'Données projet'!G38)+10*'Données projet'!G38</f>
        <v>0</v>
      </c>
      <c r="D25" s="182">
        <f t="shared" si="2"/>
        <v>0</v>
      </c>
      <c r="E25" s="193"/>
      <c r="F25" s="232"/>
      <c r="H25" s="190">
        <v>5</v>
      </c>
      <c r="I25" s="191">
        <f>4600/5</f>
        <v>920</v>
      </c>
      <c r="K25" s="207"/>
      <c r="L25" s="130" t="s">
        <v>285</v>
      </c>
      <c r="M25" s="130"/>
      <c r="N25" s="130"/>
      <c r="O25" s="130"/>
      <c r="P25" s="192">
        <v>0</v>
      </c>
      <c r="Q25" s="233"/>
      <c r="R25" s="23"/>
      <c r="S25" s="186" t="s">
        <v>266</v>
      </c>
      <c r="T25" s="302">
        <f ca="1">T23-T24</f>
        <v>-42265.586336990527</v>
      </c>
      <c r="U25" s="302"/>
      <c r="V25" s="302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">
      <c r="A26" s="180">
        <f>'Données projet'!A39</f>
        <v>35</v>
      </c>
      <c r="B26" s="181">
        <f>'Données projet'!D39</f>
        <v>21</v>
      </c>
      <c r="C26" s="193">
        <f>40*'Données projet'!E39+19.4*('Données projet'!F39+'Données projet'!G39)+10*'Données projet'!G39</f>
        <v>0</v>
      </c>
      <c r="D26" s="182">
        <f t="shared" si="2"/>
        <v>0</v>
      </c>
      <c r="E26" s="193"/>
      <c r="F26" s="232"/>
      <c r="G26" s="228"/>
      <c r="H26" s="190"/>
      <c r="I26" s="191"/>
      <c r="K26" s="207"/>
      <c r="L26" s="289" t="s">
        <v>258</v>
      </c>
      <c r="M26" s="290"/>
      <c r="N26" s="290"/>
      <c r="O26" s="290"/>
      <c r="P26" s="291"/>
      <c r="Q26" s="233"/>
      <c r="R26" s="23"/>
      <c r="S26" s="186" t="s">
        <v>265</v>
      </c>
      <c r="T26" s="299" t="str">
        <f ca="1">IF(T25&lt;0,"Votre projet est additionnel","Votre projet n'est pas additionnel")</f>
        <v>Votre projet est additionnel</v>
      </c>
      <c r="U26" s="299"/>
      <c r="V26" s="299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">
      <c r="A27" s="180">
        <f>'Données projet'!A40</f>
        <v>40</v>
      </c>
      <c r="B27" s="181">
        <f>'Données projet'!D40</f>
        <v>21</v>
      </c>
      <c r="C27" s="193">
        <f>40*'Données projet'!E40+19.4*('Données projet'!F40+'Données projet'!G40)+10*'Données projet'!G40</f>
        <v>8</v>
      </c>
      <c r="D27" s="182">
        <f t="shared" si="2"/>
        <v>168</v>
      </c>
      <c r="E27" s="193"/>
      <c r="F27" s="232"/>
      <c r="G27" s="228"/>
      <c r="H27" s="190"/>
      <c r="I27" s="191"/>
      <c r="K27" s="207"/>
      <c r="L27" s="292"/>
      <c r="M27" s="293"/>
      <c r="N27" s="293"/>
      <c r="O27" s="293"/>
      <c r="P27" s="294"/>
      <c r="Q27" s="233"/>
      <c r="R27" s="23"/>
      <c r="S27" s="298" t="s">
        <v>267</v>
      </c>
      <c r="T27" s="298"/>
      <c r="U27" s="298"/>
      <c r="V27" s="298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">
      <c r="A28" s="180">
        <f>'Données projet'!A41</f>
        <v>45</v>
      </c>
      <c r="B28" s="181">
        <f>'Données projet'!D41</f>
        <v>21</v>
      </c>
      <c r="C28" s="193">
        <f>40*'Données projet'!E41+19.4*('Données projet'!F41+'Données projet'!G41)+10*'Données projet'!G41</f>
        <v>8</v>
      </c>
      <c r="D28" s="182">
        <f t="shared" si="2"/>
        <v>168</v>
      </c>
      <c r="E28" s="193"/>
      <c r="F28" s="232"/>
      <c r="G28" s="204"/>
      <c r="H28" s="190"/>
      <c r="I28" s="191"/>
      <c r="K28" s="207"/>
      <c r="Q28" s="233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">
      <c r="A29" s="180">
        <f>'Données projet'!A42</f>
        <v>50</v>
      </c>
      <c r="B29" s="181">
        <f>'Données projet'!D42</f>
        <v>21</v>
      </c>
      <c r="C29" s="193">
        <f>40*'Données projet'!E42+19.4*('Données projet'!F42+'Données projet'!G42)+10*'Données projet'!G42</f>
        <v>12</v>
      </c>
      <c r="D29" s="182">
        <f t="shared" si="2"/>
        <v>252</v>
      </c>
      <c r="E29" s="193"/>
      <c r="F29" s="232"/>
      <c r="G29" s="202"/>
      <c r="H29" s="190"/>
      <c r="I29" s="191"/>
      <c r="K29" s="207"/>
      <c r="O29" s="23"/>
      <c r="P29" s="23"/>
      <c r="Q29" s="233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">
      <c r="A30" s="180">
        <f>'Données projet'!A43</f>
        <v>55</v>
      </c>
      <c r="B30" s="181">
        <f>'Données projet'!D43</f>
        <v>21</v>
      </c>
      <c r="C30" s="193">
        <f>40*'Données projet'!E43+19.4*('Données projet'!F43+'Données projet'!G43)+10*'Données projet'!G43</f>
        <v>12</v>
      </c>
      <c r="D30" s="182">
        <f t="shared" si="2"/>
        <v>252</v>
      </c>
      <c r="E30" s="193"/>
      <c r="F30" s="232"/>
      <c r="G30" s="202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4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">
      <c r="A31" s="180">
        <f>'Données projet'!A44</f>
        <v>60</v>
      </c>
      <c r="B31" s="181">
        <f>'Données projet'!D44</f>
        <v>21</v>
      </c>
      <c r="C31" s="193">
        <f>40*'Données projet'!E44+19.4*('Données projet'!F44+'Données projet'!G44)+10*'Données projet'!G44</f>
        <v>16</v>
      </c>
      <c r="D31" s="182">
        <f t="shared" si="2"/>
        <v>336</v>
      </c>
      <c r="E31" s="193"/>
      <c r="F31" s="232"/>
      <c r="G31" s="202"/>
      <c r="H31" s="190"/>
      <c r="I31" s="191"/>
      <c r="K31" s="173"/>
      <c r="Q31" s="233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">
      <c r="A32" s="180">
        <f>'Données projet'!A45</f>
        <v>65</v>
      </c>
      <c r="B32" s="181">
        <f>'Données projet'!D45</f>
        <v>21</v>
      </c>
      <c r="C32" s="193">
        <f>40*'Données projet'!E45+19.4*('Données projet'!F45+'Données projet'!G45)+10*'Données projet'!G45</f>
        <v>16</v>
      </c>
      <c r="D32" s="182">
        <f t="shared" si="2"/>
        <v>336</v>
      </c>
      <c r="E32" s="193"/>
      <c r="F32" s="232"/>
      <c r="G32" s="202"/>
      <c r="H32" s="190"/>
      <c r="I32" s="191"/>
      <c r="K32" s="173"/>
      <c r="N32" s="4"/>
      <c r="O32" s="85" t="s">
        <v>178</v>
      </c>
      <c r="P32" s="85" t="s">
        <v>252</v>
      </c>
      <c r="Q32" s="233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">
      <c r="A33" s="180">
        <f>'Données projet'!A46</f>
        <v>70</v>
      </c>
      <c r="B33" s="181">
        <f>'Données projet'!D46</f>
        <v>21</v>
      </c>
      <c r="C33" s="193">
        <f>40*'Données projet'!E46+19.4*('Données projet'!F46+'Données projet'!G46)+10*'Données projet'!G46</f>
        <v>20</v>
      </c>
      <c r="D33" s="182">
        <f t="shared" si="2"/>
        <v>420</v>
      </c>
      <c r="E33" s="193"/>
      <c r="F33" s="232"/>
      <c r="G33" s="202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3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">
      <c r="A34" s="180">
        <f>'Données projet'!A47</f>
        <v>75</v>
      </c>
      <c r="B34" s="181">
        <f>'Données projet'!D47</f>
        <v>21</v>
      </c>
      <c r="C34" s="193">
        <f>40*'Données projet'!E47+19.4*('Données projet'!F47+'Données projet'!G47)+10*'Données projet'!G47</f>
        <v>20</v>
      </c>
      <c r="D34" s="182">
        <f t="shared" si="2"/>
        <v>420</v>
      </c>
      <c r="E34" s="193"/>
      <c r="F34" s="232"/>
      <c r="G34" s="202"/>
      <c r="H34" s="190"/>
      <c r="I34" s="191"/>
      <c r="K34" s="173"/>
      <c r="L34" s="98"/>
      <c r="M34" s="98"/>
      <c r="N34" s="249"/>
      <c r="O34" s="194">
        <f>IF(O33+1&lt;=MIN('Données projet'!$E$9:$E$18),O33+1,"STOP")</f>
        <v>1</v>
      </c>
      <c r="P34" s="185">
        <f t="shared" si="3"/>
        <v>0</v>
      </c>
      <c r="Q34" s="233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">
      <c r="A35" s="180">
        <f>'Données projet'!A48</f>
        <v>80</v>
      </c>
      <c r="B35" s="181">
        <f>'Données projet'!D48</f>
        <v>21</v>
      </c>
      <c r="C35" s="193">
        <f>40*'Données projet'!E48+19.4*('Données projet'!F48+'Données projet'!G48)+10*'Données projet'!G48</f>
        <v>24</v>
      </c>
      <c r="D35" s="182">
        <f t="shared" si="2"/>
        <v>504</v>
      </c>
      <c r="E35" s="193"/>
      <c r="F35" s="232"/>
      <c r="G35" s="202"/>
      <c r="H35" s="190"/>
      <c r="I35" s="191"/>
      <c r="K35" s="173"/>
      <c r="L35" s="98"/>
      <c r="M35" s="98"/>
      <c r="N35" s="249"/>
      <c r="O35" s="194">
        <f>IF(O34+1&lt;=MIN('Données projet'!$E$9:$E$18),O34+1,"STOP")</f>
        <v>2</v>
      </c>
      <c r="P35" s="185">
        <f t="shared" si="3"/>
        <v>0</v>
      </c>
      <c r="Q35" s="233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">
      <c r="A36" s="180">
        <f>'Données projet'!A49</f>
        <v>85</v>
      </c>
      <c r="B36" s="181">
        <f>'Données projet'!D49</f>
        <v>21</v>
      </c>
      <c r="C36" s="193">
        <f>40*'Données projet'!E49+19.4*('Données projet'!F49+'Données projet'!G49)+10*'Données projet'!G49</f>
        <v>24</v>
      </c>
      <c r="D36" s="182">
        <f t="shared" si="2"/>
        <v>504</v>
      </c>
      <c r="E36" s="193"/>
      <c r="F36" s="232"/>
      <c r="G36" s="202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3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">
      <c r="A37" s="180">
        <f>'Données projet'!A50</f>
        <v>90</v>
      </c>
      <c r="B37" s="181">
        <f>'Données projet'!D50</f>
        <v>21</v>
      </c>
      <c r="C37" s="193">
        <f>40*'Données projet'!E50+19.4*('Données projet'!F50+'Données projet'!G50)+10*'Données projet'!G50</f>
        <v>28</v>
      </c>
      <c r="D37" s="182">
        <f t="shared" si="2"/>
        <v>588</v>
      </c>
      <c r="E37" s="193"/>
      <c r="F37" s="232"/>
      <c r="G37" s="202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3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">
      <c r="A38" s="180">
        <f>'Données projet'!A51</f>
        <v>100</v>
      </c>
      <c r="B38" s="181">
        <f>'Données projet'!D51</f>
        <v>21</v>
      </c>
      <c r="C38" s="193">
        <f>40*'Données projet'!E51+19.4*('Données projet'!F51+'Données projet'!G51)+10*'Données projet'!G51</f>
        <v>28</v>
      </c>
      <c r="D38" s="182">
        <f t="shared" si="2"/>
        <v>588</v>
      </c>
      <c r="E38" s="193"/>
      <c r="F38" s="232"/>
      <c r="G38" s="202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3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">
      <c r="A39" s="180">
        <f>'Données projet'!A52</f>
        <v>110</v>
      </c>
      <c r="B39" s="181">
        <f>'Données projet'!D52</f>
        <v>19</v>
      </c>
      <c r="C39" s="193">
        <f>40*'Données projet'!E52+19.4*('Données projet'!F52+'Données projet'!G52)+10*'Données projet'!G52</f>
        <v>32</v>
      </c>
      <c r="D39" s="182">
        <f t="shared" si="2"/>
        <v>608</v>
      </c>
      <c r="E39" s="193"/>
      <c r="F39" s="232"/>
      <c r="G39" s="202"/>
      <c r="H39" s="190"/>
      <c r="I39" s="191"/>
      <c r="K39" s="207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3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">
      <c r="A40" s="180">
        <f>'Données projet'!A53</f>
        <v>120</v>
      </c>
      <c r="B40" s="181">
        <f>'Données projet'!D53</f>
        <v>285</v>
      </c>
      <c r="C40" s="193">
        <f>40*'Données projet'!E53+19.4*('Données projet'!F53+'Données projet'!G53)+10*'Données projet'!G53</f>
        <v>32</v>
      </c>
      <c r="D40" s="182">
        <f t="shared" si="2"/>
        <v>9120</v>
      </c>
      <c r="E40" s="193"/>
      <c r="F40" s="232"/>
      <c r="G40" s="202"/>
      <c r="H40" s="190"/>
      <c r="I40" s="191"/>
      <c r="K40" s="207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3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">
      <c r="A41" s="180">
        <f>'Données projet'!A54</f>
        <v>0</v>
      </c>
      <c r="B41" s="181">
        <f>'Données projet'!D54</f>
        <v>0</v>
      </c>
      <c r="C41" s="193">
        <f>40*'Données projet'!E54+19.4*('Données projet'!F54+'Données projet'!G54)+10*'Données projet'!G54</f>
        <v>0</v>
      </c>
      <c r="D41" s="182">
        <f t="shared" si="2"/>
        <v>0</v>
      </c>
      <c r="E41" s="193"/>
      <c r="F41" s="232"/>
      <c r="G41" s="202"/>
      <c r="H41" s="190"/>
      <c r="I41" s="191"/>
      <c r="K41" s="207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3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">
      <c r="A42" s="180">
        <f>'Données projet'!A55</f>
        <v>0</v>
      </c>
      <c r="B42" s="181">
        <f>'Données projet'!D55</f>
        <v>0</v>
      </c>
      <c r="C42" s="193">
        <f>30*'Données projet'!E55+19.4*('Données projet'!F55+'Données projet'!G55)+10*'Données projet'!G55</f>
        <v>0</v>
      </c>
      <c r="D42" s="182">
        <f t="shared" si="2"/>
        <v>0</v>
      </c>
      <c r="E42" s="193"/>
      <c r="F42" s="232"/>
      <c r="G42" s="202"/>
      <c r="H42" s="190"/>
      <c r="I42" s="191"/>
      <c r="K42" s="207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3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">
      <c r="A43" s="187"/>
      <c r="B43" s="187"/>
      <c r="C43" s="187"/>
      <c r="D43" s="226"/>
      <c r="E43" s="226"/>
      <c r="F43" s="237"/>
      <c r="G43" s="202"/>
      <c r="H43" s="190"/>
      <c r="I43" s="191"/>
      <c r="K43" s="207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">
      <c r="A44" s="4"/>
      <c r="B44" s="4"/>
      <c r="C44" s="4"/>
      <c r="D44" s="4"/>
      <c r="E44" s="4"/>
      <c r="F44" s="229"/>
      <c r="G44" s="202"/>
      <c r="H44" s="190"/>
      <c r="I44" s="191"/>
      <c r="K44" s="207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">
      <c r="A45" s="46" t="s">
        <v>166</v>
      </c>
      <c r="B45" s="174" t="str">
        <f>IF('Données projet'!$B$10="","",'Données projet'!$B$10)</f>
        <v>Chêne pubescent</v>
      </c>
      <c r="C45" s="4"/>
      <c r="D45" s="4"/>
      <c r="E45" s="4"/>
      <c r="F45" s="229"/>
      <c r="G45" s="202"/>
      <c r="H45" s="190"/>
      <c r="I45" s="191"/>
      <c r="J45" s="23"/>
      <c r="K45" s="207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">
      <c r="A46" s="4"/>
      <c r="B46" s="4"/>
      <c r="C46" s="4"/>
      <c r="D46" s="4"/>
      <c r="E46" s="4"/>
      <c r="F46" s="229"/>
      <c r="G46" s="202"/>
      <c r="H46" s="190"/>
      <c r="I46" s="191"/>
      <c r="J46" s="23"/>
      <c r="K46" s="207"/>
      <c r="L46" s="203"/>
      <c r="M46" s="203"/>
      <c r="N46" s="203"/>
      <c r="O46" s="194">
        <f>IF(O45+1&lt;=MIN('Données projet'!$E$9:$E$18),O45+1,"STOP")</f>
        <v>13</v>
      </c>
      <c r="P46" s="188">
        <f t="shared" si="3"/>
        <v>0</v>
      </c>
      <c r="Q46" s="23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0"/>
      <c r="G47" s="202"/>
      <c r="H47" s="190"/>
      <c r="I47" s="191"/>
      <c r="J47" s="23"/>
      <c r="K47" s="207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ht="16" x14ac:dyDescent="0.2">
      <c r="A48" s="49">
        <v>0</v>
      </c>
      <c r="B48" s="198" t="s">
        <v>132</v>
      </c>
      <c r="C48" s="197" t="s">
        <v>132</v>
      </c>
      <c r="D48" s="196" t="s">
        <v>132</v>
      </c>
      <c r="E48" s="193">
        <v>5241.5</v>
      </c>
      <c r="F48" s="230"/>
      <c r="G48" s="202"/>
      <c r="H48" s="190"/>
      <c r="I48" s="191"/>
      <c r="J48" s="23"/>
      <c r="K48" s="207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2">
      <c r="A49" s="49">
        <v>1</v>
      </c>
      <c r="B49" s="198" t="s">
        <v>132</v>
      </c>
      <c r="C49" s="197" t="s">
        <v>132</v>
      </c>
      <c r="D49" s="196" t="s">
        <v>132</v>
      </c>
      <c r="E49" s="193"/>
      <c r="F49" s="230"/>
      <c r="G49" s="203"/>
      <c r="H49" s="190"/>
      <c r="I49" s="191"/>
      <c r="J49" s="203"/>
      <c r="K49" s="209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5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ht="16" x14ac:dyDescent="0.2">
      <c r="A50" s="49">
        <v>2</v>
      </c>
      <c r="B50" s="198" t="s">
        <v>132</v>
      </c>
      <c r="C50" s="197" t="s">
        <v>132</v>
      </c>
      <c r="D50" s="196" t="s">
        <v>132</v>
      </c>
      <c r="E50" s="193"/>
      <c r="F50" s="230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ht="16" x14ac:dyDescent="0.2">
      <c r="A51" s="49">
        <v>3</v>
      </c>
      <c r="B51" s="198" t="s">
        <v>132</v>
      </c>
      <c r="C51" s="197" t="s">
        <v>132</v>
      </c>
      <c r="D51" s="196" t="s">
        <v>132</v>
      </c>
      <c r="E51" s="193"/>
      <c r="F51" s="230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ht="16" x14ac:dyDescent="0.2">
      <c r="A52" s="49">
        <v>4</v>
      </c>
      <c r="B52" s="198" t="s">
        <v>132</v>
      </c>
      <c r="C52" s="197" t="s">
        <v>132</v>
      </c>
      <c r="D52" s="196" t="s">
        <v>132</v>
      </c>
      <c r="E52" s="193"/>
      <c r="F52" s="230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">
      <c r="A53" s="49">
        <v>5</v>
      </c>
      <c r="B53" s="198" t="s">
        <v>132</v>
      </c>
      <c r="C53" s="197" t="s">
        <v>132</v>
      </c>
      <c r="D53" s="196" t="s">
        <v>132</v>
      </c>
      <c r="E53" s="193"/>
      <c r="F53" s="230"/>
      <c r="G53" s="204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">
      <c r="A54" s="180">
        <f>'Données projet'!A62</f>
        <v>20</v>
      </c>
      <c r="B54" s="181">
        <f>'Données projet'!D62</f>
        <v>0</v>
      </c>
      <c r="C54" s="191">
        <f>40*'Données projet'!E62+19.3*('Données projet'!F62+'Données projet'!G62)+10*'Données projet'!H62</f>
        <v>10</v>
      </c>
      <c r="D54" s="179">
        <f>B54*C54</f>
        <v>0</v>
      </c>
      <c r="E54" s="193"/>
      <c r="F54" s="231"/>
      <c r="G54" s="204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">
      <c r="A55" s="180">
        <f>'Données projet'!A63</f>
        <v>25</v>
      </c>
      <c r="B55" s="181">
        <f>'Données projet'!D63</f>
        <v>0</v>
      </c>
      <c r="C55" s="191">
        <f>40*'Données projet'!E63+13.8*('Données projet'!F63+'Données projet'!G63)+10*'Données projet'!H63</f>
        <v>10</v>
      </c>
      <c r="D55" s="179">
        <f t="shared" ref="D55:D73" si="4">B55*C55</f>
        <v>0</v>
      </c>
      <c r="E55" s="193"/>
      <c r="F55" s="231"/>
      <c r="G55" s="204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">
      <c r="A56" s="180">
        <f>'Données projet'!A64</f>
        <v>30</v>
      </c>
      <c r="B56" s="181">
        <f>'Données projet'!D64</f>
        <v>28</v>
      </c>
      <c r="C56" s="191">
        <f>40*'Données projet'!E64+13.8*('Données projet'!F64+'Données projet'!G64)+10*'Données projet'!H64</f>
        <v>10</v>
      </c>
      <c r="D56" s="179">
        <f t="shared" si="4"/>
        <v>280</v>
      </c>
      <c r="E56" s="193"/>
      <c r="F56" s="231"/>
      <c r="G56" s="204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">
      <c r="A57" s="180">
        <f>'Données projet'!A65</f>
        <v>35</v>
      </c>
      <c r="B57" s="181">
        <f>'Données projet'!D65</f>
        <v>28</v>
      </c>
      <c r="C57" s="191">
        <f>40*'Données projet'!E65+13.8*('Données projet'!F65+'Données projet'!G65)+10*'Données projet'!H65</f>
        <v>10</v>
      </c>
      <c r="D57" s="179">
        <f t="shared" si="4"/>
        <v>280</v>
      </c>
      <c r="E57" s="193"/>
      <c r="F57" s="231"/>
      <c r="G57" s="204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">
      <c r="A58" s="180">
        <f>'Données projet'!A66</f>
        <v>40</v>
      </c>
      <c r="B58" s="181">
        <f>'Données projet'!D66</f>
        <v>28</v>
      </c>
      <c r="C58" s="191">
        <f>40*'Données projet'!E66+13.8*('Données projet'!F66+'Données projet'!G66)+10*'Données projet'!H66</f>
        <v>16</v>
      </c>
      <c r="D58" s="179">
        <f t="shared" si="4"/>
        <v>448</v>
      </c>
      <c r="E58" s="193"/>
      <c r="F58" s="231"/>
      <c r="G58" s="204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">
      <c r="A59" s="180">
        <f>'Données projet'!A67</f>
        <v>45</v>
      </c>
      <c r="B59" s="181">
        <f>'Données projet'!D67</f>
        <v>28</v>
      </c>
      <c r="C59" s="191">
        <f>17.5*'Données projet'!E67+13.8*('Données projet'!F67+'Données projet'!G67)+10*'Données projet'!H67</f>
        <v>11.5</v>
      </c>
      <c r="D59" s="179">
        <f t="shared" si="4"/>
        <v>322</v>
      </c>
      <c r="E59" s="193"/>
      <c r="F59" s="231"/>
      <c r="G59" s="204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">
      <c r="A60" s="180">
        <f>'Données projet'!A68</f>
        <v>50</v>
      </c>
      <c r="B60" s="181">
        <f>'Données projet'!D68</f>
        <v>28</v>
      </c>
      <c r="C60" s="191">
        <f>17.5*'Données projet'!E68+13.8*('Données projet'!F68+'Données projet'!G68)+10*'Données projet'!H68</f>
        <v>12.25</v>
      </c>
      <c r="D60" s="179">
        <f t="shared" si="4"/>
        <v>343</v>
      </c>
      <c r="E60" s="193"/>
      <c r="F60" s="231"/>
      <c r="G60" s="205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">
      <c r="A61" s="180">
        <f>'Données projet'!A69</f>
        <v>55</v>
      </c>
      <c r="B61" s="181">
        <f>'Données projet'!D69</f>
        <v>28</v>
      </c>
      <c r="C61" s="191">
        <f>17.5*'Données projet'!E69+13.8*('Données projet'!F69+'Données projet'!G69)+10*'Données projet'!H69</f>
        <v>12.25</v>
      </c>
      <c r="D61" s="179">
        <f t="shared" si="4"/>
        <v>343</v>
      </c>
      <c r="E61" s="193"/>
      <c r="F61" s="231"/>
      <c r="G61" s="205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">
      <c r="A62" s="180">
        <f>'Données projet'!A70</f>
        <v>60</v>
      </c>
      <c r="B62" s="181">
        <f>'Données projet'!D70</f>
        <v>28</v>
      </c>
      <c r="C62" s="191">
        <f>17.5*'Données projet'!E70+13.8*('Données projet'!F70+'Données projet'!G70)+10*'Données projet'!H70</f>
        <v>13</v>
      </c>
      <c r="D62" s="179">
        <f t="shared" si="4"/>
        <v>364</v>
      </c>
      <c r="E62" s="193"/>
      <c r="F62" s="231"/>
      <c r="G62" s="205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">
      <c r="A63" s="180">
        <f>'Données projet'!A71</f>
        <v>65</v>
      </c>
      <c r="B63" s="181">
        <f>'Données projet'!D71</f>
        <v>28</v>
      </c>
      <c r="C63" s="191">
        <f>17.5*'Données projet'!E71+13.8*('Données projet'!F71+'Données projet'!G71)+10*'Données projet'!H71</f>
        <v>13</v>
      </c>
      <c r="D63" s="179">
        <f t="shared" si="4"/>
        <v>364</v>
      </c>
      <c r="E63" s="193"/>
      <c r="F63" s="231"/>
      <c r="G63" s="205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">
      <c r="A64" s="180">
        <f>'Données projet'!A72</f>
        <v>70</v>
      </c>
      <c r="B64" s="181">
        <f>'Données projet'!D72</f>
        <v>28</v>
      </c>
      <c r="C64" s="191">
        <f>17.5*'Données projet'!E72+13.8*('Données projet'!F72+'Données projet'!G72)+10*'Données projet'!H72</f>
        <v>13.75</v>
      </c>
      <c r="D64" s="179">
        <f t="shared" si="4"/>
        <v>385</v>
      </c>
      <c r="E64" s="193"/>
      <c r="F64" s="231"/>
      <c r="G64" s="205"/>
      <c r="H64" s="190"/>
      <c r="I64" s="191"/>
      <c r="J64" s="206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">
      <c r="A65" s="180">
        <f>'Données projet'!A73</f>
        <v>75</v>
      </c>
      <c r="B65" s="181">
        <f>'Données projet'!D73</f>
        <v>28</v>
      </c>
      <c r="C65" s="191">
        <f>17.5*'Données projet'!E73+13.8*('Données projet'!F73+'Données projet'!G73)+10*'Données projet'!H73</f>
        <v>13.75</v>
      </c>
      <c r="D65" s="179">
        <f t="shared" si="4"/>
        <v>385</v>
      </c>
      <c r="E65" s="193"/>
      <c r="F65" s="231"/>
      <c r="G65" s="205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">
      <c r="A66" s="180">
        <f>'Données projet'!A74</f>
        <v>80</v>
      </c>
      <c r="B66" s="181">
        <f>'Données projet'!D74</f>
        <v>28</v>
      </c>
      <c r="C66" s="191">
        <f>17.5*'Données projet'!E74+13.8*('Données projet'!F74+'Données projet'!G74)+10*'Données projet'!H74</f>
        <v>14.5</v>
      </c>
      <c r="D66" s="179">
        <f t="shared" si="4"/>
        <v>406</v>
      </c>
      <c r="E66" s="193"/>
      <c r="F66" s="231"/>
      <c r="G66" s="205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">
      <c r="A67" s="180">
        <f>'Données projet'!A75</f>
        <v>90</v>
      </c>
      <c r="B67" s="181">
        <f>'Données projet'!D75</f>
        <v>56</v>
      </c>
      <c r="C67" s="191">
        <f>17.5*'Données projet'!E75+13.8*('Données projet'!F75+'Données projet'!G75)+10*'Données projet'!H75</f>
        <v>15.25</v>
      </c>
      <c r="D67" s="179">
        <f t="shared" si="4"/>
        <v>854</v>
      </c>
      <c r="E67" s="193"/>
      <c r="F67" s="231"/>
      <c r="G67" s="205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">
      <c r="A68" s="180">
        <f>'Données projet'!A76</f>
        <v>100</v>
      </c>
      <c r="B68" s="181">
        <f>'Données projet'!D76</f>
        <v>56</v>
      </c>
      <c r="C68" s="191">
        <f>17.5*'Données projet'!E76+13.8*('Données projet'!F76+'Données projet'!G76)+10*'Données projet'!H76</f>
        <v>16</v>
      </c>
      <c r="D68" s="179">
        <f t="shared" si="4"/>
        <v>896</v>
      </c>
      <c r="E68" s="193"/>
      <c r="F68" s="231"/>
      <c r="G68" s="205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">
      <c r="A69" s="180">
        <f>'Données projet'!A77</f>
        <v>110</v>
      </c>
      <c r="B69" s="181">
        <f>'Données projet'!D77</f>
        <v>51</v>
      </c>
      <c r="C69" s="191">
        <f>17.5*'Données projet'!E77+13.8*('Données projet'!F77+'Données projet'!G77)+10*'Données projet'!H77</f>
        <v>16</v>
      </c>
      <c r="D69" s="179">
        <f t="shared" si="4"/>
        <v>816</v>
      </c>
      <c r="E69" s="193"/>
      <c r="F69" s="231"/>
      <c r="G69" s="205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">
      <c r="A70" s="180">
        <f>'Données projet'!A78</f>
        <v>120</v>
      </c>
      <c r="B70" s="181">
        <f>'Données projet'!D78</f>
        <v>352</v>
      </c>
      <c r="C70" s="191">
        <f>17.5*'Données projet'!E78+13.8*('Données projet'!F78+'Données projet'!G78)+10*'Données projet'!H78</f>
        <v>16.75</v>
      </c>
      <c r="D70" s="179">
        <f t="shared" si="4"/>
        <v>5896</v>
      </c>
      <c r="E70" s="193"/>
      <c r="F70" s="231"/>
      <c r="G70" s="205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">
      <c r="A71" s="180">
        <f>'Données projet'!A79</f>
        <v>0</v>
      </c>
      <c r="B71" s="181">
        <f>'Données projet'!D79</f>
        <v>0</v>
      </c>
      <c r="C71" s="191">
        <f>17.5*'Données projet'!E79+13.8*('Données projet'!F79+'Données projet'!G79)+10*'Données projet'!H79</f>
        <v>0</v>
      </c>
      <c r="D71" s="179">
        <f t="shared" si="4"/>
        <v>0</v>
      </c>
      <c r="E71" s="193"/>
      <c r="F71" s="231"/>
      <c r="G71" s="205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">
      <c r="A72" s="180">
        <f>'Données projet'!A80</f>
        <v>0</v>
      </c>
      <c r="B72" s="181">
        <f>'Données projet'!D80</f>
        <v>0</v>
      </c>
      <c r="C72" s="191">
        <f>17.5*'Données projet'!E80+13.8*('Données projet'!F80+'Données projet'!G80)+10*'Données projet'!H80</f>
        <v>0</v>
      </c>
      <c r="D72" s="179">
        <f t="shared" si="4"/>
        <v>0</v>
      </c>
      <c r="E72" s="193"/>
      <c r="F72" s="231"/>
      <c r="G72" s="205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">
      <c r="A73" s="180">
        <f>'Données projet'!A81</f>
        <v>0</v>
      </c>
      <c r="B73" s="181">
        <f>'Données projet'!D81</f>
        <v>0</v>
      </c>
      <c r="C73" s="191">
        <f>17.5*'Données projet'!E81+13.8*('Données projet'!F81+'Données projet'!G81)+10*'Données projet'!H81</f>
        <v>0</v>
      </c>
      <c r="D73" s="179">
        <f t="shared" si="4"/>
        <v>0</v>
      </c>
      <c r="E73" s="193"/>
      <c r="F73" s="231"/>
      <c r="G73" s="205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">
      <c r="A74" s="4"/>
      <c r="B74" s="4"/>
      <c r="C74" s="4"/>
      <c r="D74" s="4"/>
      <c r="E74" s="4"/>
      <c r="F74" s="229"/>
      <c r="G74" s="205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">
      <c r="A75" s="4"/>
      <c r="B75" s="4"/>
      <c r="C75" s="4"/>
      <c r="D75" s="4"/>
      <c r="E75" s="4"/>
      <c r="F75" s="229"/>
      <c r="G75" s="205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">
      <c r="A76" s="46" t="s">
        <v>167</v>
      </c>
      <c r="B76" s="174" t="str">
        <f>IF('Données projet'!B11="","",'Données projet'!B11)</f>
        <v/>
      </c>
      <c r="C76" s="4"/>
      <c r="D76" s="4"/>
      <c r="E76" s="4"/>
      <c r="F76" s="229"/>
      <c r="G76" s="205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">
      <c r="A77" s="4"/>
      <c r="B77" s="4"/>
      <c r="C77" s="4"/>
      <c r="D77" s="4"/>
      <c r="E77" s="4"/>
      <c r="F77" s="229"/>
      <c r="G77" s="205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ht="16" x14ac:dyDescent="0.2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0"/>
      <c r="G78" s="205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ht="16" x14ac:dyDescent="0.2">
      <c r="A79" s="49">
        <v>0</v>
      </c>
      <c r="B79" s="198" t="s">
        <v>132</v>
      </c>
      <c r="C79" s="197" t="s">
        <v>132</v>
      </c>
      <c r="D79" s="196" t="s">
        <v>132</v>
      </c>
      <c r="E79" s="193"/>
      <c r="F79" s="230"/>
      <c r="G79" s="205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ht="16" x14ac:dyDescent="0.2">
      <c r="A80" s="49">
        <v>1</v>
      </c>
      <c r="B80" s="198" t="s">
        <v>132</v>
      </c>
      <c r="C80" s="197" t="s">
        <v>132</v>
      </c>
      <c r="D80" s="196" t="s">
        <v>132</v>
      </c>
      <c r="E80" s="193"/>
      <c r="F80" s="230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ht="16" x14ac:dyDescent="0.2">
      <c r="A81" s="49">
        <v>2</v>
      </c>
      <c r="B81" s="198" t="s">
        <v>132</v>
      </c>
      <c r="C81" s="197" t="s">
        <v>132</v>
      </c>
      <c r="D81" s="196" t="s">
        <v>132</v>
      </c>
      <c r="E81" s="193"/>
      <c r="F81" s="230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ht="16" x14ac:dyDescent="0.2">
      <c r="A82" s="49">
        <v>3</v>
      </c>
      <c r="B82" s="198" t="s">
        <v>132</v>
      </c>
      <c r="C82" s="197" t="s">
        <v>132</v>
      </c>
      <c r="D82" s="196" t="s">
        <v>132</v>
      </c>
      <c r="E82" s="193"/>
      <c r="F82" s="230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ht="16" x14ac:dyDescent="0.2">
      <c r="A83" s="49">
        <v>4</v>
      </c>
      <c r="B83" s="198" t="s">
        <v>132</v>
      </c>
      <c r="C83" s="197" t="s">
        <v>132</v>
      </c>
      <c r="D83" s="196" t="s">
        <v>132</v>
      </c>
      <c r="E83" s="193"/>
      <c r="F83" s="230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">
      <c r="A84" s="49">
        <v>5</v>
      </c>
      <c r="B84" s="198" t="s">
        <v>132</v>
      </c>
      <c r="C84" s="197" t="s">
        <v>132</v>
      </c>
      <c r="D84" s="196" t="s">
        <v>132</v>
      </c>
      <c r="E84" s="193"/>
      <c r="F84" s="230"/>
      <c r="G84" s="204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">
      <c r="A85" s="180">
        <f>'Données projet'!A88</f>
        <v>0</v>
      </c>
      <c r="B85" s="181">
        <f>'Données projet'!D88</f>
        <v>0</v>
      </c>
      <c r="C85" s="191">
        <f>42*'Données projet'!E88+19.4*('Données projet'!F88+'Données projet'!G88)+10*'Données projet'!H88</f>
        <v>0</v>
      </c>
      <c r="D85" s="179">
        <f>B85*C85</f>
        <v>0</v>
      </c>
      <c r="E85" s="193"/>
      <c r="F85" s="231"/>
      <c r="G85" s="204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">
      <c r="A86" s="180">
        <f>'Données projet'!A89</f>
        <v>0</v>
      </c>
      <c r="B86" s="181">
        <f>'Données projet'!D89</f>
        <v>0</v>
      </c>
      <c r="C86" s="191">
        <f>42*'Données projet'!E89+19.4*('Données projet'!F89+'Données projet'!G89)+10*'Données projet'!H89</f>
        <v>0</v>
      </c>
      <c r="D86" s="179">
        <f t="shared" ref="D86:D104" si="6">B86*C86</f>
        <v>0</v>
      </c>
      <c r="E86" s="193"/>
      <c r="F86" s="231"/>
      <c r="G86" s="204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">
      <c r="A87" s="180">
        <f>'Données projet'!A90</f>
        <v>0</v>
      </c>
      <c r="B87" s="181">
        <f>'Données projet'!D90</f>
        <v>0</v>
      </c>
      <c r="C87" s="191">
        <f>42*'Données projet'!E90+19.4*('Données projet'!F90+'Données projet'!G90)+10*'Données projet'!H90</f>
        <v>0</v>
      </c>
      <c r="D87" s="179">
        <f t="shared" si="6"/>
        <v>0</v>
      </c>
      <c r="E87" s="193"/>
      <c r="F87" s="231"/>
      <c r="G87" s="204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">
      <c r="A88" s="180">
        <f>'Données projet'!A91</f>
        <v>0</v>
      </c>
      <c r="B88" s="181">
        <f>'Données projet'!D91</f>
        <v>0</v>
      </c>
      <c r="C88" s="191">
        <f>42*'Données projet'!E91+19.4*('Données projet'!F91+'Données projet'!G91)+10*'Données projet'!H91</f>
        <v>0</v>
      </c>
      <c r="D88" s="179">
        <f t="shared" si="6"/>
        <v>0</v>
      </c>
      <c r="E88" s="193"/>
      <c r="F88" s="231"/>
      <c r="G88" s="204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">
      <c r="A89" s="180">
        <f>'Données projet'!A92</f>
        <v>0</v>
      </c>
      <c r="B89" s="181">
        <f>'Données projet'!D92</f>
        <v>0</v>
      </c>
      <c r="C89" s="191">
        <f>42*'Données projet'!E92+19.4*('Données projet'!F92+'Données projet'!G92)+10*'Données projet'!H92</f>
        <v>0</v>
      </c>
      <c r="D89" s="179">
        <f t="shared" si="6"/>
        <v>0</v>
      </c>
      <c r="E89" s="193"/>
      <c r="F89" s="231"/>
      <c r="G89" s="204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">
      <c r="A90" s="180">
        <f>'Données projet'!A93</f>
        <v>0</v>
      </c>
      <c r="B90" s="181">
        <f>'Données projet'!D93</f>
        <v>0</v>
      </c>
      <c r="C90" s="191">
        <f>42*'Données projet'!E93+19.4*('Données projet'!F93+'Données projet'!G93)+10*'Données projet'!H93</f>
        <v>0</v>
      </c>
      <c r="D90" s="179">
        <f t="shared" si="6"/>
        <v>0</v>
      </c>
      <c r="E90" s="193"/>
      <c r="F90" s="231"/>
      <c r="G90" s="204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">
      <c r="A91" s="180">
        <f>'Données projet'!A94</f>
        <v>0</v>
      </c>
      <c r="B91" s="181">
        <f>'Données projet'!D94</f>
        <v>0</v>
      </c>
      <c r="C91" s="191">
        <f>42*'Données projet'!E94+19.4*('Données projet'!F94+'Données projet'!G94)+10*'Données projet'!H94</f>
        <v>0</v>
      </c>
      <c r="D91" s="179">
        <f t="shared" si="6"/>
        <v>0</v>
      </c>
      <c r="E91" s="193"/>
      <c r="F91" s="231"/>
      <c r="G91" s="205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">
      <c r="A92" s="180">
        <f>'Données projet'!A95</f>
        <v>0</v>
      </c>
      <c r="B92" s="181">
        <f>'Données projet'!D95</f>
        <v>0</v>
      </c>
      <c r="C92" s="191">
        <f>42*'Données projet'!E95+19.4*('Données projet'!F95+'Données projet'!G95)+10*'Données projet'!H95</f>
        <v>0</v>
      </c>
      <c r="D92" s="179">
        <f t="shared" si="6"/>
        <v>0</v>
      </c>
      <c r="E92" s="193"/>
      <c r="F92" s="231"/>
      <c r="G92" s="205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">
      <c r="A93" s="180">
        <f>'Données projet'!A96</f>
        <v>0</v>
      </c>
      <c r="B93" s="181">
        <f>'Données projet'!D96</f>
        <v>0</v>
      </c>
      <c r="C93" s="191">
        <f>42*'Données projet'!E96+19.4*('Données projet'!F96+'Données projet'!G96)+10*'Données projet'!H96</f>
        <v>0</v>
      </c>
      <c r="D93" s="179">
        <f t="shared" si="6"/>
        <v>0</v>
      </c>
      <c r="E93" s="193"/>
      <c r="F93" s="231"/>
      <c r="G93" s="205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">
      <c r="A94" s="180">
        <f>'Données projet'!A97</f>
        <v>0</v>
      </c>
      <c r="B94" s="181">
        <f>'Données projet'!D97</f>
        <v>0</v>
      </c>
      <c r="C94" s="191">
        <f>42*'Données projet'!E97+19.4*('Données projet'!F97+'Données projet'!G97)+10*'Données projet'!H97</f>
        <v>0</v>
      </c>
      <c r="D94" s="179">
        <f t="shared" si="6"/>
        <v>0</v>
      </c>
      <c r="E94" s="193"/>
      <c r="F94" s="231"/>
      <c r="G94" s="205"/>
      <c r="H94" s="190"/>
      <c r="I94" s="191"/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5"/>
        <v>0</v>
      </c>
      <c r="Q94" s="23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">
      <c r="A95" s="180">
        <f>'Données projet'!A98</f>
        <v>0</v>
      </c>
      <c r="B95" s="181">
        <f>'Données projet'!D98</f>
        <v>0</v>
      </c>
      <c r="C95" s="191">
        <f>42*'Données projet'!E98+19.4*('Données projet'!F98+'Données projet'!G98)+10*'Données projet'!H98</f>
        <v>0</v>
      </c>
      <c r="D95" s="179">
        <f t="shared" si="6"/>
        <v>0</v>
      </c>
      <c r="E95" s="193"/>
      <c r="F95" s="231"/>
      <c r="G95" s="205"/>
      <c r="H95" s="190"/>
      <c r="I95" s="191"/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5"/>
        <v>0</v>
      </c>
      <c r="Q95" s="23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">
      <c r="A96" s="180">
        <f>'Données projet'!A99</f>
        <v>0</v>
      </c>
      <c r="B96" s="181">
        <f>'Données projet'!D99</f>
        <v>0</v>
      </c>
      <c r="C96" s="191">
        <f>42*'Données projet'!E99+19.4*('Données projet'!F99+'Données projet'!G99)+10*'Données projet'!H99</f>
        <v>0</v>
      </c>
      <c r="D96" s="179">
        <f t="shared" si="6"/>
        <v>0</v>
      </c>
      <c r="E96" s="193"/>
      <c r="F96" s="231"/>
      <c r="G96" s="205"/>
      <c r="H96" s="190"/>
      <c r="I96" s="191"/>
      <c r="J96" s="4"/>
      <c r="K96" s="173"/>
      <c r="L96" s="4"/>
      <c r="M96" s="4"/>
      <c r="N96" s="4"/>
      <c r="O96" s="194">
        <f>IF(O95+1&lt;=MIN('Données projet'!$E$9:$E$18),O95+1,"STOP")</f>
        <v>63</v>
      </c>
      <c r="P96" s="185">
        <f t="shared" si="5"/>
        <v>0</v>
      </c>
      <c r="Q96" s="23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">
      <c r="A97" s="180">
        <f>'Données projet'!A100</f>
        <v>0</v>
      </c>
      <c r="B97" s="181">
        <f>'Données projet'!D100</f>
        <v>0</v>
      </c>
      <c r="C97" s="191">
        <f>42*'Données projet'!E100+19.4*('Données projet'!F100+'Données projet'!G100)+10*'Données projet'!H100</f>
        <v>0</v>
      </c>
      <c r="D97" s="179">
        <f t="shared" si="6"/>
        <v>0</v>
      </c>
      <c r="E97" s="193"/>
      <c r="F97" s="231"/>
      <c r="G97" s="205"/>
      <c r="H97" s="190"/>
      <c r="I97" s="191"/>
      <c r="J97" s="4"/>
      <c r="K97" s="173"/>
      <c r="L97" s="4"/>
      <c r="M97" s="4"/>
      <c r="N97" s="4"/>
      <c r="O97" s="194">
        <f>IF(O96+1&lt;=MIN('Données projet'!$E$9:$E$18),O96+1,"STOP")</f>
        <v>64</v>
      </c>
      <c r="P97" s="185">
        <f t="shared" ref="P97:P128" si="7">$P$25/(1+$M$4)^O97</f>
        <v>0</v>
      </c>
      <c r="Q97" s="23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">
      <c r="A98" s="180">
        <f>'Données projet'!A101</f>
        <v>0</v>
      </c>
      <c r="B98" s="181">
        <f>'Données projet'!D101</f>
        <v>0</v>
      </c>
      <c r="C98" s="191">
        <f>42*'Données projet'!E101+19.4*('Données projet'!F101+'Données projet'!G101)+10*'Données projet'!H101</f>
        <v>0</v>
      </c>
      <c r="D98" s="179">
        <f t="shared" si="6"/>
        <v>0</v>
      </c>
      <c r="E98" s="193"/>
      <c r="F98" s="231"/>
      <c r="G98" s="205"/>
      <c r="H98" s="190"/>
      <c r="I98" s="191"/>
      <c r="J98" s="4"/>
      <c r="K98" s="173"/>
      <c r="L98" s="4"/>
      <c r="M98" s="4"/>
      <c r="N98" s="4"/>
      <c r="O98" s="194">
        <f>IF(O97+1&lt;=MIN('Données projet'!$E$9:$E$18),O97+1,"STOP")</f>
        <v>65</v>
      </c>
      <c r="P98" s="185">
        <f t="shared" si="7"/>
        <v>0</v>
      </c>
      <c r="Q98" s="23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">
      <c r="A99" s="180">
        <f>'Données projet'!A102</f>
        <v>0</v>
      </c>
      <c r="B99" s="181">
        <f>'Données projet'!D102</f>
        <v>0</v>
      </c>
      <c r="C99" s="191">
        <f>42*'Données projet'!E102+19.4*('Données projet'!F102+'Données projet'!G102)+10*'Données projet'!H102</f>
        <v>0</v>
      </c>
      <c r="D99" s="179">
        <f t="shared" si="6"/>
        <v>0</v>
      </c>
      <c r="E99" s="193"/>
      <c r="F99" s="231"/>
      <c r="G99" s="205"/>
      <c r="H99" s="190"/>
      <c r="I99" s="191"/>
      <c r="J99" s="4"/>
      <c r="K99" s="173"/>
      <c r="L99" s="4"/>
      <c r="M99" s="4"/>
      <c r="N99" s="4"/>
      <c r="O99" s="194">
        <f>IF(O98+1&lt;=MIN('Données projet'!$E$9:$E$18),O98+1,"STOP")</f>
        <v>66</v>
      </c>
      <c r="P99" s="185">
        <f t="shared" si="7"/>
        <v>0</v>
      </c>
      <c r="Q99" s="23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">
      <c r="A100" s="180">
        <f>'Données projet'!A103</f>
        <v>0</v>
      </c>
      <c r="B100" s="181">
        <f>'Données projet'!D103</f>
        <v>0</v>
      </c>
      <c r="C100" s="191">
        <f>42*'Données projet'!E103+19.4*('Données projet'!F103+'Données projet'!G103)+10*'Données projet'!H103</f>
        <v>0</v>
      </c>
      <c r="D100" s="179">
        <f t="shared" si="6"/>
        <v>0</v>
      </c>
      <c r="E100" s="193"/>
      <c r="F100" s="231"/>
      <c r="G100" s="205"/>
      <c r="H100" s="190"/>
      <c r="I100" s="191"/>
      <c r="J100" s="4"/>
      <c r="K100" s="173"/>
      <c r="L100" s="4"/>
      <c r="M100" s="4"/>
      <c r="N100" s="4"/>
      <c r="O100" s="194">
        <f>IF(O99+1&lt;=MIN('Données projet'!$E$9:$E$18),O99+1,"STOP")</f>
        <v>67</v>
      </c>
      <c r="P100" s="185">
        <f t="shared" si="7"/>
        <v>0</v>
      </c>
      <c r="Q100" s="23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">
      <c r="A101" s="180">
        <f>'Données projet'!A104</f>
        <v>0</v>
      </c>
      <c r="B101" s="181">
        <f>'Données projet'!D104</f>
        <v>0</v>
      </c>
      <c r="C101" s="191">
        <f>42*'Données projet'!E104+19.4*('Données projet'!F104+'Données projet'!G104)+10*'Données projet'!H104</f>
        <v>0</v>
      </c>
      <c r="D101" s="179">
        <f t="shared" si="6"/>
        <v>0</v>
      </c>
      <c r="E101" s="193"/>
      <c r="F101" s="231"/>
      <c r="G101" s="205"/>
      <c r="H101" s="190"/>
      <c r="I101" s="191"/>
      <c r="J101" s="4"/>
      <c r="K101" s="173"/>
      <c r="L101" s="4"/>
      <c r="M101" s="4"/>
      <c r="N101" s="4"/>
      <c r="O101" s="194">
        <f>IF(O100+1&lt;=MIN('Données projet'!$E$9:$E$18),O100+1,"STOP")</f>
        <v>68</v>
      </c>
      <c r="P101" s="185">
        <f t="shared" si="7"/>
        <v>0</v>
      </c>
      <c r="Q101" s="23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">
      <c r="A102" s="180">
        <f>'Données projet'!A105</f>
        <v>0</v>
      </c>
      <c r="B102" s="181">
        <f>'Données projet'!D105</f>
        <v>0</v>
      </c>
      <c r="C102" s="191">
        <f>42*'Données projet'!E105+19.4*('Données projet'!F105+'Données projet'!G105)+10*'Données projet'!H105</f>
        <v>0</v>
      </c>
      <c r="D102" s="179">
        <f t="shared" si="6"/>
        <v>0</v>
      </c>
      <c r="E102" s="193"/>
      <c r="F102" s="231"/>
      <c r="G102" s="205"/>
      <c r="H102" s="190"/>
      <c r="I102" s="191"/>
      <c r="J102" s="4"/>
      <c r="K102" s="173"/>
      <c r="L102" s="4"/>
      <c r="M102" s="4"/>
      <c r="N102" s="4"/>
      <c r="O102" s="194">
        <f>IF(O101+1&lt;=MIN('Données projet'!$E$9:$E$18),O101+1,"STOP")</f>
        <v>69</v>
      </c>
      <c r="P102" s="185">
        <f t="shared" si="7"/>
        <v>0</v>
      </c>
      <c r="Q102" s="23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">
      <c r="A103" s="180">
        <f>'Données projet'!A106</f>
        <v>0</v>
      </c>
      <c r="B103" s="181">
        <f>'Données projet'!D106</f>
        <v>0</v>
      </c>
      <c r="C103" s="191">
        <f>42*'Données projet'!E106+19.4*('Données projet'!F106+'Données projet'!G106)+10*'Données projet'!H106</f>
        <v>0</v>
      </c>
      <c r="D103" s="179">
        <f t="shared" si="6"/>
        <v>0</v>
      </c>
      <c r="E103" s="193"/>
      <c r="F103" s="231"/>
      <c r="G103" s="205"/>
      <c r="H103" s="190"/>
      <c r="I103" s="191"/>
      <c r="J103" s="4"/>
      <c r="K103" s="173"/>
      <c r="L103" s="4"/>
      <c r="M103" s="4"/>
      <c r="N103" s="4"/>
      <c r="O103" s="194">
        <f>IF(O102+1&lt;=MIN('Données projet'!$E$9:$E$18),O102+1,"STOP")</f>
        <v>70</v>
      </c>
      <c r="P103" s="185">
        <f t="shared" si="7"/>
        <v>0</v>
      </c>
      <c r="Q103" s="23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">
      <c r="A104" s="180">
        <f>'Données projet'!A107</f>
        <v>0</v>
      </c>
      <c r="B104" s="181">
        <f>'Données projet'!D107</f>
        <v>0</v>
      </c>
      <c r="C104" s="191">
        <f>42*'Données projet'!E107+19.4*('Données projet'!F107+'Données projet'!G107)+10*'Données projet'!H107</f>
        <v>0</v>
      </c>
      <c r="D104" s="179">
        <f t="shared" si="6"/>
        <v>0</v>
      </c>
      <c r="E104" s="193"/>
      <c r="F104" s="231"/>
      <c r="G104" s="205"/>
      <c r="H104" s="190"/>
      <c r="I104" s="191"/>
      <c r="J104" s="4"/>
      <c r="K104" s="173"/>
      <c r="L104" s="4"/>
      <c r="M104" s="4"/>
      <c r="N104" s="4"/>
      <c r="O104" s="194">
        <f>IF(O103+1&lt;=MIN('Données projet'!$E$9:$E$18),O103+1,"STOP")</f>
        <v>71</v>
      </c>
      <c r="P104" s="185">
        <f t="shared" si="7"/>
        <v>0</v>
      </c>
      <c r="Q104" s="23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">
      <c r="A105" s="4"/>
      <c r="B105" s="4"/>
      <c r="C105" s="4"/>
      <c r="D105" s="4"/>
      <c r="E105" s="4"/>
      <c r="F105" s="229"/>
      <c r="G105" s="205"/>
      <c r="H105" s="190"/>
      <c r="I105" s="191"/>
      <c r="J105" s="4"/>
      <c r="K105" s="173"/>
      <c r="L105" s="4"/>
      <c r="M105" s="4"/>
      <c r="N105" s="4"/>
      <c r="O105" s="194">
        <f>IF(O104+1&lt;=MIN('Données projet'!$E$9:$E$18),O104+1,"STOP")</f>
        <v>72</v>
      </c>
      <c r="P105" s="185">
        <f t="shared" si="7"/>
        <v>0</v>
      </c>
      <c r="Q105" s="23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">
      <c r="A106" s="4"/>
      <c r="B106" s="4"/>
      <c r="C106" s="4"/>
      <c r="D106" s="4"/>
      <c r="E106" s="4"/>
      <c r="F106" s="229"/>
      <c r="G106" s="205"/>
      <c r="H106" s="190"/>
      <c r="I106" s="191"/>
      <c r="J106" s="4"/>
      <c r="K106" s="173"/>
      <c r="L106" s="4"/>
      <c r="M106" s="4"/>
      <c r="N106" s="4"/>
      <c r="O106" s="194">
        <f>IF(O105+1&lt;=MIN('Données projet'!$E$9:$E$18),O105+1,"STOP")</f>
        <v>73</v>
      </c>
      <c r="P106" s="185">
        <f t="shared" si="7"/>
        <v>0</v>
      </c>
      <c r="Q106" s="23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29"/>
      <c r="G107" s="205"/>
      <c r="H107" s="190"/>
      <c r="I107" s="191"/>
      <c r="J107" s="4"/>
      <c r="K107" s="173"/>
      <c r="L107" s="4"/>
      <c r="M107" s="4"/>
      <c r="N107" s="4"/>
      <c r="O107" s="194">
        <f>IF(O106+1&lt;=MIN('Données projet'!$E$9:$E$18),O106+1,"STOP")</f>
        <v>74</v>
      </c>
      <c r="P107" s="185">
        <f t="shared" si="7"/>
        <v>0</v>
      </c>
      <c r="Q107" s="23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">
      <c r="A108" s="4"/>
      <c r="B108" s="4"/>
      <c r="C108" s="4"/>
      <c r="D108" s="4"/>
      <c r="E108" s="4"/>
      <c r="F108" s="229"/>
      <c r="G108" s="205"/>
      <c r="H108" s="190"/>
      <c r="I108" s="191"/>
      <c r="J108" s="4"/>
      <c r="K108" s="173"/>
      <c r="L108" s="4"/>
      <c r="M108" s="4"/>
      <c r="N108" s="4"/>
      <c r="O108" s="194">
        <f>IF(O107+1&lt;=MIN('Données projet'!$E$9:$E$18),O107+1,"STOP")</f>
        <v>75</v>
      </c>
      <c r="P108" s="185">
        <f t="shared" si="7"/>
        <v>0</v>
      </c>
      <c r="Q108" s="23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ht="16" x14ac:dyDescent="0.2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0"/>
      <c r="G109" s="205"/>
      <c r="H109" s="190"/>
      <c r="I109" s="191"/>
      <c r="J109" s="4"/>
      <c r="K109" s="173"/>
      <c r="L109" s="4"/>
      <c r="M109" s="4"/>
      <c r="N109" s="4"/>
      <c r="O109" s="194">
        <f>IF(O108+1&lt;=MIN('Données projet'!$E$9:$E$18),O108+1,"STOP")</f>
        <v>76</v>
      </c>
      <c r="P109" s="185">
        <f t="shared" si="7"/>
        <v>0</v>
      </c>
      <c r="Q109" s="23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ht="16" x14ac:dyDescent="0.2">
      <c r="A110" s="49">
        <v>0</v>
      </c>
      <c r="B110" s="198" t="s">
        <v>132</v>
      </c>
      <c r="C110" s="197" t="s">
        <v>132</v>
      </c>
      <c r="D110" s="196" t="s">
        <v>132</v>
      </c>
      <c r="E110" s="193"/>
      <c r="F110" s="230"/>
      <c r="G110" s="205"/>
      <c r="H110" s="190"/>
      <c r="I110" s="191"/>
      <c r="J110" s="4"/>
      <c r="K110" s="173"/>
      <c r="L110" s="4"/>
      <c r="M110" s="4"/>
      <c r="N110" s="4"/>
      <c r="O110" s="194">
        <f>IF(O109+1&lt;=MIN('Données projet'!$E$9:$E$18),O109+1,"STOP")</f>
        <v>77</v>
      </c>
      <c r="P110" s="185">
        <f t="shared" si="7"/>
        <v>0</v>
      </c>
      <c r="Q110" s="23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ht="16" x14ac:dyDescent="0.2">
      <c r="A111" s="49">
        <v>1</v>
      </c>
      <c r="B111" s="198" t="s">
        <v>132</v>
      </c>
      <c r="C111" s="197" t="s">
        <v>132</v>
      </c>
      <c r="D111" s="196" t="s">
        <v>132</v>
      </c>
      <c r="E111" s="193"/>
      <c r="F111" s="230"/>
      <c r="G111" s="23"/>
      <c r="H111" s="190"/>
      <c r="I111" s="191"/>
      <c r="J111" s="4"/>
      <c r="K111" s="173"/>
      <c r="L111" s="4"/>
      <c r="M111" s="4"/>
      <c r="N111" s="4"/>
      <c r="O111" s="194">
        <f>IF(O110+1&lt;=MIN('Données projet'!$E$9:$E$18),O110+1,"STOP")</f>
        <v>78</v>
      </c>
      <c r="P111" s="185">
        <f t="shared" si="7"/>
        <v>0</v>
      </c>
      <c r="Q111" s="23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ht="16" x14ac:dyDescent="0.2">
      <c r="A112" s="49">
        <v>2</v>
      </c>
      <c r="B112" s="198" t="s">
        <v>132</v>
      </c>
      <c r="C112" s="197" t="s">
        <v>132</v>
      </c>
      <c r="D112" s="196" t="s">
        <v>132</v>
      </c>
      <c r="E112" s="193"/>
      <c r="F112" s="230"/>
      <c r="G112" s="23"/>
      <c r="H112" s="190"/>
      <c r="I112" s="191"/>
      <c r="J112" s="4"/>
      <c r="K112" s="173"/>
      <c r="L112" s="4"/>
      <c r="M112" s="4"/>
      <c r="N112" s="4"/>
      <c r="O112" s="194">
        <f>IF(O111+1&lt;=MIN('Données projet'!$E$9:$E$18),O111+1,"STOP")</f>
        <v>79</v>
      </c>
      <c r="P112" s="185">
        <f t="shared" si="7"/>
        <v>0</v>
      </c>
      <c r="Q112" s="23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ht="16" x14ac:dyDescent="0.2">
      <c r="A113" s="49">
        <v>3</v>
      </c>
      <c r="B113" s="198" t="s">
        <v>132</v>
      </c>
      <c r="C113" s="197" t="s">
        <v>132</v>
      </c>
      <c r="D113" s="196" t="s">
        <v>132</v>
      </c>
      <c r="E113" s="193"/>
      <c r="F113" s="230"/>
      <c r="G113" s="23"/>
      <c r="H113" s="190"/>
      <c r="I113" s="191"/>
      <c r="J113" s="4"/>
      <c r="K113" s="173"/>
      <c r="L113" s="4"/>
      <c r="M113" s="4"/>
      <c r="N113" s="4"/>
      <c r="O113" s="194">
        <f>IF(O112+1&lt;=MIN('Données projet'!$E$9:$E$18),O112+1,"STOP")</f>
        <v>80</v>
      </c>
      <c r="P113" s="185">
        <f t="shared" si="7"/>
        <v>0</v>
      </c>
      <c r="Q113" s="23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ht="16" x14ac:dyDescent="0.2">
      <c r="A114" s="49">
        <v>4</v>
      </c>
      <c r="B114" s="198" t="s">
        <v>132</v>
      </c>
      <c r="C114" s="197" t="s">
        <v>132</v>
      </c>
      <c r="D114" s="196" t="s">
        <v>132</v>
      </c>
      <c r="E114" s="193"/>
      <c r="F114" s="230"/>
      <c r="G114" s="23"/>
      <c r="H114" s="190"/>
      <c r="I114" s="191"/>
      <c r="J114" s="4"/>
      <c r="K114" s="173"/>
      <c r="L114" s="4"/>
      <c r="M114" s="4"/>
      <c r="N114" s="4"/>
      <c r="O114" s="194">
        <f>IF(O113+1&lt;=MIN('Données projet'!$E$9:$E$18),O113+1,"STOP")</f>
        <v>81</v>
      </c>
      <c r="P114" s="185">
        <f t="shared" si="7"/>
        <v>0</v>
      </c>
      <c r="Q114" s="23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">
      <c r="A115" s="49">
        <v>5</v>
      </c>
      <c r="B115" s="198" t="s">
        <v>132</v>
      </c>
      <c r="C115" s="197" t="s">
        <v>132</v>
      </c>
      <c r="D115" s="196" t="s">
        <v>132</v>
      </c>
      <c r="E115" s="193"/>
      <c r="F115" s="230"/>
      <c r="G115" s="204"/>
      <c r="H115" s="190"/>
      <c r="I115" s="191"/>
      <c r="J115" s="4"/>
      <c r="K115" s="173"/>
      <c r="L115" s="4"/>
      <c r="M115" s="4"/>
      <c r="N115" s="4"/>
      <c r="O115" s="194">
        <f>IF(O114+1&lt;=MIN('Données projet'!$E$9:$E$18),O114+1,"STOP")</f>
        <v>82</v>
      </c>
      <c r="P115" s="185">
        <f t="shared" si="7"/>
        <v>0</v>
      </c>
      <c r="Q115" s="23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">
      <c r="A116" s="180">
        <f>'Données projet'!A114</f>
        <v>0</v>
      </c>
      <c r="B116" s="181">
        <f>'Données projet'!D114</f>
        <v>0</v>
      </c>
      <c r="C116" s="191">
        <f>42*'Données projet'!E114+19.5*('Données projet'!F114+'Données projet'!G114)+10*'Données projet'!H114</f>
        <v>0</v>
      </c>
      <c r="D116" s="179">
        <f>B116*C116</f>
        <v>0</v>
      </c>
      <c r="E116" s="193"/>
      <c r="F116" s="231"/>
      <c r="G116" s="204"/>
      <c r="H116" s="190"/>
      <c r="I116" s="191"/>
      <c r="J116" s="4"/>
      <c r="K116" s="173"/>
      <c r="L116" s="4"/>
      <c r="M116" s="4"/>
      <c r="N116" s="4"/>
      <c r="O116" s="194">
        <f>IF(O115+1&lt;=MIN('Données projet'!$E$9:$E$18),O115+1,"STOP")</f>
        <v>83</v>
      </c>
      <c r="P116" s="185">
        <f t="shared" si="7"/>
        <v>0</v>
      </c>
      <c r="Q116" s="23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">
      <c r="A117" s="180">
        <f>'Données projet'!A115</f>
        <v>0</v>
      </c>
      <c r="B117" s="181">
        <f>'Données projet'!D115</f>
        <v>0</v>
      </c>
      <c r="C117" s="191">
        <f>42*'Données projet'!E115+19.5*('Données projet'!F115+'Données projet'!G115)+10*'Données projet'!H115</f>
        <v>0</v>
      </c>
      <c r="D117" s="179">
        <f t="shared" ref="D117:D135" si="8">B117*C117</f>
        <v>0</v>
      </c>
      <c r="E117" s="193"/>
      <c r="F117" s="231"/>
      <c r="G117" s="204"/>
      <c r="H117" s="190"/>
      <c r="I117" s="191"/>
      <c r="J117" s="4"/>
      <c r="K117" s="173"/>
      <c r="L117" s="4"/>
      <c r="M117" s="4"/>
      <c r="N117" s="4"/>
      <c r="O117" s="194">
        <f>IF(O116+1&lt;=MIN('Données projet'!$E$9:$E$18),O116+1,"STOP")</f>
        <v>84</v>
      </c>
      <c r="P117" s="185">
        <f t="shared" si="7"/>
        <v>0</v>
      </c>
      <c r="Q117" s="23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">
      <c r="A118" s="180">
        <f>'Données projet'!A116</f>
        <v>0</v>
      </c>
      <c r="B118" s="181">
        <f>'Données projet'!D116</f>
        <v>0</v>
      </c>
      <c r="C118" s="191">
        <f>42*'Données projet'!E116+19.5*('Données projet'!F116+'Données projet'!G116)+10*'Données projet'!H116</f>
        <v>0</v>
      </c>
      <c r="D118" s="179">
        <f t="shared" si="8"/>
        <v>0</v>
      </c>
      <c r="E118" s="193"/>
      <c r="F118" s="231"/>
      <c r="G118" s="204"/>
      <c r="H118" s="190"/>
      <c r="I118" s="191"/>
      <c r="J118" s="4"/>
      <c r="K118" s="173"/>
      <c r="L118" s="4"/>
      <c r="M118" s="4"/>
      <c r="N118" s="4"/>
      <c r="O118" s="194">
        <f>IF(O117+1&lt;=MIN('Données projet'!$E$9:$E$18),O117+1,"STOP")</f>
        <v>85</v>
      </c>
      <c r="P118" s="185">
        <f t="shared" si="7"/>
        <v>0</v>
      </c>
      <c r="Q118" s="23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">
      <c r="A119" s="180">
        <f>'Données projet'!A117</f>
        <v>0</v>
      </c>
      <c r="B119" s="181">
        <f>'Données projet'!D117</f>
        <v>0</v>
      </c>
      <c r="C119" s="191">
        <f>42*'Données projet'!E117+19.5*('Données projet'!F117+'Données projet'!G117)+10*'Données projet'!H117</f>
        <v>0</v>
      </c>
      <c r="D119" s="179">
        <f t="shared" si="8"/>
        <v>0</v>
      </c>
      <c r="E119" s="193"/>
      <c r="F119" s="231"/>
      <c r="G119" s="204"/>
      <c r="H119" s="190"/>
      <c r="I119" s="191"/>
      <c r="J119" s="4"/>
      <c r="K119" s="173"/>
      <c r="L119" s="4"/>
      <c r="M119" s="4"/>
      <c r="N119" s="4"/>
      <c r="O119" s="194">
        <f>IF(O118+1&lt;=MIN('Données projet'!$E$9:$E$18),O118+1,"STOP")</f>
        <v>86</v>
      </c>
      <c r="P119" s="185">
        <f t="shared" si="7"/>
        <v>0</v>
      </c>
      <c r="Q119" s="23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">
      <c r="A120" s="180">
        <f>'Données projet'!A118</f>
        <v>0</v>
      </c>
      <c r="B120" s="181">
        <f>'Données projet'!D118</f>
        <v>0</v>
      </c>
      <c r="C120" s="191">
        <f>42*'Données projet'!E118+19.5*('Données projet'!F118+'Données projet'!G118)+10*'Données projet'!H118</f>
        <v>0</v>
      </c>
      <c r="D120" s="179">
        <f t="shared" si="8"/>
        <v>0</v>
      </c>
      <c r="E120" s="193"/>
      <c r="F120" s="231"/>
      <c r="G120" s="204"/>
      <c r="H120" s="190"/>
      <c r="I120" s="191"/>
      <c r="J120" s="4"/>
      <c r="K120" s="173"/>
      <c r="L120" s="4"/>
      <c r="M120" s="4"/>
      <c r="N120" s="4"/>
      <c r="O120" s="194">
        <f>IF(O119+1&lt;=MIN('Données projet'!$E$9:$E$18),O119+1,"STOP")</f>
        <v>87</v>
      </c>
      <c r="P120" s="185">
        <f t="shared" si="7"/>
        <v>0</v>
      </c>
      <c r="Q120" s="23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">
      <c r="A121" s="180">
        <f>'Données projet'!A119</f>
        <v>0</v>
      </c>
      <c r="B121" s="181">
        <f>'Données projet'!D119</f>
        <v>0</v>
      </c>
      <c r="C121" s="191">
        <f>42*'Données projet'!E119+19.5*('Données projet'!F119+'Données projet'!G119)+10*'Données projet'!H119</f>
        <v>0</v>
      </c>
      <c r="D121" s="179">
        <f t="shared" si="8"/>
        <v>0</v>
      </c>
      <c r="E121" s="193"/>
      <c r="F121" s="231"/>
      <c r="G121" s="204"/>
      <c r="H121" s="190"/>
      <c r="I121" s="191"/>
      <c r="J121" s="4"/>
      <c r="K121" s="173"/>
      <c r="L121" s="4"/>
      <c r="M121" s="4"/>
      <c r="N121" s="4"/>
      <c r="O121" s="194">
        <f>IF(O120+1&lt;=MIN('Données projet'!$E$9:$E$18),O120+1,"STOP")</f>
        <v>88</v>
      </c>
      <c r="P121" s="185">
        <f t="shared" si="7"/>
        <v>0</v>
      </c>
      <c r="Q121" s="23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">
      <c r="A122" s="180">
        <f>'Données projet'!A120</f>
        <v>0</v>
      </c>
      <c r="B122" s="181">
        <f>'Données projet'!D120</f>
        <v>0</v>
      </c>
      <c r="C122" s="191">
        <f>42*'Données projet'!E120+19.5*('Données projet'!F120+'Données projet'!G120)+10*'Données projet'!H120</f>
        <v>0</v>
      </c>
      <c r="D122" s="179">
        <f t="shared" si="8"/>
        <v>0</v>
      </c>
      <c r="E122" s="193"/>
      <c r="F122" s="231"/>
      <c r="G122" s="205"/>
      <c r="H122" s="190"/>
      <c r="I122" s="191"/>
      <c r="J122" s="4"/>
      <c r="K122" s="173"/>
      <c r="L122" s="4"/>
      <c r="M122" s="4"/>
      <c r="N122" s="4"/>
      <c r="O122" s="194">
        <f>IF(O121+1&lt;=MIN('Données projet'!$E$9:$E$18),O121+1,"STOP")</f>
        <v>89</v>
      </c>
      <c r="P122" s="185">
        <f t="shared" si="7"/>
        <v>0</v>
      </c>
      <c r="Q122" s="23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">
      <c r="A123" s="180">
        <f>'Données projet'!A121</f>
        <v>0</v>
      </c>
      <c r="B123" s="181">
        <f>'Données projet'!D121</f>
        <v>0</v>
      </c>
      <c r="C123" s="191">
        <f>42*'Données projet'!E121+19.5*('Données projet'!F121+'Données projet'!G121)+10*'Données projet'!H121</f>
        <v>0</v>
      </c>
      <c r="D123" s="179">
        <f t="shared" si="8"/>
        <v>0</v>
      </c>
      <c r="E123" s="193"/>
      <c r="F123" s="231"/>
      <c r="G123" s="205"/>
      <c r="H123" s="190"/>
      <c r="I123" s="191"/>
      <c r="J123" s="4"/>
      <c r="K123" s="173"/>
      <c r="L123" s="4"/>
      <c r="M123" s="4"/>
      <c r="N123" s="4"/>
      <c r="O123" s="194">
        <f>IF(O122+1&lt;=MIN('Données projet'!$E$9:$E$18),O122+1,"STOP")</f>
        <v>90</v>
      </c>
      <c r="P123" s="185">
        <f t="shared" si="7"/>
        <v>0</v>
      </c>
      <c r="Q123" s="23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">
      <c r="A124" s="180">
        <f>'Données projet'!A122</f>
        <v>0</v>
      </c>
      <c r="B124" s="181">
        <f>'Données projet'!D122</f>
        <v>0</v>
      </c>
      <c r="C124" s="191">
        <f>42*'Données projet'!E122+19.5*('Données projet'!F122+'Données projet'!G122)+10*'Données projet'!H122</f>
        <v>0</v>
      </c>
      <c r="D124" s="179">
        <f t="shared" si="8"/>
        <v>0</v>
      </c>
      <c r="E124" s="193"/>
      <c r="F124" s="231"/>
      <c r="G124" s="205"/>
      <c r="H124" s="190"/>
      <c r="I124" s="191"/>
      <c r="J124" s="4"/>
      <c r="K124" s="173"/>
      <c r="L124" s="4"/>
      <c r="M124" s="4"/>
      <c r="N124" s="4"/>
      <c r="O124" s="194">
        <f>IF(O123+1&lt;=MIN('Données projet'!$E$9:$E$18),O123+1,"STOP")</f>
        <v>91</v>
      </c>
      <c r="P124" s="185">
        <f t="shared" si="7"/>
        <v>0</v>
      </c>
      <c r="Q124" s="23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">
      <c r="A125" s="180">
        <f>'Données projet'!A123</f>
        <v>0</v>
      </c>
      <c r="B125" s="181">
        <f>'Données projet'!D123</f>
        <v>0</v>
      </c>
      <c r="C125" s="191">
        <f>42*'Données projet'!E123+19.5*('Données projet'!F123+'Données projet'!G123)+10*'Données projet'!H123</f>
        <v>0</v>
      </c>
      <c r="D125" s="179">
        <f t="shared" si="8"/>
        <v>0</v>
      </c>
      <c r="E125" s="193"/>
      <c r="F125" s="231"/>
      <c r="G125" s="205"/>
      <c r="H125" s="190"/>
      <c r="I125" s="191"/>
      <c r="J125" s="4"/>
      <c r="K125" s="173"/>
      <c r="L125" s="4"/>
      <c r="M125" s="4"/>
      <c r="N125" s="4"/>
      <c r="O125" s="194">
        <f>IF(O124+1&lt;=MIN('Données projet'!$E$9:$E$18),O124+1,"STOP")</f>
        <v>92</v>
      </c>
      <c r="P125" s="185">
        <f t="shared" si="7"/>
        <v>0</v>
      </c>
      <c r="Q125" s="23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">
      <c r="A126" s="180">
        <f>'Données projet'!A124</f>
        <v>0</v>
      </c>
      <c r="B126" s="181">
        <f>'Données projet'!D124</f>
        <v>0</v>
      </c>
      <c r="C126" s="191">
        <f>42*'Données projet'!E124+19.5*('Données projet'!F124+'Données projet'!G124)+10*'Données projet'!H124</f>
        <v>0</v>
      </c>
      <c r="D126" s="179">
        <f t="shared" si="8"/>
        <v>0</v>
      </c>
      <c r="E126" s="193"/>
      <c r="F126" s="231"/>
      <c r="G126" s="205"/>
      <c r="H126" s="190"/>
      <c r="I126" s="191"/>
      <c r="J126" s="4"/>
      <c r="K126" s="173"/>
      <c r="L126" s="4"/>
      <c r="M126" s="4"/>
      <c r="N126" s="4"/>
      <c r="O126" s="194">
        <f>IF(O125+1&lt;=MIN('Données projet'!$E$9:$E$18),O125+1,"STOP")</f>
        <v>93</v>
      </c>
      <c r="P126" s="185">
        <f t="shared" si="7"/>
        <v>0</v>
      </c>
      <c r="Q126" s="23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">
      <c r="A127" s="180">
        <f>'Données projet'!A125</f>
        <v>0</v>
      </c>
      <c r="B127" s="181">
        <f>'Données projet'!D125</f>
        <v>0</v>
      </c>
      <c r="C127" s="191">
        <f>42*'Données projet'!E125+19.5*('Données projet'!F125+'Données projet'!G125)+10*'Données projet'!H125</f>
        <v>0</v>
      </c>
      <c r="D127" s="179">
        <f t="shared" si="8"/>
        <v>0</v>
      </c>
      <c r="E127" s="193"/>
      <c r="F127" s="231"/>
      <c r="G127" s="205"/>
      <c r="H127" s="190"/>
      <c r="I127" s="191"/>
      <c r="J127" s="4"/>
      <c r="K127" s="173"/>
      <c r="L127" s="4"/>
      <c r="M127" s="4"/>
      <c r="N127" s="4"/>
      <c r="O127" s="194">
        <f>IF(O126+1&lt;=MIN('Données projet'!$E$9:$E$18),O126+1,"STOP")</f>
        <v>94</v>
      </c>
      <c r="P127" s="185">
        <f t="shared" si="7"/>
        <v>0</v>
      </c>
      <c r="Q127" s="23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">
      <c r="A128" s="180">
        <f>'Données projet'!A126</f>
        <v>0</v>
      </c>
      <c r="B128" s="181">
        <f>'Données projet'!D126</f>
        <v>0</v>
      </c>
      <c r="C128" s="191">
        <f>42*'Données projet'!E126+19.5*('Données projet'!F126+'Données projet'!G126)+10*'Données projet'!H126</f>
        <v>0</v>
      </c>
      <c r="D128" s="179">
        <f t="shared" si="8"/>
        <v>0</v>
      </c>
      <c r="E128" s="193"/>
      <c r="F128" s="231"/>
      <c r="G128" s="205"/>
      <c r="H128" s="190"/>
      <c r="I128" s="191"/>
      <c r="J128" s="4"/>
      <c r="K128" s="173"/>
      <c r="L128" s="4"/>
      <c r="M128" s="4"/>
      <c r="N128" s="4"/>
      <c r="O128" s="194">
        <f>IF(O127+1&lt;=MIN('Données projet'!$E$9:$E$18),O127+1,"STOP")</f>
        <v>95</v>
      </c>
      <c r="P128" s="185">
        <f t="shared" si="7"/>
        <v>0</v>
      </c>
      <c r="Q128" s="23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">
      <c r="A129" s="180">
        <f>'Données projet'!A127</f>
        <v>0</v>
      </c>
      <c r="B129" s="181">
        <f>'Données projet'!D127</f>
        <v>0</v>
      </c>
      <c r="C129" s="191">
        <f>42*'Données projet'!E127+19.5*('Données projet'!F127+'Données projet'!G127)+10*'Données projet'!H127</f>
        <v>0</v>
      </c>
      <c r="D129" s="179">
        <f t="shared" si="8"/>
        <v>0</v>
      </c>
      <c r="E129" s="193"/>
      <c r="F129" s="231"/>
      <c r="G129" s="205"/>
      <c r="H129" s="190"/>
      <c r="I129" s="191"/>
      <c r="J129" s="4"/>
      <c r="K129" s="173"/>
      <c r="L129" s="4"/>
      <c r="M129" s="4"/>
      <c r="N129" s="4"/>
      <c r="O129" s="194">
        <f>IF(O128+1&lt;=MIN('Données projet'!$E$9:$E$18),O128+1,"STOP")</f>
        <v>96</v>
      </c>
      <c r="P129" s="185">
        <f t="shared" ref="P129:P132" si="9">$P$25/(1+$M$4)^O129</f>
        <v>0</v>
      </c>
      <c r="Q129" s="23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">
      <c r="A130" s="180">
        <f>'Données projet'!A128</f>
        <v>0</v>
      </c>
      <c r="B130" s="181">
        <f>'Données projet'!D128</f>
        <v>0</v>
      </c>
      <c r="C130" s="191">
        <f>42*'Données projet'!E128+19.5*('Données projet'!F128+'Données projet'!G128)+10*'Données projet'!H128</f>
        <v>0</v>
      </c>
      <c r="D130" s="179">
        <f t="shared" si="8"/>
        <v>0</v>
      </c>
      <c r="E130" s="193"/>
      <c r="F130" s="231"/>
      <c r="G130" s="205"/>
      <c r="H130" s="190"/>
      <c r="I130" s="191"/>
      <c r="J130" s="4"/>
      <c r="K130" s="173"/>
      <c r="L130" s="4"/>
      <c r="M130" s="4"/>
      <c r="N130" s="4"/>
      <c r="O130" s="194">
        <f>IF(O129+1&lt;=MIN('Données projet'!$E$9:$E$18),O129+1,"STOP")</f>
        <v>97</v>
      </c>
      <c r="P130" s="185">
        <f t="shared" si="9"/>
        <v>0</v>
      </c>
      <c r="Q130" s="23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">
      <c r="A131" s="180">
        <f>'Données projet'!A129</f>
        <v>0</v>
      </c>
      <c r="B131" s="181">
        <f>'Données projet'!D129</f>
        <v>0</v>
      </c>
      <c r="C131" s="191">
        <f>42*'Données projet'!E129+19.5*('Données projet'!F129+'Données projet'!G129)+10*'Données projet'!H129</f>
        <v>0</v>
      </c>
      <c r="D131" s="179">
        <f t="shared" si="8"/>
        <v>0</v>
      </c>
      <c r="E131" s="193"/>
      <c r="F131" s="231"/>
      <c r="G131" s="205"/>
      <c r="H131" s="190"/>
      <c r="I131" s="191"/>
      <c r="J131" s="4"/>
      <c r="K131" s="173"/>
      <c r="L131" s="4"/>
      <c r="M131" s="4"/>
      <c r="N131" s="4"/>
      <c r="O131" s="194">
        <f>IF(O130+1&lt;=MIN('Données projet'!$E$9:$E$18),O130+1,"STOP")</f>
        <v>98</v>
      </c>
      <c r="P131" s="185">
        <f t="shared" si="9"/>
        <v>0</v>
      </c>
      <c r="Q131" s="23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">
      <c r="A132" s="180">
        <f>'Données projet'!A130</f>
        <v>0</v>
      </c>
      <c r="B132" s="181">
        <f>'Données projet'!D130</f>
        <v>0</v>
      </c>
      <c r="C132" s="191">
        <f>42*'Données projet'!E130+19.5*('Données projet'!F130+'Données projet'!G130)+10*'Données projet'!H130</f>
        <v>0</v>
      </c>
      <c r="D132" s="179">
        <f t="shared" si="8"/>
        <v>0</v>
      </c>
      <c r="E132" s="193"/>
      <c r="F132" s="231"/>
      <c r="G132" s="205"/>
      <c r="H132" s="190"/>
      <c r="I132" s="191"/>
      <c r="J132" s="4"/>
      <c r="K132" s="173"/>
      <c r="L132" s="4"/>
      <c r="M132" s="4"/>
      <c r="N132" s="4"/>
      <c r="O132" s="194">
        <f>IF(O131+1&lt;=MIN('Données projet'!$E$9:$E$18),O131+1,"STOP")</f>
        <v>99</v>
      </c>
      <c r="P132" s="185">
        <f t="shared" si="9"/>
        <v>0</v>
      </c>
      <c r="Q132" s="23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">
      <c r="A133" s="180">
        <f>'Données projet'!A131</f>
        <v>0</v>
      </c>
      <c r="B133" s="181">
        <f>'Données projet'!D131</f>
        <v>0</v>
      </c>
      <c r="C133" s="191">
        <f>42*'Données projet'!E131+19.5*('Données projet'!F131+'Données projet'!G131)+10*'Données projet'!H131</f>
        <v>0</v>
      </c>
      <c r="D133" s="179">
        <f t="shared" si="8"/>
        <v>0</v>
      </c>
      <c r="E133" s="193"/>
      <c r="F133" s="231"/>
      <c r="G133" s="205"/>
      <c r="H133" s="190"/>
      <c r="I133" s="191"/>
      <c r="J133" s="4"/>
      <c r="K133" s="173"/>
      <c r="Q133" s="23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">
      <c r="A134" s="180">
        <f>'Données projet'!A132</f>
        <v>0</v>
      </c>
      <c r="B134" s="181">
        <f>'Données projet'!D132</f>
        <v>0</v>
      </c>
      <c r="C134" s="191">
        <f>42*'Données projet'!E132+19.5*('Données projet'!F132+'Données projet'!G132)+10*'Données projet'!H132</f>
        <v>0</v>
      </c>
      <c r="D134" s="179">
        <f t="shared" si="8"/>
        <v>0</v>
      </c>
      <c r="E134" s="193"/>
      <c r="F134" s="231"/>
      <c r="G134" s="205"/>
      <c r="H134" s="190"/>
      <c r="I134" s="191"/>
      <c r="J134" s="4"/>
      <c r="K134" s="173"/>
      <c r="Q134" s="23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">
      <c r="A135" s="180">
        <f>'Données projet'!A133</f>
        <v>0</v>
      </c>
      <c r="B135" s="181">
        <f>'Données projet'!D133</f>
        <v>0</v>
      </c>
      <c r="C135" s="191">
        <f>42*'Données projet'!E133+19.5*('Données projet'!F133+'Données projet'!G133)+10*'Données projet'!H133</f>
        <v>0</v>
      </c>
      <c r="D135" s="179">
        <f t="shared" si="8"/>
        <v>0</v>
      </c>
      <c r="E135" s="193"/>
      <c r="F135" s="231"/>
      <c r="G135" s="205"/>
      <c r="H135" s="190"/>
      <c r="I135" s="191"/>
      <c r="J135" s="4"/>
      <c r="K135" s="173"/>
      <c r="Q135" s="23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">
      <c r="A136" s="4"/>
      <c r="B136" s="4"/>
      <c r="C136" s="4"/>
      <c r="D136" s="4"/>
      <c r="E136" s="4"/>
      <c r="F136" s="229"/>
      <c r="G136" s="205"/>
      <c r="H136" s="190"/>
      <c r="I136" s="191"/>
      <c r="J136" s="4"/>
      <c r="K136" s="173"/>
      <c r="L136" s="4"/>
      <c r="M136" s="4"/>
      <c r="N136" s="4"/>
      <c r="Q136" s="23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">
      <c r="A137" s="4"/>
      <c r="B137" s="4"/>
      <c r="C137" s="4"/>
      <c r="D137" s="4"/>
      <c r="E137" s="4"/>
      <c r="F137" s="229"/>
      <c r="G137" s="205"/>
      <c r="H137" s="190"/>
      <c r="I137" s="191"/>
      <c r="J137" s="4"/>
      <c r="K137" s="173"/>
      <c r="L137" s="4"/>
      <c r="M137" s="4"/>
      <c r="N137" s="4"/>
      <c r="Q137" s="23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29"/>
      <c r="G138" s="205"/>
      <c r="H138" s="190"/>
      <c r="I138" s="191"/>
      <c r="J138" s="4"/>
      <c r="K138" s="173"/>
      <c r="L138" s="4"/>
      <c r="M138" s="4"/>
      <c r="N138" s="4"/>
      <c r="Q138" s="23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">
      <c r="A139" s="4"/>
      <c r="B139" s="4"/>
      <c r="C139" s="4"/>
      <c r="D139" s="4"/>
      <c r="E139" s="4"/>
      <c r="F139" s="229"/>
      <c r="G139" s="205"/>
      <c r="H139" s="190"/>
      <c r="I139" s="191"/>
      <c r="J139" s="4"/>
      <c r="K139" s="173"/>
      <c r="L139" s="4"/>
      <c r="M139" s="4"/>
      <c r="N139" s="4"/>
      <c r="Q139" s="23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ht="16" x14ac:dyDescent="0.2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0"/>
      <c r="G140" s="205"/>
      <c r="H140" s="190"/>
      <c r="I140" s="191"/>
      <c r="J140" s="4"/>
      <c r="K140" s="173"/>
      <c r="L140" s="4"/>
      <c r="M140" s="4"/>
      <c r="N140" s="4"/>
      <c r="Q140" s="23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ht="16" x14ac:dyDescent="0.2">
      <c r="A141" s="49">
        <v>0</v>
      </c>
      <c r="B141" s="198" t="s">
        <v>132</v>
      </c>
      <c r="C141" s="197" t="s">
        <v>132</v>
      </c>
      <c r="D141" s="196" t="s">
        <v>132</v>
      </c>
      <c r="E141" s="193"/>
      <c r="F141" s="230"/>
      <c r="G141" s="205"/>
      <c r="H141" s="190"/>
      <c r="I141" s="191"/>
      <c r="J141" s="4"/>
      <c r="K141" s="173"/>
      <c r="L141" s="4"/>
      <c r="M141" s="4"/>
      <c r="N141" s="4"/>
      <c r="Q141" s="23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ht="16" x14ac:dyDescent="0.2">
      <c r="A142" s="49">
        <v>1</v>
      </c>
      <c r="B142" s="198" t="s">
        <v>132</v>
      </c>
      <c r="C142" s="197" t="s">
        <v>132</v>
      </c>
      <c r="D142" s="196" t="s">
        <v>132</v>
      </c>
      <c r="E142" s="193"/>
      <c r="F142" s="230"/>
      <c r="G142" s="23"/>
      <c r="H142" s="190"/>
      <c r="I142" s="191"/>
      <c r="J142" s="4"/>
      <c r="K142" s="173"/>
      <c r="L142" s="4"/>
      <c r="M142" s="4"/>
      <c r="N142" s="4"/>
      <c r="Q142" s="23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ht="16" x14ac:dyDescent="0.2">
      <c r="A143" s="49">
        <v>2</v>
      </c>
      <c r="B143" s="198" t="s">
        <v>132</v>
      </c>
      <c r="C143" s="197" t="s">
        <v>132</v>
      </c>
      <c r="D143" s="196" t="s">
        <v>132</v>
      </c>
      <c r="E143" s="193"/>
      <c r="F143" s="230"/>
      <c r="G143" s="23"/>
      <c r="H143" s="190"/>
      <c r="I143" s="191"/>
      <c r="J143" s="4"/>
      <c r="K143" s="173"/>
      <c r="L143" s="4"/>
      <c r="M143" s="4"/>
      <c r="N143" s="4"/>
      <c r="Q143" s="23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ht="16" x14ac:dyDescent="0.2">
      <c r="A144" s="49">
        <v>3</v>
      </c>
      <c r="B144" s="198" t="s">
        <v>132</v>
      </c>
      <c r="C144" s="197" t="s">
        <v>132</v>
      </c>
      <c r="D144" s="196" t="s">
        <v>132</v>
      </c>
      <c r="E144" s="193"/>
      <c r="F144" s="230"/>
      <c r="G144" s="23"/>
      <c r="H144" s="190"/>
      <c r="I144" s="191"/>
      <c r="J144" s="4"/>
      <c r="K144" s="173"/>
      <c r="L144" s="4"/>
      <c r="M144" s="4"/>
      <c r="N144" s="4"/>
      <c r="Q144" s="23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ht="16" x14ac:dyDescent="0.2">
      <c r="A145" s="49">
        <v>4</v>
      </c>
      <c r="B145" s="198" t="s">
        <v>132</v>
      </c>
      <c r="C145" s="197" t="s">
        <v>132</v>
      </c>
      <c r="D145" s="196" t="s">
        <v>132</v>
      </c>
      <c r="E145" s="193"/>
      <c r="F145" s="230"/>
      <c r="G145" s="23"/>
      <c r="H145" s="190"/>
      <c r="I145" s="191"/>
      <c r="J145" s="4"/>
      <c r="K145" s="173"/>
      <c r="L145" s="4"/>
      <c r="M145" s="4"/>
      <c r="N145" s="4"/>
      <c r="Q145" s="23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">
      <c r="A146" s="49">
        <v>5</v>
      </c>
      <c r="B146" s="198" t="s">
        <v>132</v>
      </c>
      <c r="C146" s="197" t="s">
        <v>132</v>
      </c>
      <c r="D146" s="196" t="s">
        <v>132</v>
      </c>
      <c r="E146" s="193"/>
      <c r="F146" s="230"/>
      <c r="G146" s="204"/>
      <c r="H146" s="190"/>
      <c r="I146" s="191"/>
      <c r="J146" s="4"/>
      <c r="K146" s="173"/>
      <c r="L146" s="4"/>
      <c r="M146" s="4"/>
      <c r="N146" s="4"/>
      <c r="Q146" s="23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">
      <c r="A147" s="42">
        <f>'Données projet'!A140</f>
        <v>0</v>
      </c>
      <c r="B147" s="175">
        <f>'Données projet'!D140</f>
        <v>0</v>
      </c>
      <c r="C147" s="191">
        <f>150*'Données projet'!E140+13.8*('Données projet'!F140+'Données projet'!G140)+10*'Données projet'!H140</f>
        <v>0</v>
      </c>
      <c r="D147" s="182">
        <f>B147*C147</f>
        <v>0</v>
      </c>
      <c r="E147" s="193"/>
      <c r="F147" s="232"/>
      <c r="G147" s="204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">
      <c r="A148" s="42">
        <f>'Données projet'!A141</f>
        <v>0</v>
      </c>
      <c r="B148" s="175">
        <f>'Données projet'!D141</f>
        <v>0</v>
      </c>
      <c r="C148" s="191">
        <f>150*'Données projet'!E141+13.8*('Données projet'!F141+'Données projet'!G141)+10*'Données projet'!H141</f>
        <v>0</v>
      </c>
      <c r="D148" s="182">
        <f t="shared" ref="D148:D166" si="10">B148*C148</f>
        <v>0</v>
      </c>
      <c r="E148" s="193"/>
      <c r="F148" s="232"/>
      <c r="G148" s="204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">
      <c r="A149" s="42">
        <f>'Données projet'!A142</f>
        <v>0</v>
      </c>
      <c r="B149" s="175">
        <f>'Données projet'!D142</f>
        <v>0</v>
      </c>
      <c r="C149" s="191">
        <f>150*'Données projet'!E142+13.8*('Données projet'!F142+'Données projet'!G142)+10*'Données projet'!H142</f>
        <v>0</v>
      </c>
      <c r="D149" s="182">
        <f t="shared" si="10"/>
        <v>0</v>
      </c>
      <c r="E149" s="193"/>
      <c r="F149" s="232"/>
      <c r="G149" s="204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">
      <c r="A150" s="42">
        <f>'Données projet'!A143</f>
        <v>0</v>
      </c>
      <c r="B150" s="175">
        <f>'Données projet'!D143</f>
        <v>0</v>
      </c>
      <c r="C150" s="191">
        <f>150*'Données projet'!E143+13.8*('Données projet'!F143+'Données projet'!G143)+10*'Données projet'!H143</f>
        <v>0</v>
      </c>
      <c r="D150" s="182">
        <f t="shared" si="10"/>
        <v>0</v>
      </c>
      <c r="E150" s="193"/>
      <c r="F150" s="232"/>
      <c r="G150" s="204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">
      <c r="A151" s="42">
        <f>'Données projet'!A144</f>
        <v>0</v>
      </c>
      <c r="B151" s="175">
        <f>'Données projet'!D144</f>
        <v>0</v>
      </c>
      <c r="C151" s="191">
        <f>150*'Données projet'!E144+13.8*('Données projet'!F144+'Données projet'!G144)+10*'Données projet'!H144</f>
        <v>0</v>
      </c>
      <c r="D151" s="182">
        <f t="shared" si="10"/>
        <v>0</v>
      </c>
      <c r="E151" s="193"/>
      <c r="F151" s="232"/>
      <c r="G151" s="204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">
      <c r="A152" s="42">
        <f>'Données projet'!A145</f>
        <v>0</v>
      </c>
      <c r="B152" s="175">
        <f>'Données projet'!D145</f>
        <v>0</v>
      </c>
      <c r="C152" s="191">
        <f>150*'Données projet'!E145+13.8*('Données projet'!F145+'Données projet'!G145)+10*'Données projet'!H145</f>
        <v>0</v>
      </c>
      <c r="D152" s="182">
        <f t="shared" si="10"/>
        <v>0</v>
      </c>
      <c r="E152" s="193"/>
      <c r="F152" s="232"/>
      <c r="G152" s="204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">
      <c r="A153" s="42">
        <f>'Données projet'!A146</f>
        <v>0</v>
      </c>
      <c r="B153" s="175">
        <f>'Données projet'!D146</f>
        <v>0</v>
      </c>
      <c r="C153" s="191">
        <f>150*'Données projet'!E146+13.8*('Données projet'!F146+'Données projet'!G146)+10*'Données projet'!H146</f>
        <v>0</v>
      </c>
      <c r="D153" s="182">
        <f t="shared" si="10"/>
        <v>0</v>
      </c>
      <c r="E153" s="193"/>
      <c r="F153" s="232"/>
      <c r="G153" s="202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">
      <c r="A154" s="42">
        <f>'Données projet'!A147</f>
        <v>0</v>
      </c>
      <c r="B154" s="175">
        <f>'Données projet'!D147</f>
        <v>0</v>
      </c>
      <c r="C154" s="191">
        <f>150*'Données projet'!E147+13.8*('Données projet'!F147+'Données projet'!G147)+10*'Données projet'!H147</f>
        <v>0</v>
      </c>
      <c r="D154" s="182">
        <f t="shared" si="10"/>
        <v>0</v>
      </c>
      <c r="E154" s="193"/>
      <c r="F154" s="232"/>
      <c r="G154" s="202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">
      <c r="A155" s="42">
        <f>'Données projet'!A148</f>
        <v>0</v>
      </c>
      <c r="B155" s="175">
        <f>'Données projet'!D148</f>
        <v>0</v>
      </c>
      <c r="C155" s="191">
        <f>150*'Données projet'!E148+13.8*('Données projet'!F148+'Données projet'!G148)+10*'Données projet'!H148</f>
        <v>0</v>
      </c>
      <c r="D155" s="182">
        <f t="shared" si="10"/>
        <v>0</v>
      </c>
      <c r="E155" s="193"/>
      <c r="F155" s="232"/>
      <c r="G155" s="202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">
      <c r="A156" s="42">
        <f>'Données projet'!A149</f>
        <v>0</v>
      </c>
      <c r="B156" s="175">
        <f>'Données projet'!D149</f>
        <v>0</v>
      </c>
      <c r="C156" s="191">
        <f>150*'Données projet'!E149+13.8*('Données projet'!F149+'Données projet'!G149)+10*'Données projet'!H149</f>
        <v>0</v>
      </c>
      <c r="D156" s="182">
        <f t="shared" si="10"/>
        <v>0</v>
      </c>
      <c r="E156" s="193"/>
      <c r="F156" s="232"/>
      <c r="G156" s="202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">
      <c r="A157" s="42">
        <f>'Données projet'!A150</f>
        <v>0</v>
      </c>
      <c r="B157" s="175">
        <f>'Données projet'!D150</f>
        <v>0</v>
      </c>
      <c r="C157" s="191">
        <f>150*'Données projet'!E150+13.8*('Données projet'!F150+'Données projet'!G150)+10*'Données projet'!H150</f>
        <v>0</v>
      </c>
      <c r="D157" s="182">
        <f t="shared" si="10"/>
        <v>0</v>
      </c>
      <c r="E157" s="193"/>
      <c r="F157" s="232"/>
      <c r="G157" s="202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">
      <c r="A158" s="42">
        <f>'Données projet'!A151</f>
        <v>0</v>
      </c>
      <c r="B158" s="175">
        <f>'Données projet'!D151</f>
        <v>0</v>
      </c>
      <c r="C158" s="191">
        <f>150*'Données projet'!E151+13.8*('Données projet'!F151+'Données projet'!G151)+10*'Données projet'!H151</f>
        <v>0</v>
      </c>
      <c r="D158" s="182">
        <f t="shared" si="10"/>
        <v>0</v>
      </c>
      <c r="E158" s="193"/>
      <c r="F158" s="232"/>
      <c r="G158" s="202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">
      <c r="A159" s="42">
        <f>'Données projet'!A152</f>
        <v>0</v>
      </c>
      <c r="B159" s="175">
        <f>'Données projet'!D152</f>
        <v>0</v>
      </c>
      <c r="C159" s="191">
        <f>150*'Données projet'!E152+13.8*('Données projet'!F152+'Données projet'!G152)+10*'Données projet'!H152</f>
        <v>0</v>
      </c>
      <c r="D159" s="182">
        <f t="shared" si="10"/>
        <v>0</v>
      </c>
      <c r="E159" s="193"/>
      <c r="F159" s="232"/>
      <c r="G159" s="202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">
      <c r="A160" s="42">
        <f>'Données projet'!A153</f>
        <v>0</v>
      </c>
      <c r="B160" s="175">
        <f>'Données projet'!D153</f>
        <v>0</v>
      </c>
      <c r="C160" s="191">
        <f>150*'Données projet'!E153+13.8*('Données projet'!F153+'Données projet'!G153)+10*'Données projet'!H153</f>
        <v>0</v>
      </c>
      <c r="D160" s="182">
        <f t="shared" si="10"/>
        <v>0</v>
      </c>
      <c r="E160" s="193"/>
      <c r="F160" s="232"/>
      <c r="G160" s="202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">
      <c r="A161" s="42">
        <f>'Données projet'!A154</f>
        <v>0</v>
      </c>
      <c r="B161" s="175">
        <f>'Données projet'!D154</f>
        <v>0</v>
      </c>
      <c r="C161" s="191">
        <f>150*'Données projet'!E154+13.8*('Données projet'!F154+'Données projet'!G154)+10*'Données projet'!H154</f>
        <v>0</v>
      </c>
      <c r="D161" s="182">
        <f t="shared" si="10"/>
        <v>0</v>
      </c>
      <c r="E161" s="193"/>
      <c r="F161" s="232"/>
      <c r="G161" s="202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">
      <c r="A162" s="42">
        <f>'Données projet'!A155</f>
        <v>0</v>
      </c>
      <c r="B162" s="175">
        <f>'Données projet'!D155</f>
        <v>0</v>
      </c>
      <c r="C162" s="191">
        <f>150*'Données projet'!E155+13.8*('Données projet'!F155+'Données projet'!G155)+10*'Données projet'!H155</f>
        <v>0</v>
      </c>
      <c r="D162" s="182">
        <f t="shared" si="10"/>
        <v>0</v>
      </c>
      <c r="E162" s="193"/>
      <c r="F162" s="232"/>
      <c r="G162" s="202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">
      <c r="A163" s="42">
        <f>'Données projet'!A156</f>
        <v>0</v>
      </c>
      <c r="B163" s="175">
        <f>'Données projet'!D156</f>
        <v>0</v>
      </c>
      <c r="C163" s="191">
        <f>150*'Données projet'!E156+13.8*('Données projet'!F156+'Données projet'!G156)+10*'Données projet'!H156</f>
        <v>0</v>
      </c>
      <c r="D163" s="182">
        <f t="shared" si="10"/>
        <v>0</v>
      </c>
      <c r="E163" s="193"/>
      <c r="F163" s="232"/>
      <c r="G163" s="202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">
      <c r="A164" s="42">
        <f>'Données projet'!A157</f>
        <v>0</v>
      </c>
      <c r="B164" s="175">
        <f>'Données projet'!D157</f>
        <v>0</v>
      </c>
      <c r="C164" s="191">
        <f>150*'Données projet'!E157+13.8*('Données projet'!F157+'Données projet'!G157)+10*'Données projet'!H157</f>
        <v>0</v>
      </c>
      <c r="D164" s="182">
        <f t="shared" si="10"/>
        <v>0</v>
      </c>
      <c r="E164" s="193"/>
      <c r="F164" s="232"/>
      <c r="G164" s="202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">
      <c r="A165" s="42">
        <f>'Données projet'!A158</f>
        <v>0</v>
      </c>
      <c r="B165" s="175">
        <f>'Données projet'!D158</f>
        <v>0</v>
      </c>
      <c r="C165" s="191">
        <f>150*'Données projet'!E158+13.8*('Données projet'!F158+'Données projet'!G158)+10*'Données projet'!H158</f>
        <v>0</v>
      </c>
      <c r="D165" s="182">
        <f t="shared" si="10"/>
        <v>0</v>
      </c>
      <c r="E165" s="193"/>
      <c r="F165" s="232"/>
      <c r="G165" s="202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">
      <c r="A166" s="42">
        <f>'Données projet'!A159</f>
        <v>0</v>
      </c>
      <c r="B166" s="175">
        <f>'Données projet'!D159</f>
        <v>0</v>
      </c>
      <c r="C166" s="191">
        <f>150*'Données projet'!E159+13.8*('Données projet'!F159+'Données projet'!G159)+10*'Données projet'!H159</f>
        <v>0</v>
      </c>
      <c r="D166" s="182">
        <f t="shared" si="10"/>
        <v>0</v>
      </c>
      <c r="E166" s="193"/>
      <c r="F166" s="232"/>
      <c r="G166" s="202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">
      <c r="A167" s="4"/>
      <c r="B167" s="4"/>
      <c r="C167" s="4"/>
      <c r="D167" s="4"/>
      <c r="E167" s="4"/>
      <c r="F167" s="229"/>
      <c r="G167" s="202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">
      <c r="A168" s="4"/>
      <c r="B168" s="4"/>
      <c r="C168" s="4"/>
      <c r="D168" s="4"/>
      <c r="E168" s="4"/>
      <c r="F168" s="229"/>
      <c r="G168" s="202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29"/>
      <c r="G169" s="202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">
      <c r="A170" s="4"/>
      <c r="B170" s="4"/>
      <c r="C170" s="4"/>
      <c r="D170" s="4"/>
      <c r="E170" s="4"/>
      <c r="F170" s="229"/>
      <c r="G170" s="202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ht="16" x14ac:dyDescent="0.2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0"/>
      <c r="G171" s="202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ht="16" x14ac:dyDescent="0.2">
      <c r="A172" s="49">
        <v>0</v>
      </c>
      <c r="B172" s="198" t="s">
        <v>132</v>
      </c>
      <c r="C172" s="197" t="s">
        <v>132</v>
      </c>
      <c r="D172" s="196" t="s">
        <v>132</v>
      </c>
      <c r="E172" s="193"/>
      <c r="F172" s="230"/>
      <c r="G172" s="202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ht="16" x14ac:dyDescent="0.2">
      <c r="A173" s="49">
        <v>1</v>
      </c>
      <c r="B173" s="198" t="s">
        <v>132</v>
      </c>
      <c r="C173" s="197" t="s">
        <v>132</v>
      </c>
      <c r="D173" s="196" t="s">
        <v>132</v>
      </c>
      <c r="E173" s="193"/>
      <c r="F173" s="230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ht="16" x14ac:dyDescent="0.2">
      <c r="A174" s="49">
        <v>2</v>
      </c>
      <c r="B174" s="198" t="s">
        <v>132</v>
      </c>
      <c r="C174" s="197" t="s">
        <v>132</v>
      </c>
      <c r="D174" s="196" t="s">
        <v>132</v>
      </c>
      <c r="E174" s="193"/>
      <c r="F174" s="230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ht="16" x14ac:dyDescent="0.2">
      <c r="A175" s="49">
        <v>3</v>
      </c>
      <c r="B175" s="198" t="s">
        <v>132</v>
      </c>
      <c r="C175" s="197" t="s">
        <v>132</v>
      </c>
      <c r="D175" s="196" t="s">
        <v>132</v>
      </c>
      <c r="E175" s="193"/>
      <c r="F175" s="230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ht="16" x14ac:dyDescent="0.2">
      <c r="A176" s="49">
        <v>4</v>
      </c>
      <c r="B176" s="198" t="s">
        <v>132</v>
      </c>
      <c r="C176" s="197" t="s">
        <v>132</v>
      </c>
      <c r="D176" s="196" t="s">
        <v>132</v>
      </c>
      <c r="E176" s="193"/>
      <c r="F176" s="230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">
      <c r="A177" s="49">
        <v>5</v>
      </c>
      <c r="B177" s="198" t="s">
        <v>132</v>
      </c>
      <c r="C177" s="197" t="s">
        <v>132</v>
      </c>
      <c r="D177" s="196" t="s">
        <v>132</v>
      </c>
      <c r="E177" s="193"/>
      <c r="F177" s="230"/>
      <c r="G177" s="204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">
      <c r="A178" s="180">
        <f>'Données projet'!A166</f>
        <v>0</v>
      </c>
      <c r="B178" s="181">
        <f>'Données projet'!D166</f>
        <v>0</v>
      </c>
      <c r="C178" s="193">
        <f>300*'Données projet'!E166+13.8*('Données projet'!F166+'Données projet'!G168)+10*'Données projet'!H166</f>
        <v>0</v>
      </c>
      <c r="D178" s="179">
        <f>B178*C178</f>
        <v>0</v>
      </c>
      <c r="E178" s="193"/>
      <c r="F178" s="231"/>
      <c r="G178" s="204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">
      <c r="A179" s="180">
        <f>'Données projet'!A167</f>
        <v>0</v>
      </c>
      <c r="B179" s="181">
        <f>'Données projet'!D167</f>
        <v>0</v>
      </c>
      <c r="C179" s="193">
        <f>300*'Données projet'!E167+13.8*('Données projet'!F167+'Données projet'!G169)+10*'Données projet'!H167</f>
        <v>0</v>
      </c>
      <c r="D179" s="179">
        <f t="shared" ref="D179:D197" si="11">B179*C179</f>
        <v>0</v>
      </c>
      <c r="E179" s="193"/>
      <c r="F179" s="231"/>
      <c r="G179" s="204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">
      <c r="A180" s="180">
        <f>'Données projet'!A168</f>
        <v>0</v>
      </c>
      <c r="B180" s="181">
        <f>'Données projet'!D168</f>
        <v>0</v>
      </c>
      <c r="C180" s="193">
        <f>300*'Données projet'!E168+13.8*('Données projet'!F168+'Données projet'!G170)+10*'Données projet'!H168</f>
        <v>0</v>
      </c>
      <c r="D180" s="179">
        <f t="shared" si="11"/>
        <v>0</v>
      </c>
      <c r="E180" s="193"/>
      <c r="F180" s="231"/>
      <c r="G180" s="204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">
      <c r="A181" s="180">
        <f>'Données projet'!A169</f>
        <v>0</v>
      </c>
      <c r="B181" s="181">
        <f>'Données projet'!D169</f>
        <v>0</v>
      </c>
      <c r="C181" s="193">
        <f>300*'Données projet'!E169+13.8*('Données projet'!F169+'Données projet'!G171)+10*'Données projet'!H169</f>
        <v>0</v>
      </c>
      <c r="D181" s="179">
        <f t="shared" si="11"/>
        <v>0</v>
      </c>
      <c r="E181" s="193"/>
      <c r="F181" s="231"/>
      <c r="G181" s="204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">
      <c r="A182" s="180">
        <f>'Données projet'!A170</f>
        <v>0</v>
      </c>
      <c r="B182" s="181">
        <f>'Données projet'!D170</f>
        <v>0</v>
      </c>
      <c r="C182" s="193">
        <f>300*'Données projet'!E170+13.8*('Données projet'!F170+'Données projet'!G172)+10*'Données projet'!H170</f>
        <v>0</v>
      </c>
      <c r="D182" s="179">
        <f t="shared" si="11"/>
        <v>0</v>
      </c>
      <c r="E182" s="193"/>
      <c r="F182" s="231"/>
      <c r="G182" s="204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">
      <c r="A183" s="180">
        <f>'Données projet'!A171</f>
        <v>0</v>
      </c>
      <c r="B183" s="181">
        <f>'Données projet'!D171</f>
        <v>0</v>
      </c>
      <c r="C183" s="193">
        <f>300*'Données projet'!E171+13.8*('Données projet'!F171+'Données projet'!G173)+10*'Données projet'!H171</f>
        <v>0</v>
      </c>
      <c r="D183" s="179">
        <f t="shared" si="11"/>
        <v>0</v>
      </c>
      <c r="E183" s="193"/>
      <c r="F183" s="231"/>
      <c r="G183" s="204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">
      <c r="A184" s="180">
        <f>'Données projet'!A172</f>
        <v>0</v>
      </c>
      <c r="B184" s="181">
        <f>'Données projet'!D172</f>
        <v>0</v>
      </c>
      <c r="C184" s="193">
        <f>300*'Données projet'!E172+13.8*('Données projet'!F172+'Données projet'!G174)+10*'Données projet'!H172</f>
        <v>0</v>
      </c>
      <c r="D184" s="179">
        <f t="shared" si="11"/>
        <v>0</v>
      </c>
      <c r="E184" s="193"/>
      <c r="F184" s="231"/>
      <c r="G184" s="205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">
      <c r="A185" s="180">
        <f>'Données projet'!A173</f>
        <v>0</v>
      </c>
      <c r="B185" s="181">
        <f>'Données projet'!D173</f>
        <v>0</v>
      </c>
      <c r="C185" s="193">
        <f>300*'Données projet'!E173+13.8*('Données projet'!F173+'Données projet'!G175)+10*'Données projet'!H173</f>
        <v>0</v>
      </c>
      <c r="D185" s="179">
        <f t="shared" si="11"/>
        <v>0</v>
      </c>
      <c r="E185" s="193"/>
      <c r="F185" s="231"/>
      <c r="G185" s="205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">
      <c r="A186" s="180">
        <f>'Données projet'!A174</f>
        <v>0</v>
      </c>
      <c r="B186" s="181">
        <f>'Données projet'!D174</f>
        <v>0</v>
      </c>
      <c r="C186" s="193">
        <f>300*'Données projet'!E174+13.8*('Données projet'!F174+'Données projet'!G176)+10*'Données projet'!H174</f>
        <v>0</v>
      </c>
      <c r="D186" s="179">
        <f t="shared" si="11"/>
        <v>0</v>
      </c>
      <c r="E186" s="193"/>
      <c r="F186" s="231"/>
      <c r="G186" s="205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">
      <c r="A187" s="180">
        <f>'Données projet'!A175</f>
        <v>0</v>
      </c>
      <c r="B187" s="181">
        <f>'Données projet'!D175</f>
        <v>0</v>
      </c>
      <c r="C187" s="193">
        <f>300*'Données projet'!E175+13.8*('Données projet'!F175+'Données projet'!G177)+10*'Données projet'!H175</f>
        <v>0</v>
      </c>
      <c r="D187" s="179">
        <f t="shared" si="11"/>
        <v>0</v>
      </c>
      <c r="E187" s="193"/>
      <c r="F187" s="231"/>
      <c r="G187" s="205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">
      <c r="A188" s="180">
        <f>'Données projet'!A176</f>
        <v>0</v>
      </c>
      <c r="B188" s="181">
        <f>'Données projet'!D176</f>
        <v>0</v>
      </c>
      <c r="C188" s="193">
        <f>300*'Données projet'!E176+13.8*('Données projet'!F176+'Données projet'!G178)+10*'Données projet'!H176</f>
        <v>0</v>
      </c>
      <c r="D188" s="179">
        <f t="shared" si="11"/>
        <v>0</v>
      </c>
      <c r="E188" s="193"/>
      <c r="F188" s="231"/>
      <c r="G188" s="205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">
      <c r="A189" s="180">
        <f>'Données projet'!A177</f>
        <v>0</v>
      </c>
      <c r="B189" s="181">
        <f>'Données projet'!D177</f>
        <v>0</v>
      </c>
      <c r="C189" s="193">
        <f>300*'Données projet'!E177+13.8*('Données projet'!F177+'Données projet'!G179)+10*'Données projet'!H177</f>
        <v>0</v>
      </c>
      <c r="D189" s="179">
        <f t="shared" si="11"/>
        <v>0</v>
      </c>
      <c r="E189" s="193"/>
      <c r="F189" s="231"/>
      <c r="G189" s="205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">
      <c r="A190" s="180">
        <f>'Données projet'!A178</f>
        <v>0</v>
      </c>
      <c r="B190" s="181">
        <f>'Données projet'!D178</f>
        <v>0</v>
      </c>
      <c r="C190" s="193">
        <f>300*'Données projet'!E178+13.8*('Données projet'!F178+'Données projet'!G180)+10*'Données projet'!H178</f>
        <v>0</v>
      </c>
      <c r="D190" s="179">
        <f t="shared" si="11"/>
        <v>0</v>
      </c>
      <c r="E190" s="193"/>
      <c r="F190" s="231"/>
      <c r="G190" s="205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">
      <c r="A191" s="180">
        <f>'Données projet'!A179</f>
        <v>0</v>
      </c>
      <c r="B191" s="181">
        <f>'Données projet'!D179</f>
        <v>0</v>
      </c>
      <c r="C191" s="193">
        <f>300*'Données projet'!E179+13.8*('Données projet'!F179+'Données projet'!G181)+10*'Données projet'!H179</f>
        <v>0</v>
      </c>
      <c r="D191" s="179">
        <f t="shared" si="11"/>
        <v>0</v>
      </c>
      <c r="E191" s="193"/>
      <c r="F191" s="231"/>
      <c r="G191" s="205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">
      <c r="A192" s="180">
        <f>'Données projet'!A180</f>
        <v>0</v>
      </c>
      <c r="B192" s="181">
        <f>'Données projet'!D180</f>
        <v>0</v>
      </c>
      <c r="C192" s="193">
        <f>300*'Données projet'!E180+13.8*('Données projet'!F180+'Données projet'!G182)+10*'Données projet'!H180</f>
        <v>0</v>
      </c>
      <c r="D192" s="179">
        <f t="shared" si="11"/>
        <v>0</v>
      </c>
      <c r="E192" s="193"/>
      <c r="F192" s="231"/>
      <c r="G192" s="205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">
      <c r="A193" s="180">
        <f>'Données projet'!A181</f>
        <v>0</v>
      </c>
      <c r="B193" s="181">
        <f>'Données projet'!D181</f>
        <v>0</v>
      </c>
      <c r="C193" s="193">
        <f>300*'Données projet'!E181+13.8*('Données projet'!F181+'Données projet'!G183)+10*'Données projet'!H181</f>
        <v>0</v>
      </c>
      <c r="D193" s="179">
        <f t="shared" si="11"/>
        <v>0</v>
      </c>
      <c r="E193" s="193"/>
      <c r="F193" s="231"/>
      <c r="G193" s="205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">
      <c r="A194" s="180">
        <f>'Données projet'!A182</f>
        <v>0</v>
      </c>
      <c r="B194" s="181">
        <f>'Données projet'!D182</f>
        <v>0</v>
      </c>
      <c r="C194" s="193">
        <f>300*'Données projet'!E182+13.8*('Données projet'!F182+'Données projet'!G184)+10*'Données projet'!H182</f>
        <v>0</v>
      </c>
      <c r="D194" s="179">
        <f t="shared" si="11"/>
        <v>0</v>
      </c>
      <c r="E194" s="193"/>
      <c r="F194" s="231"/>
      <c r="G194" s="205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">
      <c r="A195" s="180">
        <f>'Données projet'!A183</f>
        <v>0</v>
      </c>
      <c r="B195" s="181">
        <f>'Données projet'!D183</f>
        <v>0</v>
      </c>
      <c r="C195" s="193">
        <f>300*'Données projet'!E183+13.8*('Données projet'!F183+'Données projet'!G185)+10*'Données projet'!H183</f>
        <v>0</v>
      </c>
      <c r="D195" s="179">
        <f t="shared" si="11"/>
        <v>0</v>
      </c>
      <c r="E195" s="193"/>
      <c r="F195" s="231"/>
      <c r="G195" s="205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">
      <c r="A196" s="180">
        <f>'Données projet'!A184</f>
        <v>0</v>
      </c>
      <c r="B196" s="181">
        <f>'Données projet'!D184</f>
        <v>0</v>
      </c>
      <c r="C196" s="193">
        <f>300*'Données projet'!E184+13.8*('Données projet'!F184+'Données projet'!G186)+10*'Données projet'!H184</f>
        <v>0</v>
      </c>
      <c r="D196" s="179">
        <f t="shared" si="11"/>
        <v>0</v>
      </c>
      <c r="E196" s="193"/>
      <c r="F196" s="231"/>
      <c r="G196" s="205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">
      <c r="A197" s="180">
        <f>'Données projet'!A185</f>
        <v>0</v>
      </c>
      <c r="B197" s="181">
        <f>'Données projet'!D185</f>
        <v>0</v>
      </c>
      <c r="C197" s="193">
        <f>300*'Données projet'!E185+13.8*('Données projet'!F185+'Données projet'!G187)+10*'Données projet'!H185</f>
        <v>0</v>
      </c>
      <c r="D197" s="179">
        <f t="shared" si="11"/>
        <v>0</v>
      </c>
      <c r="E197" s="193"/>
      <c r="F197" s="231"/>
      <c r="G197" s="205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">
      <c r="A198" s="4"/>
      <c r="B198" s="4"/>
      <c r="C198" s="4"/>
      <c r="D198" s="4"/>
      <c r="E198" s="4"/>
      <c r="F198" s="229"/>
      <c r="G198" s="205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">
      <c r="A199" s="4"/>
      <c r="B199" s="4"/>
      <c r="C199" s="4"/>
      <c r="D199" s="4"/>
      <c r="E199" s="4"/>
      <c r="F199" s="229"/>
      <c r="G199" s="205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29"/>
      <c r="G200" s="205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">
      <c r="A201" s="46"/>
      <c r="B201" s="4"/>
      <c r="C201" s="4"/>
      <c r="D201" s="4"/>
      <c r="E201" s="4"/>
      <c r="F201" s="229"/>
      <c r="G201" s="205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ht="16" x14ac:dyDescent="0.2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0"/>
      <c r="G202" s="205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ht="16" x14ac:dyDescent="0.2">
      <c r="A203" s="49">
        <v>0</v>
      </c>
      <c r="B203" s="198" t="s">
        <v>132</v>
      </c>
      <c r="C203" s="197" t="s">
        <v>132</v>
      </c>
      <c r="D203" s="196" t="s">
        <v>132</v>
      </c>
      <c r="E203" s="193"/>
      <c r="F203" s="230"/>
      <c r="G203" s="205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ht="16" x14ac:dyDescent="0.2">
      <c r="A204" s="49">
        <v>1</v>
      </c>
      <c r="B204" s="198" t="s">
        <v>132</v>
      </c>
      <c r="C204" s="197" t="s">
        <v>132</v>
      </c>
      <c r="D204" s="196" t="s">
        <v>132</v>
      </c>
      <c r="E204" s="193"/>
      <c r="F204" s="230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ht="16" x14ac:dyDescent="0.2">
      <c r="A205" s="49">
        <v>2</v>
      </c>
      <c r="B205" s="198" t="s">
        <v>132</v>
      </c>
      <c r="C205" s="197" t="s">
        <v>132</v>
      </c>
      <c r="D205" s="196" t="s">
        <v>132</v>
      </c>
      <c r="E205" s="193"/>
      <c r="F205" s="230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ht="16" x14ac:dyDescent="0.2">
      <c r="A206" s="49">
        <v>3</v>
      </c>
      <c r="B206" s="198" t="s">
        <v>132</v>
      </c>
      <c r="C206" s="197" t="s">
        <v>132</v>
      </c>
      <c r="D206" s="196" t="s">
        <v>132</v>
      </c>
      <c r="E206" s="193"/>
      <c r="F206" s="230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ht="16" x14ac:dyDescent="0.2">
      <c r="A207" s="49">
        <v>4</v>
      </c>
      <c r="B207" s="198" t="s">
        <v>132</v>
      </c>
      <c r="C207" s="197" t="s">
        <v>132</v>
      </c>
      <c r="D207" s="196" t="s">
        <v>132</v>
      </c>
      <c r="E207" s="193"/>
      <c r="F207" s="230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ht="16" x14ac:dyDescent="0.2">
      <c r="A208" s="49">
        <v>5</v>
      </c>
      <c r="B208" s="198" t="s">
        <v>132</v>
      </c>
      <c r="C208" s="197" t="s">
        <v>132</v>
      </c>
      <c r="D208" s="196" t="s">
        <v>132</v>
      </c>
      <c r="E208" s="193"/>
      <c r="F208" s="230"/>
      <c r="G208" s="204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">
      <c r="A209" s="180">
        <f>'Données projet'!A192</f>
        <v>0</v>
      </c>
      <c r="B209" s="181">
        <f>'Données projet'!D192</f>
        <v>0</v>
      </c>
      <c r="C209" s="193">
        <f>150*'Données projet'!E192+13.8*('Données projet'!F192+'Données projet'!G192)+10*'Données projet'!H192</f>
        <v>0</v>
      </c>
      <c r="D209" s="179">
        <f>B209*C209</f>
        <v>0</v>
      </c>
      <c r="E209" s="193"/>
      <c r="F209" s="231"/>
      <c r="G209" s="204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">
      <c r="A210" s="180">
        <f>'Données projet'!A193</f>
        <v>0</v>
      </c>
      <c r="B210" s="181">
        <f>'Données projet'!D193</f>
        <v>0</v>
      </c>
      <c r="C210" s="193">
        <f>150*'Données projet'!E193+13.8*('Données projet'!F193+'Données projet'!G193)+10*'Données projet'!H193</f>
        <v>0</v>
      </c>
      <c r="D210" s="179">
        <f t="shared" ref="D210:D228" si="12">B210*C210</f>
        <v>0</v>
      </c>
      <c r="E210" s="193"/>
      <c r="F210" s="231"/>
      <c r="G210" s="204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">
      <c r="A211" s="180">
        <f>'Données projet'!A194</f>
        <v>0</v>
      </c>
      <c r="B211" s="181">
        <f>'Données projet'!D194</f>
        <v>0</v>
      </c>
      <c r="C211" s="193">
        <f>150*'Données projet'!E194+13.8*('Données projet'!F194+'Données projet'!G194)+10*'Données projet'!H194</f>
        <v>0</v>
      </c>
      <c r="D211" s="179">
        <f t="shared" si="12"/>
        <v>0</v>
      </c>
      <c r="E211" s="193"/>
      <c r="F211" s="231"/>
      <c r="G211" s="204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">
      <c r="A212" s="180">
        <f>'Données projet'!A195</f>
        <v>0</v>
      </c>
      <c r="B212" s="181">
        <f>'Données projet'!D195</f>
        <v>0</v>
      </c>
      <c r="C212" s="193">
        <f>150*'Données projet'!E195+13.8*('Données projet'!F195+'Données projet'!G195)+10*'Données projet'!H195</f>
        <v>0</v>
      </c>
      <c r="D212" s="179">
        <f t="shared" si="12"/>
        <v>0</v>
      </c>
      <c r="E212" s="193"/>
      <c r="F212" s="231"/>
      <c r="G212" s="204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">
      <c r="A213" s="180">
        <f>'Données projet'!A196</f>
        <v>0</v>
      </c>
      <c r="B213" s="181">
        <f>'Données projet'!D196</f>
        <v>0</v>
      </c>
      <c r="C213" s="193">
        <f>150*'Données projet'!E196+13.8*('Données projet'!F196+'Données projet'!G196)+10*'Données projet'!H196</f>
        <v>0</v>
      </c>
      <c r="D213" s="179">
        <f t="shared" si="12"/>
        <v>0</v>
      </c>
      <c r="E213" s="193"/>
      <c r="F213" s="231"/>
      <c r="G213" s="204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">
      <c r="A214" s="180">
        <f>'Données projet'!A197</f>
        <v>0</v>
      </c>
      <c r="B214" s="181">
        <f>'Données projet'!D197</f>
        <v>0</v>
      </c>
      <c r="C214" s="193">
        <f>150*'Données projet'!E197+13.8*('Données projet'!F197+'Données projet'!G197)+10*'Données projet'!H197</f>
        <v>0</v>
      </c>
      <c r="D214" s="179">
        <f t="shared" si="12"/>
        <v>0</v>
      </c>
      <c r="E214" s="193"/>
      <c r="F214" s="231"/>
      <c r="G214" s="204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">
      <c r="A215" s="180">
        <f>'Données projet'!A198</f>
        <v>0</v>
      </c>
      <c r="B215" s="181">
        <f>'Données projet'!D198</f>
        <v>0</v>
      </c>
      <c r="C215" s="193">
        <f>150*'Données projet'!E198+13.8*('Données projet'!F198+'Données projet'!G198)+10*'Données projet'!H198</f>
        <v>0</v>
      </c>
      <c r="D215" s="179">
        <f t="shared" si="12"/>
        <v>0</v>
      </c>
      <c r="E215" s="193"/>
      <c r="F215" s="231"/>
      <c r="G215" s="205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">
      <c r="A216" s="180">
        <f>'Données projet'!A199</f>
        <v>0</v>
      </c>
      <c r="B216" s="181">
        <f>'Données projet'!D199</f>
        <v>0</v>
      </c>
      <c r="C216" s="193">
        <f>150*'Données projet'!E199+13.8*('Données projet'!F199+'Données projet'!G199)+10*'Données projet'!H199</f>
        <v>0</v>
      </c>
      <c r="D216" s="179">
        <f t="shared" si="12"/>
        <v>0</v>
      </c>
      <c r="E216" s="193"/>
      <c r="F216" s="231"/>
      <c r="G216" s="205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">
      <c r="A217" s="180">
        <f>'Données projet'!A200</f>
        <v>0</v>
      </c>
      <c r="B217" s="181">
        <f>'Données projet'!D200</f>
        <v>0</v>
      </c>
      <c r="C217" s="193">
        <f>150*'Données projet'!E200+13.8*('Données projet'!F200+'Données projet'!G200)+10*'Données projet'!H200</f>
        <v>0</v>
      </c>
      <c r="D217" s="179">
        <f t="shared" si="12"/>
        <v>0</v>
      </c>
      <c r="E217" s="193"/>
      <c r="F217" s="231"/>
      <c r="G217" s="205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">
      <c r="A218" s="180">
        <f>'Données projet'!A201</f>
        <v>0</v>
      </c>
      <c r="B218" s="181">
        <f>'Données projet'!D201</f>
        <v>0</v>
      </c>
      <c r="C218" s="193">
        <f>150*'Données projet'!E201+13.8*('Données projet'!F201+'Données projet'!G201)+10*'Données projet'!H201</f>
        <v>0</v>
      </c>
      <c r="D218" s="179">
        <f t="shared" si="12"/>
        <v>0</v>
      </c>
      <c r="E218" s="193"/>
      <c r="F218" s="231"/>
      <c r="G218" s="205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">
      <c r="A219" s="180">
        <f>'Données projet'!A202</f>
        <v>0</v>
      </c>
      <c r="B219" s="181">
        <f>'Données projet'!D202</f>
        <v>0</v>
      </c>
      <c r="C219" s="193">
        <f>150*'Données projet'!E202+13.8*('Données projet'!F202+'Données projet'!G202)+10*'Données projet'!H202</f>
        <v>0</v>
      </c>
      <c r="D219" s="179">
        <f t="shared" si="12"/>
        <v>0</v>
      </c>
      <c r="E219" s="193"/>
      <c r="F219" s="231"/>
      <c r="G219" s="205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">
      <c r="A220" s="180">
        <f>'Données projet'!A203</f>
        <v>0</v>
      </c>
      <c r="B220" s="181">
        <f>'Données projet'!D203</f>
        <v>0</v>
      </c>
      <c r="C220" s="193">
        <f>150*'Données projet'!E203+13.8*('Données projet'!F203+'Données projet'!G203)+10*'Données projet'!H203</f>
        <v>0</v>
      </c>
      <c r="D220" s="179">
        <f t="shared" si="12"/>
        <v>0</v>
      </c>
      <c r="E220" s="193"/>
      <c r="F220" s="231"/>
      <c r="G220" s="205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">
      <c r="A221" s="180">
        <f>'Données projet'!A204</f>
        <v>0</v>
      </c>
      <c r="B221" s="181">
        <f>'Données projet'!D204</f>
        <v>0</v>
      </c>
      <c r="C221" s="193">
        <f>150*'Données projet'!E204+13.8*('Données projet'!F204+'Données projet'!G204)+10*'Données projet'!H204</f>
        <v>0</v>
      </c>
      <c r="D221" s="179">
        <f t="shared" si="12"/>
        <v>0</v>
      </c>
      <c r="E221" s="193"/>
      <c r="F221" s="231"/>
      <c r="G221" s="205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">
      <c r="A222" s="180">
        <f>'Données projet'!A205</f>
        <v>0</v>
      </c>
      <c r="B222" s="181">
        <f>'Données projet'!D205</f>
        <v>0</v>
      </c>
      <c r="C222" s="193">
        <f>150*'Données projet'!E205+13.8*('Données projet'!F205+'Données projet'!G205)+10*'Données projet'!H205</f>
        <v>0</v>
      </c>
      <c r="D222" s="179">
        <f t="shared" si="12"/>
        <v>0</v>
      </c>
      <c r="E222" s="193"/>
      <c r="F222" s="231"/>
      <c r="G222" s="205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">
      <c r="A223" s="180">
        <f>'Données projet'!A206</f>
        <v>0</v>
      </c>
      <c r="B223" s="181">
        <f>'Données projet'!D206</f>
        <v>0</v>
      </c>
      <c r="C223" s="193">
        <f>150*'Données projet'!E206+13.8*('Données projet'!F206+'Données projet'!G206)+10*'Données projet'!H206</f>
        <v>0</v>
      </c>
      <c r="D223" s="179">
        <f t="shared" si="12"/>
        <v>0</v>
      </c>
      <c r="E223" s="193"/>
      <c r="F223" s="231"/>
      <c r="G223" s="205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">
      <c r="A224" s="180">
        <f>'Données projet'!A207</f>
        <v>0</v>
      </c>
      <c r="B224" s="181">
        <f>'Données projet'!D207</f>
        <v>0</v>
      </c>
      <c r="C224" s="193">
        <f>150*'Données projet'!E207+13.8*('Données projet'!F207+'Données projet'!G207)+10*'Données projet'!H207</f>
        <v>0</v>
      </c>
      <c r="D224" s="179">
        <f t="shared" si="12"/>
        <v>0</v>
      </c>
      <c r="E224" s="193"/>
      <c r="F224" s="231"/>
      <c r="G224" s="205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">
      <c r="A225" s="180">
        <f>'Données projet'!A208</f>
        <v>0</v>
      </c>
      <c r="B225" s="181">
        <f>'Données projet'!D208</f>
        <v>0</v>
      </c>
      <c r="C225" s="193">
        <f>150*'Données projet'!E208+13.8*('Données projet'!F208+'Données projet'!G208)+10*'Données projet'!H208</f>
        <v>0</v>
      </c>
      <c r="D225" s="179">
        <f t="shared" si="12"/>
        <v>0</v>
      </c>
      <c r="E225" s="193"/>
      <c r="F225" s="231"/>
      <c r="G225" s="205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">
      <c r="A226" s="180">
        <f>'Données projet'!A209</f>
        <v>0</v>
      </c>
      <c r="B226" s="181">
        <f>'Données projet'!D209</f>
        <v>0</v>
      </c>
      <c r="C226" s="193">
        <f>150*'Données projet'!E209+13.8*('Données projet'!F209+'Données projet'!G209)+10*'Données projet'!H209</f>
        <v>0</v>
      </c>
      <c r="D226" s="179">
        <f t="shared" si="12"/>
        <v>0</v>
      </c>
      <c r="E226" s="193"/>
      <c r="F226" s="231"/>
      <c r="G226" s="205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">
      <c r="A227" s="180">
        <f>'Données projet'!A210</f>
        <v>0</v>
      </c>
      <c r="B227" s="181">
        <f>'Données projet'!D210</f>
        <v>0</v>
      </c>
      <c r="C227" s="193">
        <f>150*'Données projet'!E210+13.8*('Données projet'!F210+'Données projet'!G210)+10*'Données projet'!H210</f>
        <v>0</v>
      </c>
      <c r="D227" s="179">
        <f t="shared" si="12"/>
        <v>0</v>
      </c>
      <c r="E227" s="193"/>
      <c r="F227" s="231"/>
      <c r="G227" s="205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">
      <c r="A228" s="180">
        <f>'Données projet'!A211</f>
        <v>0</v>
      </c>
      <c r="B228" s="181">
        <f>'Données projet'!D211</f>
        <v>0</v>
      </c>
      <c r="C228" s="193">
        <f>150*'Données projet'!E211+13.8*('Données projet'!F211+'Données projet'!G211)+10*'Données projet'!H211</f>
        <v>0</v>
      </c>
      <c r="D228" s="179">
        <f t="shared" si="12"/>
        <v>0</v>
      </c>
      <c r="E228" s="193"/>
      <c r="F228" s="231"/>
      <c r="G228" s="205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">
      <c r="A229" s="4"/>
      <c r="B229" s="4"/>
      <c r="C229" s="4"/>
      <c r="D229" s="4"/>
      <c r="E229" s="4"/>
      <c r="F229" s="229"/>
      <c r="G229" s="205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">
      <c r="A230" s="4"/>
      <c r="B230" s="4"/>
      <c r="C230" s="4"/>
      <c r="D230" s="4"/>
      <c r="E230" s="4"/>
      <c r="F230" s="229"/>
      <c r="G230" s="205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29"/>
      <c r="G231" s="205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">
      <c r="A232" s="46"/>
      <c r="B232" s="4"/>
      <c r="C232" s="4"/>
      <c r="D232" s="4"/>
      <c r="E232" s="4"/>
      <c r="F232" s="229"/>
      <c r="G232" s="205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ht="16" x14ac:dyDescent="0.2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0"/>
      <c r="G233" s="205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ht="16" x14ac:dyDescent="0.2">
      <c r="A234" s="49">
        <v>0</v>
      </c>
      <c r="B234" s="198" t="s">
        <v>132</v>
      </c>
      <c r="C234" s="197" t="s">
        <v>132</v>
      </c>
      <c r="D234" s="196" t="s">
        <v>132</v>
      </c>
      <c r="E234" s="193"/>
      <c r="F234" s="230"/>
      <c r="G234" s="205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ht="16" x14ac:dyDescent="0.2">
      <c r="A235" s="49">
        <v>1</v>
      </c>
      <c r="B235" s="198" t="s">
        <v>132</v>
      </c>
      <c r="C235" s="197" t="s">
        <v>132</v>
      </c>
      <c r="D235" s="196" t="s">
        <v>132</v>
      </c>
      <c r="E235" s="193"/>
      <c r="F235" s="230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ht="16" x14ac:dyDescent="0.2">
      <c r="A236" s="49">
        <v>2</v>
      </c>
      <c r="B236" s="198" t="s">
        <v>132</v>
      </c>
      <c r="C236" s="197" t="s">
        <v>132</v>
      </c>
      <c r="D236" s="196" t="s">
        <v>132</v>
      </c>
      <c r="E236" s="193"/>
      <c r="F236" s="230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ht="16" x14ac:dyDescent="0.2">
      <c r="A237" s="49">
        <v>3</v>
      </c>
      <c r="B237" s="198" t="s">
        <v>132</v>
      </c>
      <c r="C237" s="197" t="s">
        <v>132</v>
      </c>
      <c r="D237" s="196" t="s">
        <v>132</v>
      </c>
      <c r="E237" s="193"/>
      <c r="F237" s="230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ht="16" x14ac:dyDescent="0.2">
      <c r="A238" s="49">
        <v>4</v>
      </c>
      <c r="B238" s="198" t="s">
        <v>132</v>
      </c>
      <c r="C238" s="197" t="s">
        <v>132</v>
      </c>
      <c r="D238" s="196" t="s">
        <v>132</v>
      </c>
      <c r="E238" s="193"/>
      <c r="F238" s="230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ht="16" x14ac:dyDescent="0.2">
      <c r="A239" s="49">
        <v>5</v>
      </c>
      <c r="B239" s="198" t="s">
        <v>132</v>
      </c>
      <c r="C239" s="197" t="s">
        <v>132</v>
      </c>
      <c r="D239" s="196" t="s">
        <v>132</v>
      </c>
      <c r="E239" s="193"/>
      <c r="F239" s="230"/>
      <c r="G239" s="204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">
      <c r="A240" s="180">
        <f>'Données projet'!A218</f>
        <v>0</v>
      </c>
      <c r="B240" s="181">
        <f>'Données projet'!D218</f>
        <v>0</v>
      </c>
      <c r="C240" s="193">
        <f>60*'Données projet'!E218+13.8*('Données projet'!F218+'Données projet'!G218)+10*'Données projet'!H218</f>
        <v>0</v>
      </c>
      <c r="D240" s="179">
        <f>B240*C240</f>
        <v>0</v>
      </c>
      <c r="E240" s="193"/>
      <c r="F240" s="231"/>
      <c r="G240" s="204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">
      <c r="A241" s="180">
        <f>'Données projet'!A219</f>
        <v>0</v>
      </c>
      <c r="B241" s="181">
        <f>'Données projet'!D219</f>
        <v>0</v>
      </c>
      <c r="C241" s="193">
        <f>60*'Données projet'!E219+13.8*('Données projet'!F219+'Données projet'!G219)+10*'Données projet'!H219</f>
        <v>0</v>
      </c>
      <c r="D241" s="179">
        <f t="shared" ref="D241:D259" si="13">B241*C241</f>
        <v>0</v>
      </c>
      <c r="E241" s="193"/>
      <c r="F241" s="231"/>
      <c r="G241" s="204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">
      <c r="A242" s="180">
        <f>'Données projet'!A220</f>
        <v>0</v>
      </c>
      <c r="B242" s="181">
        <f>'Données projet'!D220</f>
        <v>0</v>
      </c>
      <c r="C242" s="193">
        <f>60*'Données projet'!E220+13.8*('Données projet'!F220+'Données projet'!G220)+10*'Données projet'!H220</f>
        <v>0</v>
      </c>
      <c r="D242" s="179">
        <f t="shared" si="13"/>
        <v>0</v>
      </c>
      <c r="E242" s="193"/>
      <c r="F242" s="231"/>
      <c r="G242" s="204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">
      <c r="A243" s="180">
        <f>'Données projet'!A221</f>
        <v>0</v>
      </c>
      <c r="B243" s="181">
        <f>'Données projet'!D221</f>
        <v>0</v>
      </c>
      <c r="C243" s="193">
        <f>60*'Données projet'!E221+13.8*('Données projet'!F221+'Données projet'!G221)+10*'Données projet'!H221</f>
        <v>0</v>
      </c>
      <c r="D243" s="179">
        <f t="shared" si="13"/>
        <v>0</v>
      </c>
      <c r="E243" s="193"/>
      <c r="F243" s="231"/>
      <c r="G243" s="204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">
      <c r="A244" s="180">
        <f>'Données projet'!A222</f>
        <v>0</v>
      </c>
      <c r="B244" s="181">
        <f>'Données projet'!D222</f>
        <v>0</v>
      </c>
      <c r="C244" s="193">
        <f>60*'Données projet'!E222+13.8*('Données projet'!F222+'Données projet'!G222)+10*'Données projet'!H222</f>
        <v>0</v>
      </c>
      <c r="D244" s="179">
        <f t="shared" si="13"/>
        <v>0</v>
      </c>
      <c r="E244" s="193"/>
      <c r="F244" s="231"/>
      <c r="G244" s="204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">
      <c r="A245" s="180">
        <f>'Données projet'!A223</f>
        <v>0</v>
      </c>
      <c r="B245" s="181">
        <f>'Données projet'!D223</f>
        <v>0</v>
      </c>
      <c r="C245" s="193">
        <f>60*'Données projet'!E223+13.8*('Données projet'!F223+'Données projet'!G223)+10*'Données projet'!H223</f>
        <v>0</v>
      </c>
      <c r="D245" s="179">
        <f t="shared" si="13"/>
        <v>0</v>
      </c>
      <c r="E245" s="193"/>
      <c r="F245" s="231"/>
      <c r="G245" s="204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">
      <c r="A246" s="180">
        <f>'Données projet'!A224</f>
        <v>0</v>
      </c>
      <c r="B246" s="181">
        <f>'Données projet'!D224</f>
        <v>0</v>
      </c>
      <c r="C246" s="193">
        <f>60*'Données projet'!E224+13.8*('Données projet'!F224+'Données projet'!G224)+10*'Données projet'!H224</f>
        <v>0</v>
      </c>
      <c r="D246" s="179">
        <f t="shared" si="13"/>
        <v>0</v>
      </c>
      <c r="E246" s="193"/>
      <c r="F246" s="231"/>
      <c r="G246" s="205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">
      <c r="A247" s="180">
        <f>'Données projet'!A225</f>
        <v>0</v>
      </c>
      <c r="B247" s="181">
        <f>'Données projet'!D225</f>
        <v>0</v>
      </c>
      <c r="C247" s="193">
        <f>60*'Données projet'!E225+13.8*('Données projet'!F225+'Données projet'!G225)+10*'Données projet'!H225</f>
        <v>0</v>
      </c>
      <c r="D247" s="179">
        <f t="shared" si="13"/>
        <v>0</v>
      </c>
      <c r="E247" s="193"/>
      <c r="F247" s="231"/>
      <c r="G247" s="205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">
      <c r="A248" s="180">
        <f>'Données projet'!A226</f>
        <v>0</v>
      </c>
      <c r="B248" s="181">
        <f>'Données projet'!D226</f>
        <v>0</v>
      </c>
      <c r="C248" s="193">
        <f>60*'Données projet'!E226+13.8*('Données projet'!F226+'Données projet'!G226)+10*'Données projet'!H226</f>
        <v>0</v>
      </c>
      <c r="D248" s="179">
        <f t="shared" si="13"/>
        <v>0</v>
      </c>
      <c r="E248" s="193"/>
      <c r="F248" s="231"/>
      <c r="G248" s="205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">
      <c r="A249" s="180">
        <f>'Données projet'!A227</f>
        <v>0</v>
      </c>
      <c r="B249" s="181">
        <f>'Données projet'!D227</f>
        <v>0</v>
      </c>
      <c r="C249" s="193">
        <f>60*'Données projet'!E227+13.8*('Données projet'!F227+'Données projet'!G227)+10*'Données projet'!H227</f>
        <v>0</v>
      </c>
      <c r="D249" s="179">
        <f t="shared" si="13"/>
        <v>0</v>
      </c>
      <c r="E249" s="193"/>
      <c r="F249" s="231"/>
      <c r="G249" s="205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">
      <c r="A250" s="180">
        <f>'Données projet'!A228</f>
        <v>0</v>
      </c>
      <c r="B250" s="181">
        <f>'Données projet'!D228</f>
        <v>0</v>
      </c>
      <c r="C250" s="193">
        <f>60*'Données projet'!E228+13.8*('Données projet'!F228+'Données projet'!G228)+10*'Données projet'!H228</f>
        <v>0</v>
      </c>
      <c r="D250" s="179">
        <f t="shared" si="13"/>
        <v>0</v>
      </c>
      <c r="E250" s="193"/>
      <c r="F250" s="231"/>
      <c r="G250" s="205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">
      <c r="A251" s="180">
        <f>'Données projet'!A229</f>
        <v>0</v>
      </c>
      <c r="B251" s="181">
        <f>'Données projet'!D229</f>
        <v>0</v>
      </c>
      <c r="C251" s="193">
        <f>60*'Données projet'!E229+13.8*('Données projet'!F229+'Données projet'!G229)+10*'Données projet'!H229</f>
        <v>0</v>
      </c>
      <c r="D251" s="179">
        <f t="shared" si="13"/>
        <v>0</v>
      </c>
      <c r="E251" s="193"/>
      <c r="F251" s="231"/>
      <c r="G251" s="205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">
      <c r="A252" s="180">
        <f>'Données projet'!A230</f>
        <v>0</v>
      </c>
      <c r="B252" s="181">
        <f>'Données projet'!D230</f>
        <v>0</v>
      </c>
      <c r="C252" s="193">
        <f>60*'Données projet'!E230+13.8*('Données projet'!F230+'Données projet'!G230)+10*'Données projet'!H230</f>
        <v>0</v>
      </c>
      <c r="D252" s="179">
        <f t="shared" si="13"/>
        <v>0</v>
      </c>
      <c r="E252" s="193"/>
      <c r="F252" s="231"/>
      <c r="G252" s="205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">
      <c r="A253" s="180">
        <f>'Données projet'!A231</f>
        <v>0</v>
      </c>
      <c r="B253" s="181">
        <f>'Données projet'!D231</f>
        <v>0</v>
      </c>
      <c r="C253" s="193">
        <f>60*'Données projet'!E231+13.8*('Données projet'!F231+'Données projet'!G231)+10*'Données projet'!H231</f>
        <v>0</v>
      </c>
      <c r="D253" s="179">
        <f t="shared" si="13"/>
        <v>0</v>
      </c>
      <c r="E253" s="193"/>
      <c r="F253" s="231"/>
      <c r="G253" s="205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">
      <c r="A254" s="180">
        <f>'Données projet'!A232</f>
        <v>0</v>
      </c>
      <c r="B254" s="181">
        <f>'Données projet'!D232</f>
        <v>0</v>
      </c>
      <c r="C254" s="193">
        <f>60*'Données projet'!E232+13.8*('Données projet'!F232+'Données projet'!G232)+10*'Données projet'!H232</f>
        <v>0</v>
      </c>
      <c r="D254" s="179">
        <f t="shared" si="13"/>
        <v>0</v>
      </c>
      <c r="E254" s="193"/>
      <c r="F254" s="231"/>
      <c r="G254" s="205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">
      <c r="A255" s="180">
        <f>'Données projet'!A233</f>
        <v>0</v>
      </c>
      <c r="B255" s="181">
        <f>'Données projet'!D233</f>
        <v>0</v>
      </c>
      <c r="C255" s="193">
        <f>60*'Données projet'!E233+13.8*('Données projet'!F233+'Données projet'!G233)+10*'Données projet'!H233</f>
        <v>0</v>
      </c>
      <c r="D255" s="179">
        <f t="shared" si="13"/>
        <v>0</v>
      </c>
      <c r="E255" s="193"/>
      <c r="F255" s="231"/>
      <c r="G255" s="205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">
      <c r="A256" s="180">
        <f>'Données projet'!A234</f>
        <v>0</v>
      </c>
      <c r="B256" s="181">
        <f>'Données projet'!D234</f>
        <v>0</v>
      </c>
      <c r="C256" s="193">
        <f>60*'Données projet'!E234+13.8*('Données projet'!F234+'Données projet'!G234)+10*'Données projet'!H234</f>
        <v>0</v>
      </c>
      <c r="D256" s="179">
        <f t="shared" si="13"/>
        <v>0</v>
      </c>
      <c r="E256" s="193"/>
      <c r="F256" s="231"/>
      <c r="G256" s="205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">
      <c r="A257" s="180">
        <f>'Données projet'!A235</f>
        <v>0</v>
      </c>
      <c r="B257" s="181">
        <f>'Données projet'!D235</f>
        <v>0</v>
      </c>
      <c r="C257" s="193">
        <f>60*'Données projet'!E235+13.8*('Données projet'!F235+'Données projet'!G235)+10*'Données projet'!H235</f>
        <v>0</v>
      </c>
      <c r="D257" s="179">
        <f t="shared" si="13"/>
        <v>0</v>
      </c>
      <c r="E257" s="193"/>
      <c r="F257" s="231"/>
      <c r="G257" s="205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">
      <c r="A258" s="180">
        <f>'Données projet'!A236</f>
        <v>0</v>
      </c>
      <c r="B258" s="181">
        <f>'Données projet'!D236</f>
        <v>0</v>
      </c>
      <c r="C258" s="193">
        <f>60*'Données projet'!E236+13.8*('Données projet'!F236+'Données projet'!G236)+10*'Données projet'!H236</f>
        <v>0</v>
      </c>
      <c r="D258" s="179">
        <f t="shared" si="13"/>
        <v>0</v>
      </c>
      <c r="E258" s="193"/>
      <c r="F258" s="231"/>
      <c r="G258" s="205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">
      <c r="A259" s="180">
        <f>'Données projet'!A237</f>
        <v>0</v>
      </c>
      <c r="B259" s="181">
        <f>'Données projet'!D237</f>
        <v>0</v>
      </c>
      <c r="C259" s="193">
        <f>60*'Données projet'!E237+13.8*('Données projet'!F237+'Données projet'!G237)+10*'Données projet'!H237</f>
        <v>0</v>
      </c>
      <c r="D259" s="179">
        <f t="shared" si="13"/>
        <v>0</v>
      </c>
      <c r="E259" s="193"/>
      <c r="F259" s="231"/>
      <c r="G259" s="205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">
      <c r="A260" s="4"/>
      <c r="B260" s="4"/>
      <c r="C260" s="4"/>
      <c r="D260" s="4"/>
      <c r="E260" s="4"/>
      <c r="F260" s="229"/>
      <c r="G260" s="205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">
      <c r="A261" s="4"/>
      <c r="B261" s="4"/>
      <c r="C261" s="4"/>
      <c r="D261" s="4"/>
      <c r="E261" s="4"/>
      <c r="F261" s="229"/>
      <c r="G261" s="205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29"/>
      <c r="G262" s="205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">
      <c r="A263" s="46"/>
      <c r="B263" s="4"/>
      <c r="C263" s="4"/>
      <c r="D263" s="4"/>
      <c r="E263" s="4"/>
      <c r="F263" s="229"/>
      <c r="G263" s="205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ht="16" x14ac:dyDescent="0.2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0"/>
      <c r="G264" s="205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ht="16" x14ac:dyDescent="0.2">
      <c r="A265" s="49">
        <v>0</v>
      </c>
      <c r="B265" s="198" t="s">
        <v>132</v>
      </c>
      <c r="C265" s="197" t="s">
        <v>132</v>
      </c>
      <c r="D265" s="196" t="s">
        <v>132</v>
      </c>
      <c r="E265" s="193"/>
      <c r="F265" s="230"/>
      <c r="G265" s="205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ht="16" x14ac:dyDescent="0.2">
      <c r="A266" s="49">
        <v>1</v>
      </c>
      <c r="B266" s="198" t="s">
        <v>132</v>
      </c>
      <c r="C266" s="197" t="s">
        <v>132</v>
      </c>
      <c r="D266" s="196" t="s">
        <v>132</v>
      </c>
      <c r="E266" s="193"/>
      <c r="F266" s="230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ht="16" x14ac:dyDescent="0.2">
      <c r="A267" s="49">
        <v>2</v>
      </c>
      <c r="B267" s="198" t="s">
        <v>132</v>
      </c>
      <c r="C267" s="197" t="s">
        <v>132</v>
      </c>
      <c r="D267" s="196" t="s">
        <v>132</v>
      </c>
      <c r="E267" s="193"/>
      <c r="F267" s="230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ht="16" x14ac:dyDescent="0.2">
      <c r="A268" s="49">
        <v>3</v>
      </c>
      <c r="B268" s="198" t="s">
        <v>132</v>
      </c>
      <c r="C268" s="197" t="s">
        <v>132</v>
      </c>
      <c r="D268" s="196" t="s">
        <v>132</v>
      </c>
      <c r="E268" s="193"/>
      <c r="F268" s="230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ht="16" x14ac:dyDescent="0.2">
      <c r="A269" s="49">
        <v>4</v>
      </c>
      <c r="B269" s="198" t="s">
        <v>132</v>
      </c>
      <c r="C269" s="197" t="s">
        <v>132</v>
      </c>
      <c r="D269" s="196" t="s">
        <v>132</v>
      </c>
      <c r="E269" s="193"/>
      <c r="F269" s="230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ht="16" x14ac:dyDescent="0.2">
      <c r="A270" s="49">
        <v>5</v>
      </c>
      <c r="B270" s="198" t="s">
        <v>132</v>
      </c>
      <c r="C270" s="197" t="s">
        <v>132</v>
      </c>
      <c r="D270" s="196" t="s">
        <v>132</v>
      </c>
      <c r="E270" s="193"/>
      <c r="F270" s="230"/>
      <c r="G270" s="204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">
      <c r="A271" s="180">
        <f>'Données projet'!A244</f>
        <v>0</v>
      </c>
      <c r="B271" s="181">
        <f>'Données projet'!D244</f>
        <v>0</v>
      </c>
      <c r="C271" s="193">
        <f>60*'Données projet'!E244+13.8*('Données projet'!F244+'Données projet'!G244)+10*'Données projet'!H244</f>
        <v>0</v>
      </c>
      <c r="D271" s="179">
        <f>B271*C271</f>
        <v>0</v>
      </c>
      <c r="E271" s="193"/>
      <c r="F271" s="231"/>
      <c r="G271" s="204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">
      <c r="A272" s="180">
        <f>'Données projet'!A245</f>
        <v>0</v>
      </c>
      <c r="B272" s="181">
        <f>'Données projet'!D245</f>
        <v>0</v>
      </c>
      <c r="C272" s="193">
        <f>60*'Données projet'!E245+13.8*('Données projet'!F245+'Données projet'!G245)+10*'Données projet'!H245</f>
        <v>0</v>
      </c>
      <c r="D272" s="179">
        <f t="shared" ref="D272:D290" si="14">B272*C272</f>
        <v>0</v>
      </c>
      <c r="E272" s="193"/>
      <c r="F272" s="231"/>
      <c r="G272" s="204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">
      <c r="A273" s="180">
        <f>'Données projet'!A246</f>
        <v>0</v>
      </c>
      <c r="B273" s="181">
        <f>'Données projet'!D246</f>
        <v>0</v>
      </c>
      <c r="C273" s="193">
        <f>60*'Données projet'!E246+13.8*('Données projet'!F246+'Données projet'!G246)+10*'Données projet'!H246</f>
        <v>0</v>
      </c>
      <c r="D273" s="179">
        <f t="shared" si="14"/>
        <v>0</v>
      </c>
      <c r="E273" s="193"/>
      <c r="F273" s="231"/>
      <c r="G273" s="204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">
      <c r="A274" s="180">
        <f>'Données projet'!A247</f>
        <v>0</v>
      </c>
      <c r="B274" s="181">
        <f>'Données projet'!D247</f>
        <v>0</v>
      </c>
      <c r="C274" s="193">
        <f>60*'Données projet'!E247+13.8*('Données projet'!F247+'Données projet'!G247)+10*'Données projet'!H247</f>
        <v>0</v>
      </c>
      <c r="D274" s="179">
        <f t="shared" si="14"/>
        <v>0</v>
      </c>
      <c r="E274" s="193"/>
      <c r="F274" s="231"/>
      <c r="G274" s="204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">
      <c r="A275" s="180">
        <f>'Données projet'!A248</f>
        <v>0</v>
      </c>
      <c r="B275" s="181">
        <f>'Données projet'!D248</f>
        <v>0</v>
      </c>
      <c r="C275" s="193">
        <f>60*'Données projet'!E248+13.8*('Données projet'!F248+'Données projet'!G248)+10*'Données projet'!H248</f>
        <v>0</v>
      </c>
      <c r="D275" s="179">
        <f t="shared" si="14"/>
        <v>0</v>
      </c>
      <c r="E275" s="193"/>
      <c r="F275" s="231"/>
      <c r="G275" s="204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">
      <c r="A276" s="180">
        <f>'Données projet'!A249</f>
        <v>0</v>
      </c>
      <c r="B276" s="181">
        <f>'Données projet'!D249</f>
        <v>0</v>
      </c>
      <c r="C276" s="193">
        <f>60*'Données projet'!E249+13.8*('Données projet'!F249+'Données projet'!G249)+10*'Données projet'!H249</f>
        <v>0</v>
      </c>
      <c r="D276" s="179">
        <f t="shared" si="14"/>
        <v>0</v>
      </c>
      <c r="E276" s="193"/>
      <c r="F276" s="231"/>
      <c r="G276" s="204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">
      <c r="A277" s="180">
        <f>'Données projet'!A250</f>
        <v>0</v>
      </c>
      <c r="B277" s="181">
        <f>'Données projet'!D250</f>
        <v>0</v>
      </c>
      <c r="C277" s="193">
        <f>60*'Données projet'!E250+13.8*('Données projet'!F250+'Données projet'!G250)+10*'Données projet'!H250</f>
        <v>0</v>
      </c>
      <c r="D277" s="179">
        <f t="shared" si="14"/>
        <v>0</v>
      </c>
      <c r="E277" s="193"/>
      <c r="F277" s="231"/>
      <c r="G277" s="205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">
      <c r="A278" s="180">
        <f>'Données projet'!A251</f>
        <v>0</v>
      </c>
      <c r="B278" s="181">
        <f>'Données projet'!D251</f>
        <v>0</v>
      </c>
      <c r="C278" s="193">
        <f>60*'Données projet'!E251+13.8*('Données projet'!F251+'Données projet'!G251)+10*'Données projet'!H251</f>
        <v>0</v>
      </c>
      <c r="D278" s="179">
        <f t="shared" si="14"/>
        <v>0</v>
      </c>
      <c r="E278" s="193"/>
      <c r="F278" s="231"/>
      <c r="G278" s="205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">
      <c r="A279" s="180">
        <f>'Données projet'!A252</f>
        <v>0</v>
      </c>
      <c r="B279" s="181">
        <f>'Données projet'!D252</f>
        <v>0</v>
      </c>
      <c r="C279" s="193">
        <f>60*'Données projet'!E252+13.8*('Données projet'!F252+'Données projet'!G252)+10*'Données projet'!H252</f>
        <v>0</v>
      </c>
      <c r="D279" s="179">
        <f t="shared" si="14"/>
        <v>0</v>
      </c>
      <c r="E279" s="193"/>
      <c r="F279" s="231"/>
      <c r="G279" s="205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">
      <c r="A280" s="180">
        <f>'Données projet'!A253</f>
        <v>0</v>
      </c>
      <c r="B280" s="181">
        <f>'Données projet'!D253</f>
        <v>0</v>
      </c>
      <c r="C280" s="193">
        <f>60*'Données projet'!E253+13.8*('Données projet'!F253+'Données projet'!G253)+10*'Données projet'!H253</f>
        <v>0</v>
      </c>
      <c r="D280" s="179">
        <f t="shared" si="14"/>
        <v>0</v>
      </c>
      <c r="E280" s="193"/>
      <c r="F280" s="231"/>
      <c r="G280" s="205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">
      <c r="A281" s="180">
        <f>'Données projet'!A254</f>
        <v>0</v>
      </c>
      <c r="B281" s="181">
        <f>'Données projet'!D254</f>
        <v>0</v>
      </c>
      <c r="C281" s="193">
        <f>60*'Données projet'!E254+13.8*('Données projet'!F254+'Données projet'!G254)+10*'Données projet'!H254</f>
        <v>0</v>
      </c>
      <c r="D281" s="179">
        <f t="shared" si="14"/>
        <v>0</v>
      </c>
      <c r="E281" s="193"/>
      <c r="F281" s="231"/>
      <c r="G281" s="205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">
      <c r="A282" s="180">
        <f>'Données projet'!A255</f>
        <v>0</v>
      </c>
      <c r="B282" s="181">
        <f>'Données projet'!D255</f>
        <v>0</v>
      </c>
      <c r="C282" s="193">
        <f>60*'Données projet'!E255+13.8*('Données projet'!F255+'Données projet'!G255)+10*'Données projet'!H255</f>
        <v>0</v>
      </c>
      <c r="D282" s="179">
        <f t="shared" si="14"/>
        <v>0</v>
      </c>
      <c r="E282" s="193"/>
      <c r="F282" s="231"/>
      <c r="G282" s="205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">
      <c r="A283" s="180">
        <f>'Données projet'!A256</f>
        <v>0</v>
      </c>
      <c r="B283" s="181">
        <f>'Données projet'!D256</f>
        <v>0</v>
      </c>
      <c r="C283" s="193">
        <f>60*'Données projet'!E256+13.8*('Données projet'!F256+'Données projet'!G256)+10*'Données projet'!H256</f>
        <v>0</v>
      </c>
      <c r="D283" s="179">
        <f t="shared" si="14"/>
        <v>0</v>
      </c>
      <c r="E283" s="193"/>
      <c r="F283" s="231"/>
      <c r="G283" s="205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">
      <c r="A284" s="180">
        <f>'Données projet'!A257</f>
        <v>0</v>
      </c>
      <c r="B284" s="181">
        <f>'Données projet'!D257</f>
        <v>0</v>
      </c>
      <c r="C284" s="193">
        <f>60*'Données projet'!E257+13.8*('Données projet'!F257+'Données projet'!G257)+10*'Données projet'!H257</f>
        <v>0</v>
      </c>
      <c r="D284" s="179">
        <f t="shared" si="14"/>
        <v>0</v>
      </c>
      <c r="E284" s="193"/>
      <c r="F284" s="231"/>
      <c r="G284" s="205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">
      <c r="A285" s="180">
        <f>'Données projet'!A258</f>
        <v>0</v>
      </c>
      <c r="B285" s="181">
        <f>'Données projet'!D258</f>
        <v>0</v>
      </c>
      <c r="C285" s="193">
        <f>60*'Données projet'!E258+13.8*('Données projet'!F258+'Données projet'!G258)+10*'Données projet'!H258</f>
        <v>0</v>
      </c>
      <c r="D285" s="179">
        <f t="shared" si="14"/>
        <v>0</v>
      </c>
      <c r="E285" s="193"/>
      <c r="F285" s="231"/>
      <c r="G285" s="205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">
      <c r="A286" s="180">
        <f>'Données projet'!A259</f>
        <v>0</v>
      </c>
      <c r="B286" s="181">
        <f>'Données projet'!D259</f>
        <v>0</v>
      </c>
      <c r="C286" s="193">
        <f>60*'Données projet'!E259+13.8*('Données projet'!F259+'Données projet'!G259)+10*'Données projet'!H259</f>
        <v>0</v>
      </c>
      <c r="D286" s="179">
        <f t="shared" si="14"/>
        <v>0</v>
      </c>
      <c r="E286" s="193"/>
      <c r="F286" s="231"/>
      <c r="G286" s="205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">
      <c r="A287" s="180">
        <f>'Données projet'!A260</f>
        <v>0</v>
      </c>
      <c r="B287" s="181">
        <f>'Données projet'!D260</f>
        <v>0</v>
      </c>
      <c r="C287" s="193">
        <f>60*'Données projet'!E260+13.8*('Données projet'!F260+'Données projet'!G260)+10*'Données projet'!H260</f>
        <v>0</v>
      </c>
      <c r="D287" s="179">
        <f t="shared" si="14"/>
        <v>0</v>
      </c>
      <c r="E287" s="193"/>
      <c r="F287" s="231"/>
      <c r="G287" s="205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">
      <c r="A288" s="180">
        <f>'Données projet'!A261</f>
        <v>0</v>
      </c>
      <c r="B288" s="181">
        <f>'Données projet'!D261</f>
        <v>0</v>
      </c>
      <c r="C288" s="193">
        <f>60*'Données projet'!E261+13.8*('Données projet'!F261+'Données projet'!G261)+10*'Données projet'!H261</f>
        <v>0</v>
      </c>
      <c r="D288" s="179">
        <f t="shared" si="14"/>
        <v>0</v>
      </c>
      <c r="E288" s="193"/>
      <c r="F288" s="231"/>
      <c r="G288" s="205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">
      <c r="A289" s="180">
        <f>'Données projet'!A262</f>
        <v>0</v>
      </c>
      <c r="B289" s="181">
        <f>'Données projet'!D262</f>
        <v>0</v>
      </c>
      <c r="C289" s="193">
        <f>60*'Données projet'!E262+13.8*('Données projet'!F262+'Données projet'!G262)+10*'Données projet'!H262</f>
        <v>0</v>
      </c>
      <c r="D289" s="179">
        <f t="shared" si="14"/>
        <v>0</v>
      </c>
      <c r="E289" s="193"/>
      <c r="F289" s="231"/>
      <c r="G289" s="205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">
      <c r="A290" s="180">
        <f>'Données projet'!A263</f>
        <v>0</v>
      </c>
      <c r="B290" s="181">
        <f>'Données projet'!D263</f>
        <v>0</v>
      </c>
      <c r="C290" s="193">
        <f>60*'Données projet'!E263+13.8*('Données projet'!F263+'Données projet'!G263)+10*'Données projet'!H263</f>
        <v>0</v>
      </c>
      <c r="D290" s="179">
        <f t="shared" si="14"/>
        <v>0</v>
      </c>
      <c r="E290" s="193"/>
      <c r="F290" s="231"/>
      <c r="G290" s="205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">
      <c r="A291" s="4"/>
      <c r="B291" s="4"/>
      <c r="C291" s="4"/>
      <c r="D291" s="4"/>
      <c r="E291" s="4"/>
      <c r="F291" s="229"/>
      <c r="G291" s="205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">
      <c r="A292" s="4"/>
      <c r="B292" s="4"/>
      <c r="C292" s="4"/>
      <c r="D292" s="4"/>
      <c r="E292" s="4"/>
      <c r="F292" s="229"/>
      <c r="G292" s="205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29"/>
      <c r="G293" s="205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">
      <c r="A294" s="46"/>
      <c r="B294" s="4"/>
      <c r="C294" s="4"/>
      <c r="D294" s="4"/>
      <c r="E294" s="4"/>
      <c r="F294" s="229"/>
      <c r="G294" s="205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ht="16" x14ac:dyDescent="0.2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0"/>
      <c r="G295" s="205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ht="16" x14ac:dyDescent="0.2">
      <c r="A296" s="49">
        <v>0</v>
      </c>
      <c r="B296" s="198" t="s">
        <v>132</v>
      </c>
      <c r="C296" s="197" t="s">
        <v>132</v>
      </c>
      <c r="D296" s="196" t="s">
        <v>132</v>
      </c>
      <c r="E296" s="193"/>
      <c r="F296" s="230"/>
      <c r="G296" s="205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ht="16" x14ac:dyDescent="0.2">
      <c r="A297" s="49">
        <v>1</v>
      </c>
      <c r="B297" s="198" t="s">
        <v>132</v>
      </c>
      <c r="C297" s="197" t="s">
        <v>132</v>
      </c>
      <c r="D297" s="196" t="s">
        <v>132</v>
      </c>
      <c r="E297" s="193"/>
      <c r="F297" s="230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ht="16" x14ac:dyDescent="0.2">
      <c r="A298" s="49">
        <v>2</v>
      </c>
      <c r="B298" s="198" t="s">
        <v>132</v>
      </c>
      <c r="C298" s="197" t="s">
        <v>132</v>
      </c>
      <c r="D298" s="196" t="s">
        <v>132</v>
      </c>
      <c r="E298" s="193"/>
      <c r="F298" s="230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ht="16" x14ac:dyDescent="0.2">
      <c r="A299" s="49">
        <v>3</v>
      </c>
      <c r="B299" s="198" t="s">
        <v>132</v>
      </c>
      <c r="C299" s="197" t="s">
        <v>132</v>
      </c>
      <c r="D299" s="196" t="s">
        <v>132</v>
      </c>
      <c r="E299" s="193"/>
      <c r="F299" s="230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ht="16" x14ac:dyDescent="0.2">
      <c r="A300" s="49">
        <v>4</v>
      </c>
      <c r="B300" s="198" t="s">
        <v>132</v>
      </c>
      <c r="C300" s="197" t="s">
        <v>132</v>
      </c>
      <c r="D300" s="196" t="s">
        <v>132</v>
      </c>
      <c r="E300" s="193"/>
      <c r="F300" s="230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ht="16" x14ac:dyDescent="0.2">
      <c r="A301" s="49">
        <v>5</v>
      </c>
      <c r="B301" s="198" t="s">
        <v>132</v>
      </c>
      <c r="C301" s="197" t="s">
        <v>132</v>
      </c>
      <c r="D301" s="196" t="s">
        <v>132</v>
      </c>
      <c r="E301" s="193"/>
      <c r="F301" s="230"/>
      <c r="G301" s="204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">
      <c r="A302" s="180">
        <f>'Données projet'!A270</f>
        <v>0</v>
      </c>
      <c r="B302" s="181">
        <f>'Données projet'!D270</f>
        <v>0</v>
      </c>
      <c r="C302" s="191">
        <f>80*'Données projet'!E270+13.8*('Données projet'!F270+'Données projet'!G270)+10*'Données projet'!H270</f>
        <v>0</v>
      </c>
      <c r="D302" s="182">
        <f>B302*C302</f>
        <v>0</v>
      </c>
      <c r="E302" s="193"/>
      <c r="F302" s="232"/>
      <c r="G302" s="204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">
      <c r="A303" s="180">
        <f>'Données projet'!A271</f>
        <v>0</v>
      </c>
      <c r="B303" s="181">
        <f>'Données projet'!D271</f>
        <v>0</v>
      </c>
      <c r="C303" s="191">
        <f>80*'Données projet'!E271+13.8*('Données projet'!F271+'Données projet'!G271)+10*'Données projet'!H271</f>
        <v>0</v>
      </c>
      <c r="D303" s="182">
        <f t="shared" ref="D303:D321" si="15">B303*C303</f>
        <v>0</v>
      </c>
      <c r="E303" s="193"/>
      <c r="F303" s="232"/>
      <c r="G303" s="204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">
      <c r="A304" s="180">
        <f>'Données projet'!A272</f>
        <v>0</v>
      </c>
      <c r="B304" s="181">
        <f>'Données projet'!D272</f>
        <v>0</v>
      </c>
      <c r="C304" s="191">
        <f>80*'Données projet'!E272+13.8*('Données projet'!F272+'Données projet'!G272)+10*'Données projet'!H272</f>
        <v>0</v>
      </c>
      <c r="D304" s="182">
        <f t="shared" si="15"/>
        <v>0</v>
      </c>
      <c r="E304" s="193"/>
      <c r="F304" s="232"/>
      <c r="G304" s="204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">
      <c r="A305" s="180">
        <f>'Données projet'!A273</f>
        <v>0</v>
      </c>
      <c r="B305" s="181">
        <f>'Données projet'!D273</f>
        <v>0</v>
      </c>
      <c r="C305" s="191">
        <f>80*'Données projet'!E273+13.8*('Données projet'!F273+'Données projet'!G273)+10*'Données projet'!H273</f>
        <v>0</v>
      </c>
      <c r="D305" s="182">
        <f t="shared" si="15"/>
        <v>0</v>
      </c>
      <c r="E305" s="193"/>
      <c r="F305" s="232"/>
      <c r="G305" s="204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">
      <c r="A306" s="180">
        <f>'Données projet'!A274</f>
        <v>0</v>
      </c>
      <c r="B306" s="181">
        <f>'Données projet'!D274</f>
        <v>0</v>
      </c>
      <c r="C306" s="191">
        <f>80*'Données projet'!E274+13.8*('Données projet'!F274+'Données projet'!G274)+10*'Données projet'!H274</f>
        <v>0</v>
      </c>
      <c r="D306" s="182">
        <f t="shared" si="15"/>
        <v>0</v>
      </c>
      <c r="E306" s="193"/>
      <c r="F306" s="232"/>
      <c r="G306" s="204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">
      <c r="A307" s="180">
        <f>'Données projet'!A275</f>
        <v>0</v>
      </c>
      <c r="B307" s="181">
        <f>'Données projet'!D275</f>
        <v>0</v>
      </c>
      <c r="C307" s="191">
        <f>80*'Données projet'!E275+13.8*('Données projet'!F275+'Données projet'!G275)+10*'Données projet'!H275</f>
        <v>0</v>
      </c>
      <c r="D307" s="182">
        <f t="shared" si="15"/>
        <v>0</v>
      </c>
      <c r="E307" s="193"/>
      <c r="F307" s="232"/>
      <c r="G307" s="204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">
      <c r="A308" s="180">
        <f>'Données projet'!A276</f>
        <v>0</v>
      </c>
      <c r="B308" s="181">
        <f>'Données projet'!D276</f>
        <v>0</v>
      </c>
      <c r="C308" s="191">
        <f>80*'Données projet'!E276+13.8*('Données projet'!F276+'Données projet'!G276)+10*'Données projet'!H276</f>
        <v>0</v>
      </c>
      <c r="D308" s="182">
        <f t="shared" si="15"/>
        <v>0</v>
      </c>
      <c r="E308" s="193"/>
      <c r="F308" s="232"/>
      <c r="G308" s="202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">
      <c r="A309" s="180">
        <f>'Données projet'!A277</f>
        <v>0</v>
      </c>
      <c r="B309" s="181">
        <f>'Données projet'!D277</f>
        <v>0</v>
      </c>
      <c r="C309" s="191">
        <f>80*'Données projet'!E277+13.8*('Données projet'!F277+'Données projet'!G277)+10*'Données projet'!H277</f>
        <v>0</v>
      </c>
      <c r="D309" s="182">
        <f t="shared" si="15"/>
        <v>0</v>
      </c>
      <c r="E309" s="193"/>
      <c r="F309" s="232"/>
      <c r="G309" s="202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">
      <c r="A310" s="180">
        <f>'Données projet'!A278</f>
        <v>0</v>
      </c>
      <c r="B310" s="181">
        <f>'Données projet'!D278</f>
        <v>0</v>
      </c>
      <c r="C310" s="191">
        <f>80*'Données projet'!E278+13.8*('Données projet'!F278+'Données projet'!G278)+10*'Données projet'!H278</f>
        <v>0</v>
      </c>
      <c r="D310" s="182">
        <f t="shared" si="15"/>
        <v>0</v>
      </c>
      <c r="E310" s="193"/>
      <c r="F310" s="232"/>
      <c r="G310" s="202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">
      <c r="A311" s="180">
        <f>'Données projet'!A279</f>
        <v>0</v>
      </c>
      <c r="B311" s="181">
        <f>'Données projet'!D279</f>
        <v>0</v>
      </c>
      <c r="C311" s="191">
        <f>80*'Données projet'!E279+13.8*('Données projet'!F279+'Données projet'!G279)+10*'Données projet'!H279</f>
        <v>0</v>
      </c>
      <c r="D311" s="182">
        <f t="shared" si="15"/>
        <v>0</v>
      </c>
      <c r="E311" s="193"/>
      <c r="F311" s="232"/>
      <c r="G311" s="202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">
      <c r="A312" s="180">
        <f>'Données projet'!A280</f>
        <v>0</v>
      </c>
      <c r="B312" s="181">
        <f>'Données projet'!D280</f>
        <v>0</v>
      </c>
      <c r="C312" s="191">
        <f>80*'Données projet'!E280+13.8*('Données projet'!F280+'Données projet'!G280)+10*'Données projet'!H280</f>
        <v>0</v>
      </c>
      <c r="D312" s="182">
        <f t="shared" si="15"/>
        <v>0</v>
      </c>
      <c r="E312" s="193"/>
      <c r="F312" s="232"/>
      <c r="G312" s="202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">
      <c r="A313" s="180">
        <f>'Données projet'!A281</f>
        <v>0</v>
      </c>
      <c r="B313" s="181">
        <f>'Données projet'!D281</f>
        <v>0</v>
      </c>
      <c r="C313" s="191">
        <f>80*'Données projet'!E281+13.8*('Données projet'!F281+'Données projet'!G281)+10*'Données projet'!H281</f>
        <v>0</v>
      </c>
      <c r="D313" s="182">
        <f t="shared" si="15"/>
        <v>0</v>
      </c>
      <c r="E313" s="193"/>
      <c r="F313" s="232"/>
      <c r="G313" s="202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">
      <c r="A314" s="180">
        <f>'Données projet'!A282</f>
        <v>0</v>
      </c>
      <c r="B314" s="181">
        <f>'Données projet'!D282</f>
        <v>0</v>
      </c>
      <c r="C314" s="191">
        <f>80*'Données projet'!E282+13.8*('Données projet'!F282+'Données projet'!G282)+10*'Données projet'!H282</f>
        <v>0</v>
      </c>
      <c r="D314" s="182">
        <f t="shared" si="15"/>
        <v>0</v>
      </c>
      <c r="E314" s="193"/>
      <c r="F314" s="232"/>
      <c r="G314" s="202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">
      <c r="A315" s="180">
        <f>'Données projet'!A283</f>
        <v>0</v>
      </c>
      <c r="B315" s="181">
        <f>'Données projet'!D283</f>
        <v>0</v>
      </c>
      <c r="C315" s="191">
        <f>80*'Données projet'!E283+13.8*('Données projet'!F283+'Données projet'!G283)+10*'Données projet'!H283</f>
        <v>0</v>
      </c>
      <c r="D315" s="182">
        <f t="shared" si="15"/>
        <v>0</v>
      </c>
      <c r="E315" s="193"/>
      <c r="F315" s="232"/>
      <c r="G315" s="202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">
      <c r="A316" s="180">
        <f>'Données projet'!A284</f>
        <v>0</v>
      </c>
      <c r="B316" s="181">
        <f>'Données projet'!D284</f>
        <v>0</v>
      </c>
      <c r="C316" s="191">
        <f>80*'Données projet'!E284+13.8*('Données projet'!F284+'Données projet'!G284)+10*'Données projet'!H284</f>
        <v>0</v>
      </c>
      <c r="D316" s="182">
        <f t="shared" si="15"/>
        <v>0</v>
      </c>
      <c r="E316" s="193"/>
      <c r="F316" s="232"/>
      <c r="G316" s="202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">
      <c r="A317" s="180">
        <f>'Données projet'!A285</f>
        <v>0</v>
      </c>
      <c r="B317" s="181">
        <f>'Données projet'!D285</f>
        <v>0</v>
      </c>
      <c r="C317" s="191">
        <f>80*'Données projet'!E285+13.8*('Données projet'!F285+'Données projet'!G285)+10*'Données projet'!H285</f>
        <v>0</v>
      </c>
      <c r="D317" s="182">
        <f>B317*C317</f>
        <v>0</v>
      </c>
      <c r="E317" s="193"/>
      <c r="F317" s="232"/>
      <c r="G317" s="202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">
      <c r="A318" s="180">
        <f>'Données projet'!A286</f>
        <v>0</v>
      </c>
      <c r="B318" s="181">
        <f>'Données projet'!D286</f>
        <v>0</v>
      </c>
      <c r="C318" s="191">
        <f>80*'Données projet'!E286+13.8*('Données projet'!F286+'Données projet'!G286)+10*'Données projet'!H286</f>
        <v>0</v>
      </c>
      <c r="D318" s="182">
        <f t="shared" si="15"/>
        <v>0</v>
      </c>
      <c r="E318" s="193"/>
      <c r="F318" s="232"/>
      <c r="G318" s="202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">
      <c r="A319" s="180">
        <f>'Données projet'!A287</f>
        <v>0</v>
      </c>
      <c r="B319" s="181">
        <f>'Données projet'!D287</f>
        <v>0</v>
      </c>
      <c r="C319" s="191">
        <f>80*'Données projet'!E287+13.8*('Données projet'!F287+'Données projet'!G287)+10*'Données projet'!H287</f>
        <v>0</v>
      </c>
      <c r="D319" s="182">
        <f t="shared" si="15"/>
        <v>0</v>
      </c>
      <c r="E319" s="193"/>
      <c r="F319" s="232"/>
      <c r="G319" s="202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">
      <c r="A320" s="180">
        <f>'Données projet'!A288</f>
        <v>0</v>
      </c>
      <c r="B320" s="181">
        <f>'Données projet'!D288</f>
        <v>0</v>
      </c>
      <c r="C320" s="191">
        <f>80*'Données projet'!E288+13.8*('Données projet'!F288+'Données projet'!G288)+10*'Données projet'!H288</f>
        <v>0</v>
      </c>
      <c r="D320" s="182">
        <f t="shared" si="15"/>
        <v>0</v>
      </c>
      <c r="E320" s="193"/>
      <c r="F320" s="232"/>
      <c r="G320" s="202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">
      <c r="A321" s="180">
        <f>'Données projet'!A289</f>
        <v>0</v>
      </c>
      <c r="B321" s="181">
        <f>'Données projet'!D289</f>
        <v>0</v>
      </c>
      <c r="C321" s="191">
        <f>80*'Données projet'!E289+13.8*('Données projet'!F289+'Données projet'!G289)+10*'Données projet'!H289</f>
        <v>0</v>
      </c>
      <c r="D321" s="182">
        <f t="shared" si="15"/>
        <v>0</v>
      </c>
      <c r="E321" s="193"/>
      <c r="F321" s="232"/>
      <c r="G321" s="202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">
      <c r="G322" s="202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">
      <c r="G323" s="202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">
      <c r="G324" s="202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">
      <c r="G325" s="202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">
      <c r="G326" s="202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">
      <c r="G327" s="202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Microsoft Office User</cp:lastModifiedBy>
  <dcterms:created xsi:type="dcterms:W3CDTF">2021-02-01T08:22:39Z</dcterms:created>
  <dcterms:modified xsi:type="dcterms:W3CDTF">2023-11-07T16:52:35Z</dcterms:modified>
</cp:coreProperties>
</file>