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geddta1.cfbl.fr\ZenSolutions$\doc\23\046\Z00E5N56\"/>
    </mc:Choice>
  </mc:AlternateContent>
  <xr:revisionPtr revIDLastSave="0" documentId="13_ncr:1_{F8748D17-6399-42E2-8441-4A92BCCBE98B}" xr6:coauthVersionLast="47" xr6:coauthVersionMax="47" xr10:uidLastSave="{00000000-0000-0000-0000-000000000000}"/>
  <bookViews>
    <workbookView xWindow="28680" yWindow="-1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48" i="6"/>
  <c r="E17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G38" i="2"/>
  <c r="EA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EB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HI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HG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EW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G140" i="2" l="1"/>
  <c r="EX140" i="2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FS156" i="2" l="1"/>
  <c r="HI156" i="2"/>
  <c r="A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ED158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HI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A161" i="2" l="1"/>
  <c r="HH161" i="2"/>
  <c r="EB161" i="2"/>
  <c r="EX161" i="2"/>
  <c r="HG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C162" i="2"/>
  <c r="EB162" i="2"/>
  <c r="HH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HH163" i="2"/>
  <c r="EA163" i="2"/>
  <c r="EV163" i="2"/>
  <c r="EY163" i="2" s="1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A164" i="2" l="1"/>
  <c r="DH164" i="2"/>
  <c r="FS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I167" i="2"/>
  <c r="EA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W178" i="2"/>
  <c r="EB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I179" i="2" l="1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HG185" i="2"/>
  <c r="HI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A186" i="2"/>
  <c r="FS186" i="2"/>
  <c r="ED185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C192" i="2"/>
  <c r="HI192" i="2"/>
  <c r="EB192" i="2"/>
  <c r="EW192" i="2"/>
  <c r="HG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I195" i="2" l="1"/>
  <c r="AA195" i="2"/>
  <c r="EA195" i="2"/>
  <c r="HG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A197" i="2"/>
  <c r="HG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FZ6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47" i="2" a="1"/>
  <c r="BC47" i="2" s="1"/>
  <c r="BC82" i="2" a="1"/>
  <c r="BC82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D19" i="2" l="1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BC114" i="2" a="1"/>
  <c r="BC114" i="2" s="1"/>
  <c r="BC68" i="2" a="1"/>
  <c r="BC68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BC126" i="2" a="1"/>
  <c r="BC126" i="2" s="1"/>
  <c r="BC58" i="2" a="1"/>
  <c r="BC58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<sst xmlns="http://schemas.openxmlformats.org/spreadsheetml/2006/main" count="1171" uniqueCount="324">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</sst>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4" zoomScale="80" zoomScaleNormal="80" workbookViewId="0">
      <selection activeCell="F68" sqref="F68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5.26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0.75</v>
      </c>
      <c r="D9" s="33">
        <f t="shared" ref="D9:D18" si="0">C9*$C$5</f>
        <v>3.9449999999999998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35</v>
      </c>
      <c r="C10" s="32">
        <v>0.25</v>
      </c>
      <c r="D10" s="33">
        <f t="shared" si="0"/>
        <v>1.3149999999999999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5.26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19</v>
      </c>
      <c r="B36" s="60">
        <v>162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8.526315789473685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v>335</v>
      </c>
      <c r="C37" s="60">
        <v>2</v>
      </c>
      <c r="D37" s="60">
        <v>54</v>
      </c>
      <c r="E37" s="51">
        <v>0.2</v>
      </c>
      <c r="F37" s="51">
        <v>0.4</v>
      </c>
      <c r="G37" s="51">
        <v>0.4</v>
      </c>
      <c r="H37" s="51"/>
      <c r="I37" s="53">
        <f t="shared" ref="I37:I55" si="1">IF(A37&lt;&gt;0,(B37-(B36-D36))/(A37-A36),"")</f>
        <v>28.833333333333332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421</v>
      </c>
      <c r="C38" s="60">
        <v>3</v>
      </c>
      <c r="D38" s="60">
        <v>54</v>
      </c>
      <c r="E38" s="51">
        <v>0.3</v>
      </c>
      <c r="F38" s="51">
        <v>0.5</v>
      </c>
      <c r="G38" s="51">
        <v>0.2</v>
      </c>
      <c r="H38" s="51"/>
      <c r="I38" s="53">
        <f t="shared" si="1"/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35</v>
      </c>
      <c r="B39" s="60">
        <v>505</v>
      </c>
      <c r="C39" s="60">
        <v>4</v>
      </c>
      <c r="D39" s="60">
        <v>69</v>
      </c>
      <c r="E39" s="51"/>
      <c r="F39" s="51"/>
      <c r="G39" s="51"/>
      <c r="H39" s="51"/>
      <c r="I39" s="49">
        <f t="shared" si="1"/>
        <v>27.6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40</v>
      </c>
      <c r="B40" s="60">
        <v>564</v>
      </c>
      <c r="C40" s="60">
        <v>5</v>
      </c>
      <c r="D40" s="60">
        <v>72</v>
      </c>
      <c r="E40" s="51"/>
      <c r="F40" s="51"/>
      <c r="G40" s="51"/>
      <c r="H40" s="51"/>
      <c r="I40" s="49">
        <f t="shared" si="1"/>
        <v>25.6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45</v>
      </c>
      <c r="B41" s="60">
        <v>606</v>
      </c>
      <c r="C41" s="60">
        <v>6</v>
      </c>
      <c r="D41" s="60">
        <v>66</v>
      </c>
      <c r="E41" s="51"/>
      <c r="F41" s="51"/>
      <c r="G41" s="51"/>
      <c r="H41" s="51"/>
      <c r="I41" s="53">
        <f t="shared" si="1"/>
        <v>22.8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50</v>
      </c>
      <c r="B42" s="60">
        <v>629</v>
      </c>
      <c r="C42" s="60">
        <v>7</v>
      </c>
      <c r="D42" s="60">
        <v>48</v>
      </c>
      <c r="E42" s="51"/>
      <c r="F42" s="51"/>
      <c r="G42" s="51"/>
      <c r="H42" s="51"/>
      <c r="I42" s="53">
        <f t="shared" si="1"/>
        <v>17.8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55</v>
      </c>
      <c r="B43" s="60">
        <v>650</v>
      </c>
      <c r="C43" s="60">
        <v>8</v>
      </c>
      <c r="D43" s="60">
        <v>35</v>
      </c>
      <c r="E43" s="51"/>
      <c r="F43" s="51"/>
      <c r="G43" s="51"/>
      <c r="H43" s="51"/>
      <c r="I43" s="49">
        <f t="shared" si="1"/>
        <v>13.8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60</v>
      </c>
      <c r="B44" s="60">
        <v>666</v>
      </c>
      <c r="C44" s="60">
        <v>9</v>
      </c>
      <c r="D44" s="60">
        <v>666</v>
      </c>
      <c r="E44" s="51"/>
      <c r="F44" s="51"/>
      <c r="G44" s="51"/>
      <c r="H44" s="51"/>
      <c r="I44" s="49">
        <f t="shared" si="1"/>
        <v>10.199999999999999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22</v>
      </c>
      <c r="B62" s="60">
        <v>123</v>
      </c>
      <c r="C62" s="60">
        <v>1</v>
      </c>
      <c r="D62" s="60">
        <v>16</v>
      </c>
      <c r="E62" s="51">
        <v>0.2</v>
      </c>
      <c r="F62" s="51">
        <v>0.2</v>
      </c>
      <c r="G62" s="51">
        <v>0.6</v>
      </c>
      <c r="H62" s="51"/>
      <c r="I62" s="53">
        <f>IFERROR(B62/A62,"")</f>
        <v>5.5909090909090908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v>144</v>
      </c>
      <c r="C63" s="60">
        <v>2</v>
      </c>
      <c r="D63" s="60">
        <v>17</v>
      </c>
      <c r="E63" s="51">
        <v>0.3</v>
      </c>
      <c r="F63" s="51">
        <v>0.4</v>
      </c>
      <c r="G63" s="51">
        <v>0.3</v>
      </c>
      <c r="H63" s="51"/>
      <c r="I63" s="49">
        <f>IF(A63&lt;&gt;0,(B63-(B62-D62))/(A63-A62),"")</f>
        <v>12.333333333333334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194</v>
      </c>
      <c r="C64" s="60">
        <v>3</v>
      </c>
      <c r="D64" s="60">
        <v>34</v>
      </c>
      <c r="E64" s="51">
        <v>0.4</v>
      </c>
      <c r="F64" s="51">
        <v>0.3</v>
      </c>
      <c r="G64" s="51">
        <v>0.3</v>
      </c>
      <c r="H64" s="51"/>
      <c r="I64" s="49">
        <f>IF(A64&lt;&gt;0,(B64-(B63-D63))/(A64-A63),"")</f>
        <v>13.4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35</v>
      </c>
      <c r="B65" s="60">
        <v>233</v>
      </c>
      <c r="C65" s="60">
        <v>4</v>
      </c>
      <c r="D65" s="60">
        <v>41</v>
      </c>
      <c r="E65" s="51"/>
      <c r="F65" s="51"/>
      <c r="G65" s="51"/>
      <c r="H65" s="51"/>
      <c r="I65" s="49">
        <f>IF(A65&lt;&gt;0,(B65-(B64-D64))/(A65-A64),"")</f>
        <v>14.6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40</v>
      </c>
      <c r="B66" s="60">
        <v>264</v>
      </c>
      <c r="C66" s="60">
        <v>5</v>
      </c>
      <c r="D66" s="60">
        <v>41</v>
      </c>
      <c r="E66" s="51"/>
      <c r="F66" s="51"/>
      <c r="G66" s="51"/>
      <c r="H66" s="51"/>
      <c r="I66" s="49">
        <f t="shared" ref="I66:I81" si="2">IF(A66&lt;&gt;0,(B66-(B65-D65))/(A66-A65),"")</f>
        <v>14.4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45</v>
      </c>
      <c r="B67" s="60">
        <v>318</v>
      </c>
      <c r="C67" s="60">
        <v>6</v>
      </c>
      <c r="D67" s="60">
        <v>53</v>
      </c>
      <c r="E67" s="51"/>
      <c r="F67" s="51"/>
      <c r="G67" s="51"/>
      <c r="H67" s="51"/>
      <c r="I67" s="49">
        <f t="shared" si="2"/>
        <v>19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50</v>
      </c>
      <c r="B68" s="60">
        <v>352</v>
      </c>
      <c r="C68" s="60">
        <v>7</v>
      </c>
      <c r="D68" s="60">
        <v>53</v>
      </c>
      <c r="E68" s="51"/>
      <c r="F68" s="51"/>
      <c r="G68" s="51"/>
      <c r="H68" s="51"/>
      <c r="I68" s="49">
        <f t="shared" si="2"/>
        <v>17.399999999999999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58</v>
      </c>
      <c r="B69" s="50">
        <v>440</v>
      </c>
      <c r="C69" s="50">
        <v>8</v>
      </c>
      <c r="D69" s="50">
        <v>78</v>
      </c>
      <c r="E69" s="51"/>
      <c r="F69" s="51"/>
      <c r="G69" s="51"/>
      <c r="H69" s="51"/>
      <c r="I69" s="49">
        <f t="shared" si="2"/>
        <v>17.625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66</v>
      </c>
      <c r="B70" s="50">
        <v>495</v>
      </c>
      <c r="C70" s="50">
        <v>9</v>
      </c>
      <c r="D70" s="50">
        <v>65</v>
      </c>
      <c r="E70" s="51"/>
      <c r="F70" s="51"/>
      <c r="G70" s="51"/>
      <c r="H70" s="51"/>
      <c r="I70" s="49">
        <f t="shared" si="2"/>
        <v>16.625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74</v>
      </c>
      <c r="B71" s="50">
        <v>533</v>
      </c>
      <c r="C71" s="50">
        <v>10</v>
      </c>
      <c r="D71" s="50">
        <v>37</v>
      </c>
      <c r="E71" s="51"/>
      <c r="F71" s="51"/>
      <c r="G71" s="51"/>
      <c r="H71" s="51"/>
      <c r="I71" s="49">
        <f t="shared" si="2"/>
        <v>12.875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82</v>
      </c>
      <c r="B72" s="50">
        <v>567</v>
      </c>
      <c r="C72" s="50">
        <v>11</v>
      </c>
      <c r="D72" s="50">
        <v>567</v>
      </c>
      <c r="E72" s="51"/>
      <c r="F72" s="51"/>
      <c r="G72" s="51"/>
      <c r="H72" s="51"/>
      <c r="I72" s="49">
        <f t="shared" si="2"/>
        <v>8.875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6" sqref="G2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382.55387448074327</v>
      </c>
      <c r="T3" s="59">
        <f>IF('Données projet'!E9&gt;30,$R$33-$H$33,LOOKUP('Données projet'!$E$9,$A$3:$A$203,R3:R203)-LOOKUP('Données projet'!$E$9,$A$3:$A$203,$H$3:$H$203))</f>
        <v>476.29465646955543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0</v>
      </c>
      <c r="AO3" s="59">
        <f>IF('Données projet'!E10&gt;30,$AM$33-$H$33,LOOKUP('Données projet'!$E$10,$A$3:$A$203,AM3:AM203)-LOOKUP('Données projet'!$E$10,$A$3:$A$203,$H$3:$H$203))</f>
        <v>0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8.526315789473685</v>
      </c>
      <c r="N4" s="13">
        <f>IF('Données projet'!$A$36&gt;35,N3+M4-V3,IF(A4&lt;'Données projet'!$A$36,$K$205^A4,IF(A4='Données projet'!$A$36,'Données projet'!$B$36,N3+M4-V3)))</f>
        <v>1.3070441688874561</v>
      </c>
      <c r="O4" s="13">
        <f>N4*VLOOKUP('Données projet'!$B$9,Paramètres!$A$1:$I$89,3,0)*VLOOKUP('Données projet'!$B$9,Paramètres!$A$1:$I$89,5,0)</f>
        <v>0.73063769040808801</v>
      </c>
      <c r="P4" s="13">
        <f>EXP(-1.0587+0.8836*LN(O4)+0.284)</f>
        <v>0.34923616900555043</v>
      </c>
      <c r="Q4" s="20">
        <f t="shared" ref="Q4:Q34" si="2">(O4+P4)*0.475*44/12</f>
        <v>1.8807803051454206</v>
      </c>
      <c r="R4" s="59">
        <f t="shared" si="0"/>
        <v>295.21411363847875</v>
      </c>
      <c r="S4" s="59">
        <f ca="1">AVERAGE(OFFSET($R$3,0,0,'Données projet'!$E$9+1,1))-AVERAGE(OFFSET($H$3,0,0,'Données projet'!$E$9+1,1))</f>
        <v>382.55387448074327</v>
      </c>
      <c r="T4" s="59">
        <f>$T$3</f>
        <v>476.29465646955543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5.5909090909090908</v>
      </c>
      <c r="AI4" s="13">
        <f>IF('Données projet'!$A$62&gt;35,AI3+AH4-AQ3,IF(A4&lt;'Données projet'!$A$62,$AF$205^A4,IF(A4='Données projet'!$A$62,'Données projet'!$B$62,AI3+AH4-AQ3)))</f>
        <v>1.244502252163008</v>
      </c>
      <c r="AJ4" s="13">
        <f>AI4*VLOOKUP('Données projet'!$B$10,Paramètres!$A$1:$I$89,3,0)*VLOOKUP('Données projet'!$B$10,Paramètres!$A$1:$I$89,5,0)</f>
        <v>0.74421234679347892</v>
      </c>
      <c r="AK4" s="13">
        <f>EXP(-1.0587+0.8836*LN(AJ4)+0.284)</f>
        <v>0.3549632728022305</v>
      </c>
      <c r="AL4" s="20">
        <f t="shared" ref="AL4:AL67" si="4">(AJ4+AK4)*0.475*44/12</f>
        <v>1.9143975374625271</v>
      </c>
      <c r="AM4" s="59">
        <f t="shared" ref="AM4:AM67" si="5">AL4+(AD4+AE4)*44/12</f>
        <v>295.24773087079586</v>
      </c>
      <c r="AN4" s="59">
        <f ca="1">AVERAGE(OFFSET($AM$3,0,0,'Données projet'!$E$10+1,1))-AVERAGE(OFFSET($H$3,0,0,'Données projet'!$E$10+1,1))</f>
        <v>0</v>
      </c>
      <c r="AO4" s="59">
        <f>$AO$3</f>
        <v>0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8.526315789473685</v>
      </c>
      <c r="N5" s="13">
        <f>IF('Données projet'!$A$36&gt;35,N4+M5-V4,IF(A5&lt;'Données projet'!$A$36,$K$205^A5,IF(A5='Données projet'!$A$36,'Données projet'!$B$36,N4+M5-V4)))</f>
        <v>1.708364459422701</v>
      </c>
      <c r="O5" s="13">
        <f>N5*VLOOKUP('Données projet'!$B$9,Paramètres!$A$1:$I$89,3,0)*VLOOKUP('Données projet'!$B$9,Paramètres!$A$1:$I$89,5,0)</f>
        <v>0.95497573281728976</v>
      </c>
      <c r="P5" s="13">
        <f t="shared" ref="P5:P68" si="33">EXP(-1.0587+0.8836*LN(O5)+0.284)</f>
        <v>0.44245926414263009</v>
      </c>
      <c r="Q5" s="20">
        <f t="shared" si="2"/>
        <v>2.4338659530385267</v>
      </c>
      <c r="R5" s="59">
        <f t="shared" si="0"/>
        <v>295.76719928637186</v>
      </c>
      <c r="S5" s="59">
        <f ca="1">AVERAGE(OFFSET($R$3,0,0,'Données projet'!$E$9+1,1))-AVERAGE(OFFSET($H$3,0,0,'Données projet'!$E$9+1,1))</f>
        <v>382.55387448074327</v>
      </c>
      <c r="T5" s="59">
        <f t="shared" ref="T5:T68" si="34">$T$3</f>
        <v>476.29465646955543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5.5909090909090908</v>
      </c>
      <c r="AI5" s="13">
        <f>IF('Données projet'!$A$62&gt;35,AI4+AH5-AQ4,IF(A5&lt;'Données projet'!$A$62,$AF$205^A5,IF(A5='Données projet'!$A$62,'Données projet'!$B$62,AI4+AH5-AQ4)))</f>
        <v>1.5487858556387992</v>
      </c>
      <c r="AJ5" s="13">
        <f>AI5*VLOOKUP('Données projet'!$B$10,Paramètres!$A$1:$I$89,3,0)*VLOOKUP('Données projet'!$B$10,Paramètres!$A$1:$I$89,5,0)</f>
        <v>0.92617394167200195</v>
      </c>
      <c r="AK5" s="13">
        <f t="shared" ref="AK5:AK68" si="35">EXP(-1.0587+0.8836*LN(AJ5)+0.284)</f>
        <v>0.43064718121421069</v>
      </c>
      <c r="AL5" s="20">
        <f t="shared" si="4"/>
        <v>2.3631301223601535</v>
      </c>
      <c r="AM5" s="59">
        <f t="shared" si="5"/>
        <v>295.69646345569345</v>
      </c>
      <c r="AN5" s="59">
        <f ca="1">AVERAGE(OFFSET($AM$3,0,0,'Données projet'!$E$10+1,1))-AVERAGE(OFFSET($H$3,0,0,'Données projet'!$E$10+1,1))</f>
        <v>0</v>
      </c>
      <c r="AO5" s="59">
        <f t="shared" ref="AO5:AO68" si="36">$AO$3</f>
        <v>0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8.526315789473685</v>
      </c>
      <c r="N6" s="13">
        <f>IF('Données projet'!$A$36&gt;35,N5+M6-V5,IF(A6&lt;'Données projet'!$A$36,$K$205^A6,IF(A6='Données projet'!$A$36,'Données projet'!$B$36,N5+M6-V5)))</f>
        <v>2.2329078050230127</v>
      </c>
      <c r="O6" s="13">
        <f>N6*VLOOKUP('Données projet'!$B$9,Paramètres!$A$1:$I$89,3,0)*VLOOKUP('Données projet'!$B$9,Paramètres!$A$1:$I$89,5,0)</f>
        <v>1.248195463007864</v>
      </c>
      <c r="P6" s="13">
        <f t="shared" si="33"/>
        <v>0.56056679634040518</v>
      </c>
      <c r="Q6" s="20">
        <f t="shared" si="2"/>
        <v>3.1502609350315693</v>
      </c>
      <c r="R6" s="59">
        <f t="shared" si="0"/>
        <v>296.48359426836487</v>
      </c>
      <c r="S6" s="59">
        <f ca="1">AVERAGE(OFFSET($R$3,0,0,'Données projet'!$E$9+1,1))-AVERAGE(OFFSET($H$3,0,0,'Données projet'!$E$9+1,1))</f>
        <v>382.55387448074327</v>
      </c>
      <c r="T6" s="59">
        <f t="shared" si="34"/>
        <v>476.29465646955543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5.5909090909090908</v>
      </c>
      <c r="AI6" s="13">
        <f>IF('Données projet'!$A$62&gt;35,AI5+AH6-AQ5,IF(A6&lt;'Données projet'!$A$62,$AF$205^A6,IF(A6='Données projet'!$A$62,'Données projet'!$B$62,AI5+AH6-AQ5)))</f>
        <v>1.927467485460697</v>
      </c>
      <c r="AJ6" s="13">
        <f>AI6*VLOOKUP('Données projet'!$B$10,Paramètres!$A$1:$I$89,3,0)*VLOOKUP('Données projet'!$B$10,Paramètres!$A$1:$I$89,5,0)</f>
        <v>1.152625556305497</v>
      </c>
      <c r="AK6" s="13">
        <f t="shared" si="35"/>
        <v>0.52246812247269758</v>
      </c>
      <c r="AL6" s="20">
        <f t="shared" si="4"/>
        <v>2.9174548238720219</v>
      </c>
      <c r="AM6" s="59">
        <f t="shared" si="5"/>
        <v>296.25078815720536</v>
      </c>
      <c r="AN6" s="59">
        <f ca="1">AVERAGE(OFFSET($AM$3,0,0,'Données projet'!$E$10+1,1))-AVERAGE(OFFSET($H$3,0,0,'Données projet'!$E$10+1,1))</f>
        <v>0</v>
      </c>
      <c r="AO6" s="59">
        <f t="shared" si="36"/>
        <v>0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8.526315789473685</v>
      </c>
      <c r="N7" s="13">
        <f>IF('Données projet'!$A$36&gt;35,N6+M7-V6,IF(A7&lt;'Données projet'!$A$36,$K$205^A7,IF(A7='Données projet'!$A$36,'Données projet'!$B$36,N6+M7-V6)))</f>
        <v>2.9185091262186176</v>
      </c>
      <c r="O7" s="13">
        <f>N7*VLOOKUP('Données projet'!$B$9,Paramètres!$A$1:$I$89,3,0)*VLOOKUP('Données projet'!$B$9,Paramètres!$A$1:$I$89,5,0)</f>
        <v>1.6314466015562072</v>
      </c>
      <c r="P7" s="13">
        <f t="shared" si="33"/>
        <v>0.71020127416305878</v>
      </c>
      <c r="Q7" s="20">
        <f t="shared" si="2"/>
        <v>4.0783700502110554</v>
      </c>
      <c r="R7" s="59">
        <f t="shared" si="0"/>
        <v>297.41170338354436</v>
      </c>
      <c r="S7" s="59">
        <f ca="1">AVERAGE(OFFSET($R$3,0,0,'Données projet'!$E$9+1,1))-AVERAGE(OFFSET($H$3,0,0,'Données projet'!$E$9+1,1))</f>
        <v>382.55387448074327</v>
      </c>
      <c r="T7" s="59">
        <f t="shared" si="34"/>
        <v>476.29465646955543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5.5909090909090908</v>
      </c>
      <c r="AI7" s="13">
        <f>IF('Données projet'!$A$62&gt;35,AI6+AH7-AQ6,IF(A7&lt;'Données projet'!$A$62,$AF$205^A7,IF(A7='Données projet'!$A$62,'Données projet'!$B$62,AI6+AH7-AQ6)))</f>
        <v>2.3987376266268075</v>
      </c>
      <c r="AJ7" s="13">
        <f>AI7*VLOOKUP('Données projet'!$B$10,Paramètres!$A$1:$I$89,3,0)*VLOOKUP('Données projet'!$B$10,Paramètres!$A$1:$I$89,5,0)</f>
        <v>1.4344451007228309</v>
      </c>
      <c r="AK7" s="13">
        <f t="shared" si="35"/>
        <v>0.63386677286612625</v>
      </c>
      <c r="AL7" s="20">
        <f t="shared" si="4"/>
        <v>3.6023098465007668</v>
      </c>
      <c r="AM7" s="59">
        <f t="shared" si="5"/>
        <v>296.93564317983407</v>
      </c>
      <c r="AN7" s="59">
        <f ca="1">AVERAGE(OFFSET($AM$3,0,0,'Données projet'!$E$10+1,1))-AVERAGE(OFFSET($H$3,0,0,'Données projet'!$E$10+1,1))</f>
        <v>0</v>
      </c>
      <c r="AO7" s="59">
        <f t="shared" si="36"/>
        <v>0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8.526315789473685</v>
      </c>
      <c r="N8" s="13">
        <f>IF('Données projet'!$A$36&gt;35,N7+M8-V7,IF(A8&lt;'Données projet'!$A$36,$K$205^A8,IF(A8='Données projet'!$A$36,'Données projet'!$B$36,N7+M8-V7)))</f>
        <v>3.8146203352688688</v>
      </c>
      <c r="O8" s="13">
        <f>N8*VLOOKUP('Données projet'!$B$9,Paramètres!$A$1:$I$89,3,0)*VLOOKUP('Données projet'!$B$9,Paramètres!$A$1:$I$89,5,0)</f>
        <v>2.1323727674152977</v>
      </c>
      <c r="P8" s="13">
        <f t="shared" si="33"/>
        <v>0.89977831922200224</v>
      </c>
      <c r="Q8" s="20">
        <f t="shared" si="2"/>
        <v>5.2809964758932972</v>
      </c>
      <c r="R8" s="59">
        <f t="shared" si="0"/>
        <v>298.6143298092266</v>
      </c>
      <c r="S8" s="59">
        <f ca="1">AVERAGE(OFFSET($R$3,0,0,'Données projet'!$E$9+1,1))-AVERAGE(OFFSET($H$3,0,0,'Données projet'!$E$9+1,1))</f>
        <v>382.55387448074327</v>
      </c>
      <c r="T8" s="59">
        <f t="shared" si="34"/>
        <v>476.29465646955543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5.5909090909090908</v>
      </c>
      <c r="AI8" s="13">
        <f>IF('Données projet'!$A$62&gt;35,AI7+AH8-AQ7,IF(A8&lt;'Données projet'!$A$62,$AF$205^A8,IF(A8='Données projet'!$A$62,'Données projet'!$B$62,AI7+AH8-AQ7)))</f>
        <v>2.9852343786852105</v>
      </c>
      <c r="AJ8" s="13">
        <f>AI8*VLOOKUP('Données projet'!$B$10,Paramètres!$A$1:$I$89,3,0)*VLOOKUP('Données projet'!$B$10,Paramètres!$A$1:$I$89,5,0)</f>
        <v>1.785170158453756</v>
      </c>
      <c r="AK8" s="13">
        <f t="shared" si="35"/>
        <v>0.7690174164926461</v>
      </c>
      <c r="AL8" s="20">
        <f t="shared" si="4"/>
        <v>4.4485433596983173</v>
      </c>
      <c r="AM8" s="59">
        <f t="shared" si="5"/>
        <v>297.78187669303162</v>
      </c>
      <c r="AN8" s="59">
        <f ca="1">AVERAGE(OFFSET($AM$3,0,0,'Données projet'!$E$10+1,1))-AVERAGE(OFFSET($H$3,0,0,'Données projet'!$E$10+1,1))</f>
        <v>0</v>
      </c>
      <c r="AO8" s="59">
        <f t="shared" si="36"/>
        <v>0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8.526315789473685</v>
      </c>
      <c r="N9" s="13">
        <f>IF('Données projet'!$A$36&gt;35,N8+M9-V8,IF(A9&lt;'Données projet'!$A$36,$K$205^A9,IF(A9='Données projet'!$A$36,'Données projet'!$B$36,N8+M9-V8)))</f>
        <v>4.9858772657326877</v>
      </c>
      <c r="O9" s="13">
        <f>N9*VLOOKUP('Données projet'!$B$9,Paramètres!$A$1:$I$89,3,0)*VLOOKUP('Données projet'!$B$9,Paramètres!$A$1:$I$89,5,0)</f>
        <v>2.7871053915445723</v>
      </c>
      <c r="P9" s="13">
        <f t="shared" si="33"/>
        <v>1.1399599707787778</v>
      </c>
      <c r="Q9" s="20">
        <f t="shared" si="2"/>
        <v>6.839638839379834</v>
      </c>
      <c r="R9" s="59">
        <f t="shared" si="0"/>
        <v>300.17297217271317</v>
      </c>
      <c r="S9" s="59">
        <f ca="1">AVERAGE(OFFSET($R$3,0,0,'Données projet'!$E$9+1,1))-AVERAGE(OFFSET($H$3,0,0,'Données projet'!$E$9+1,1))</f>
        <v>382.55387448074327</v>
      </c>
      <c r="T9" s="59">
        <f t="shared" si="34"/>
        <v>476.29465646955543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5.5909090909090908</v>
      </c>
      <c r="AI9" s="13">
        <f>IF('Données projet'!$A$62&gt;35,AI8+AH9-AQ8,IF(A9&lt;'Données projet'!$A$62,$AF$205^A9,IF(A9='Données projet'!$A$62,'Données projet'!$B$62,AI8+AH9-AQ8)))</f>
        <v>3.7151309075081826</v>
      </c>
      <c r="AJ9" s="13">
        <f>AI9*VLOOKUP('Données projet'!$B$10,Paramètres!$A$1:$I$89,3,0)*VLOOKUP('Données projet'!$B$10,Paramètres!$A$1:$I$89,5,0)</f>
        <v>2.2216482826898933</v>
      </c>
      <c r="AK9" s="13">
        <f t="shared" si="35"/>
        <v>0.93298436230530435</v>
      </c>
      <c r="AL9" s="20">
        <f t="shared" si="4"/>
        <v>5.4943185233666361</v>
      </c>
      <c r="AM9" s="59">
        <f t="shared" si="5"/>
        <v>298.82765185669996</v>
      </c>
      <c r="AN9" s="59">
        <f ca="1">AVERAGE(OFFSET($AM$3,0,0,'Données projet'!$E$10+1,1))-AVERAGE(OFFSET($H$3,0,0,'Données projet'!$E$10+1,1))</f>
        <v>0</v>
      </c>
      <c r="AO9" s="59">
        <f t="shared" si="36"/>
        <v>0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8.526315789473685</v>
      </c>
      <c r="N10" s="13">
        <f>IF('Données projet'!$A$36&gt;35,N9+M10-V9,IF(A10&lt;'Données projet'!$A$36,$K$205^A10,IF(A10='Données projet'!$A$36,'Données projet'!$B$36,N9+M10-V9)))</f>
        <v>6.5167618069644444</v>
      </c>
      <c r="O10" s="13">
        <f>N10*VLOOKUP('Données projet'!$B$9,Paramètres!$A$1:$I$89,3,0)*VLOOKUP('Données projet'!$B$9,Paramètres!$A$1:$I$89,5,0)</f>
        <v>3.6428698500931249</v>
      </c>
      <c r="P10" s="13">
        <f t="shared" si="33"/>
        <v>1.4442543315575544</v>
      </c>
      <c r="Q10" s="20">
        <f t="shared" si="2"/>
        <v>8.8600746163749324</v>
      </c>
      <c r="R10" s="59">
        <f t="shared" si="0"/>
        <v>302.19340794970827</v>
      </c>
      <c r="S10" s="59">
        <f ca="1">AVERAGE(OFFSET($R$3,0,0,'Données projet'!$E$9+1,1))-AVERAGE(OFFSET($H$3,0,0,'Données projet'!$E$9+1,1))</f>
        <v>382.55387448074327</v>
      </c>
      <c r="T10" s="59">
        <f t="shared" si="34"/>
        <v>476.29465646955543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5.5909090909090908</v>
      </c>
      <c r="AI10" s="13">
        <f>IF('Données projet'!$A$62&gt;35,AI9+AH10-AQ9,IF(A10&lt;'Données projet'!$A$62,$AF$205^A10,IF(A10='Données projet'!$A$62,'Données projet'!$B$62,AI9+AH10-AQ9)))</f>
        <v>4.6234887814743333</v>
      </c>
      <c r="AJ10" s="13">
        <f>AI10*VLOOKUP('Données projet'!$B$10,Paramètres!$A$1:$I$89,3,0)*VLOOKUP('Données projet'!$B$10,Paramètres!$A$1:$I$89,5,0)</f>
        <v>2.7648462913216516</v>
      </c>
      <c r="AK10" s="13">
        <f t="shared" si="35"/>
        <v>1.1319117118000401</v>
      </c>
      <c r="AL10" s="20">
        <f t="shared" si="4"/>
        <v>6.7868535221036126</v>
      </c>
      <c r="AM10" s="59">
        <f t="shared" si="5"/>
        <v>300.12018685543694</v>
      </c>
      <c r="AN10" s="59">
        <f ca="1">AVERAGE(OFFSET($AM$3,0,0,'Données projet'!$E$10+1,1))-AVERAGE(OFFSET($H$3,0,0,'Données projet'!$E$10+1,1))</f>
        <v>0</v>
      </c>
      <c r="AO10" s="59">
        <f t="shared" si="36"/>
        <v>0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8.526315789473685</v>
      </c>
      <c r="N11" s="13">
        <f>IF('Données projet'!$A$36&gt;35,N10+M11-V10,IF(A11&lt;'Données projet'!$A$36,$K$205^A11,IF(A11='Données projet'!$A$36,'Données projet'!$B$36,N10+M11-V10)))</f>
        <v>8.5176955198213591</v>
      </c>
      <c r="O11" s="13">
        <f>N11*VLOOKUP('Données projet'!$B$9,Paramètres!$A$1:$I$89,3,0)*VLOOKUP('Données projet'!$B$9,Paramètres!$A$1:$I$89,5,0)</f>
        <v>4.7613917955801393</v>
      </c>
      <c r="P11" s="13">
        <f t="shared" si="33"/>
        <v>1.8297752795633417</v>
      </c>
      <c r="Q11" s="20">
        <f t="shared" si="2"/>
        <v>11.479615989208229</v>
      </c>
      <c r="R11" s="59">
        <f t="shared" si="0"/>
        <v>304.81294932254156</v>
      </c>
      <c r="S11" s="59">
        <f ca="1">AVERAGE(OFFSET($R$3,0,0,'Données projet'!$E$9+1,1))-AVERAGE(OFFSET($H$3,0,0,'Données projet'!$E$9+1,1))</f>
        <v>382.55387448074327</v>
      </c>
      <c r="T11" s="59">
        <f t="shared" si="34"/>
        <v>476.29465646955543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5.5909090909090908</v>
      </c>
      <c r="AI11" s="13">
        <f>IF('Données projet'!$A$62&gt;35,AI10+AH11-AQ10,IF(A11&lt;'Données projet'!$A$62,$AF$205^A11,IF(A11='Données projet'!$A$62,'Données projet'!$B$62,AI10+AH11-AQ10)))</f>
        <v>5.7539422013952093</v>
      </c>
      <c r="AJ11" s="13">
        <f>AI11*VLOOKUP('Données projet'!$B$10,Paramètres!$A$1:$I$89,3,0)*VLOOKUP('Données projet'!$B$10,Paramètres!$A$1:$I$89,5,0)</f>
        <v>3.4408574364343356</v>
      </c>
      <c r="AK11" s="13">
        <f t="shared" si="35"/>
        <v>1.3732535882427113</v>
      </c>
      <c r="AL11" s="20">
        <f t="shared" si="4"/>
        <v>8.3845767013125236</v>
      </c>
      <c r="AM11" s="59">
        <f t="shared" si="5"/>
        <v>301.71791003464585</v>
      </c>
      <c r="AN11" s="59">
        <f ca="1">AVERAGE(OFFSET($AM$3,0,0,'Données projet'!$E$10+1,1))-AVERAGE(OFFSET($H$3,0,0,'Données projet'!$E$10+1,1))</f>
        <v>0</v>
      </c>
      <c r="AO11" s="59">
        <f t="shared" si="36"/>
        <v>0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8.526315789473685</v>
      </c>
      <c r="N12" s="13">
        <f>IF('Données projet'!$A$36&gt;35,N11+M12-V11,IF(A12&lt;'Données projet'!$A$36,$K$205^A12,IF(A12='Données projet'!$A$36,'Données projet'!$B$36,N11+M12-V11)))</f>
        <v>11.133004261541316</v>
      </c>
      <c r="O12" s="13">
        <f>N12*VLOOKUP('Données projet'!$B$9,Paramètres!$A$1:$I$89,3,0)*VLOOKUP('Données projet'!$B$9,Paramètres!$A$1:$I$89,5,0)</f>
        <v>6.2233493822015964</v>
      </c>
      <c r="P12" s="13">
        <f t="shared" si="33"/>
        <v>2.3182049730052579</v>
      </c>
      <c r="Q12" s="20">
        <f t="shared" si="2"/>
        <v>14.87654050198527</v>
      </c>
      <c r="R12" s="59">
        <f t="shared" si="0"/>
        <v>308.2098738353186</v>
      </c>
      <c r="S12" s="59">
        <f ca="1">AVERAGE(OFFSET($R$3,0,0,'Données projet'!$E$9+1,1))-AVERAGE(OFFSET($H$3,0,0,'Données projet'!$E$9+1,1))</f>
        <v>382.55387448074327</v>
      </c>
      <c r="T12" s="59">
        <f t="shared" si="34"/>
        <v>476.29465646955543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5.5909090909090908</v>
      </c>
      <c r="AI12" s="13">
        <f>IF('Données projet'!$A$62&gt;35,AI11+AH12-AQ11,IF(A12&lt;'Données projet'!$A$62,$AF$205^A12,IF(A12='Données projet'!$A$62,'Données projet'!$B$62,AI11+AH12-AQ11)))</f>
        <v>7.1607940284521145</v>
      </c>
      <c r="AJ12" s="13">
        <f>AI12*VLOOKUP('Données projet'!$B$10,Paramètres!$A$1:$I$89,3,0)*VLOOKUP('Données projet'!$B$10,Paramètres!$A$1:$I$89,5,0)</f>
        <v>4.2821548290143649</v>
      </c>
      <c r="AK12" s="13">
        <f t="shared" si="35"/>
        <v>1.6660534544894132</v>
      </c>
      <c r="AL12" s="20">
        <f t="shared" si="4"/>
        <v>10.359796093769079</v>
      </c>
      <c r="AM12" s="59">
        <f t="shared" si="5"/>
        <v>303.69312942710241</v>
      </c>
      <c r="AN12" s="59">
        <f ca="1">AVERAGE(OFFSET($AM$3,0,0,'Données projet'!$E$10+1,1))-AVERAGE(OFFSET($H$3,0,0,'Données projet'!$E$10+1,1))</f>
        <v>0</v>
      </c>
      <c r="AO12" s="59">
        <f t="shared" si="36"/>
        <v>0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8.526315789473685</v>
      </c>
      <c r="N13" s="13">
        <f>IF('Données projet'!$A$36&gt;35,N12+M13-V12,IF(A13&lt;'Données projet'!$A$36,$K$205^A13,IF(A13='Données projet'!$A$36,'Données projet'!$B$36,N12+M13-V12)))</f>
        <v>14.551328302246779</v>
      </c>
      <c r="O13" s="13">
        <f>N13*VLOOKUP('Données projet'!$B$9,Paramètres!$A$1:$I$89,3,0)*VLOOKUP('Données projet'!$B$9,Paramètres!$A$1:$I$89,5,0)</f>
        <v>8.1341925209559491</v>
      </c>
      <c r="P13" s="13">
        <f t="shared" si="33"/>
        <v>2.9370132807503975</v>
      </c>
      <c r="Q13" s="20">
        <f t="shared" si="2"/>
        <v>19.282350104638549</v>
      </c>
      <c r="R13" s="59">
        <f t="shared" si="0"/>
        <v>312.61568343797188</v>
      </c>
      <c r="S13" s="59">
        <f ca="1">AVERAGE(OFFSET($R$3,0,0,'Données projet'!$E$9+1,1))-AVERAGE(OFFSET($H$3,0,0,'Données projet'!$E$9+1,1))</f>
        <v>382.55387448074327</v>
      </c>
      <c r="T13" s="59">
        <f t="shared" si="34"/>
        <v>476.29465646955543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5.5909090909090908</v>
      </c>
      <c r="AI13" s="13">
        <f>IF('Données projet'!$A$62&gt;35,AI12+AH13-AQ12,IF(A13&lt;'Données projet'!$A$62,$AF$205^A13,IF(A13='Données projet'!$A$62,'Données projet'!$B$62,AI12+AH13-AQ12)))</f>
        <v>8.9116242956840761</v>
      </c>
      <c r="AJ13" s="13">
        <f>AI13*VLOOKUP('Données projet'!$B$10,Paramètres!$A$1:$I$89,3,0)*VLOOKUP('Données projet'!$B$10,Paramètres!$A$1:$I$89,5,0)</f>
        <v>5.3291513288190782</v>
      </c>
      <c r="AK13" s="13">
        <f t="shared" si="35"/>
        <v>2.0212829858817885</v>
      </c>
      <c r="AL13" s="20">
        <f t="shared" si="4"/>
        <v>12.802006431437341</v>
      </c>
      <c r="AM13" s="59">
        <f t="shared" si="5"/>
        <v>306.13533976477066</v>
      </c>
      <c r="AN13" s="59">
        <f ca="1">AVERAGE(OFFSET($AM$3,0,0,'Données projet'!$E$10+1,1))-AVERAGE(OFFSET($H$3,0,0,'Données projet'!$E$10+1,1))</f>
        <v>0</v>
      </c>
      <c r="AO13" s="59">
        <f t="shared" si="36"/>
        <v>0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8.526315789473685</v>
      </c>
      <c r="N14" s="13">
        <f>IF('Données projet'!$A$36&gt;35,N13+M14-V13,IF(A14&lt;'Données projet'!$A$36,$K$205^A14,IF(A14='Données projet'!$A$36,'Données projet'!$B$36,N13+M14-V13)))</f>
        <v>19.01922880701866</v>
      </c>
      <c r="O14" s="13">
        <f>N14*VLOOKUP('Données projet'!$B$9,Paramètres!$A$1:$I$89,3,0)*VLOOKUP('Données projet'!$B$9,Paramètres!$A$1:$I$89,5,0)</f>
        <v>10.631748903123432</v>
      </c>
      <c r="P14" s="13">
        <f t="shared" si="33"/>
        <v>3.7210027205323613</v>
      </c>
      <c r="Q14" s="20">
        <f t="shared" si="2"/>
        <v>24.997709077867171</v>
      </c>
      <c r="R14" s="59">
        <f t="shared" si="0"/>
        <v>318.33104241120049</v>
      </c>
      <c r="S14" s="59">
        <f ca="1">AVERAGE(OFFSET($R$3,0,0,'Données projet'!$E$9+1,1))-AVERAGE(OFFSET($H$3,0,0,'Données projet'!$E$9+1,1))</f>
        <v>382.55387448074327</v>
      </c>
      <c r="T14" s="59">
        <f t="shared" si="34"/>
        <v>476.29465646955543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5.5909090909090908</v>
      </c>
      <c r="AI14" s="13">
        <f>IF('Données projet'!$A$62&gt;35,AI13+AH14-AQ13,IF(A14&lt;'Données projet'!$A$62,$AF$205^A14,IF(A14='Données projet'!$A$62,'Données projet'!$B$62,AI13+AH14-AQ13)))</f>
        <v>11.090536506409412</v>
      </c>
      <c r="AJ14" s="13">
        <f>AI14*VLOOKUP('Données projet'!$B$10,Paramètres!$A$1:$I$89,3,0)*VLOOKUP('Données projet'!$B$10,Paramètres!$A$1:$I$89,5,0)</f>
        <v>6.6321408308328289</v>
      </c>
      <c r="AK14" s="13">
        <f t="shared" si="35"/>
        <v>2.4522531963221348</v>
      </c>
      <c r="AL14" s="20">
        <f t="shared" si="4"/>
        <v>15.821986263961561</v>
      </c>
      <c r="AM14" s="59">
        <f t="shared" si="5"/>
        <v>309.15531959729486</v>
      </c>
      <c r="AN14" s="59">
        <f ca="1">AVERAGE(OFFSET($AM$3,0,0,'Données projet'!$E$10+1,1))-AVERAGE(OFFSET($H$3,0,0,'Données projet'!$E$10+1,1))</f>
        <v>0</v>
      </c>
      <c r="AO14" s="59">
        <f t="shared" si="36"/>
        <v>0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8.526315789473685</v>
      </c>
      <c r="N15" s="13">
        <f>IF('Données projet'!$A$36&gt;35,N14+M15-V14,IF(A15&lt;'Données projet'!$A$36,$K$205^A15,IF(A15='Données projet'!$A$36,'Données projet'!$B$36,N14+M15-V14)))</f>
        <v>24.85897210895007</v>
      </c>
      <c r="O15" s="13">
        <f>N15*VLOOKUP('Données projet'!$B$9,Paramètres!$A$1:$I$89,3,0)*VLOOKUP('Données projet'!$B$9,Paramètres!$A$1:$I$89,5,0)</f>
        <v>13.896165408903089</v>
      </c>
      <c r="P15" s="13">
        <f t="shared" si="33"/>
        <v>4.7142657940830492</v>
      </c>
      <c r="Q15" s="20">
        <f t="shared" si="2"/>
        <v>32.413167678534187</v>
      </c>
      <c r="R15" s="59">
        <f t="shared" si="0"/>
        <v>325.74650101186751</v>
      </c>
      <c r="S15" s="59">
        <f ca="1">AVERAGE(OFFSET($R$3,0,0,'Données projet'!$E$9+1,1))-AVERAGE(OFFSET($H$3,0,0,'Données projet'!$E$9+1,1))</f>
        <v>382.55387448074327</v>
      </c>
      <c r="T15" s="59">
        <f t="shared" si="34"/>
        <v>476.29465646955543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5.5909090909090908</v>
      </c>
      <c r="AI15" s="13">
        <f>IF('Données projet'!$A$62&gt;35,AI14+AH15-AQ14,IF(A15&lt;'Données projet'!$A$62,$AF$205^A15,IF(A15='Données projet'!$A$62,'Données projet'!$B$62,AI14+AH15-AQ14)))</f>
        <v>13.802197659922571</v>
      </c>
      <c r="AJ15" s="13">
        <f>AI15*VLOOKUP('Données projet'!$B$10,Paramètres!$A$1:$I$89,3,0)*VLOOKUP('Données projet'!$B$10,Paramètres!$A$1:$I$89,5,0)</f>
        <v>8.2537142006336985</v>
      </c>
      <c r="AK15" s="13">
        <f t="shared" si="35"/>
        <v>2.9751132230743558</v>
      </c>
      <c r="AL15" s="20">
        <f t="shared" si="4"/>
        <v>19.556874429624859</v>
      </c>
      <c r="AM15" s="59">
        <f t="shared" si="5"/>
        <v>312.8902077629582</v>
      </c>
      <c r="AN15" s="59">
        <f ca="1">AVERAGE(OFFSET($AM$3,0,0,'Données projet'!$E$10+1,1))-AVERAGE(OFFSET($H$3,0,0,'Données projet'!$E$10+1,1))</f>
        <v>0</v>
      </c>
      <c r="AO15" s="59">
        <f t="shared" si="36"/>
        <v>0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8.526315789473685</v>
      </c>
      <c r="N16" s="13">
        <f>IF('Données projet'!$A$36&gt;35,N15+M16-V15,IF(A16&lt;'Données projet'!$A$36,$K$205^A16,IF(A16='Données projet'!$A$36,'Données projet'!$B$36,N15+M16-V15)))</f>
        <v>32.491774539539094</v>
      </c>
      <c r="O16" s="13">
        <f>N16*VLOOKUP('Données projet'!$B$9,Paramètres!$A$1:$I$89,3,0)*VLOOKUP('Données projet'!$B$9,Paramètres!$A$1:$I$89,5,0)</f>
        <v>18.162901967602355</v>
      </c>
      <c r="P16" s="13">
        <f t="shared" si="33"/>
        <v>5.9726648020514927</v>
      </c>
      <c r="Q16" s="20">
        <f t="shared" si="2"/>
        <v>42.036112123813787</v>
      </c>
      <c r="R16" s="59">
        <f t="shared" si="0"/>
        <v>335.36944545714709</v>
      </c>
      <c r="S16" s="59">
        <f ca="1">AVERAGE(OFFSET($R$3,0,0,'Données projet'!$E$9+1,1))-AVERAGE(OFFSET($H$3,0,0,'Données projet'!$E$9+1,1))</f>
        <v>382.55387448074327</v>
      </c>
      <c r="T16" s="59">
        <f t="shared" si="34"/>
        <v>476.29465646955543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5.5909090909090908</v>
      </c>
      <c r="AI16" s="13">
        <f>IF('Données projet'!$A$62&gt;35,AI15+AH16-AQ15,IF(A16&lt;'Données projet'!$A$62,$AF$205^A16,IF(A16='Données projet'!$A$62,'Données projet'!$B$62,AI15+AH16-AQ15)))</f>
        <v>17.17686607257264</v>
      </c>
      <c r="AJ16" s="13">
        <f>AI16*VLOOKUP('Données projet'!$B$10,Paramètres!$A$1:$I$89,3,0)*VLOOKUP('Données projet'!$B$10,Paramètres!$A$1:$I$89,5,0)</f>
        <v>10.27176591139844</v>
      </c>
      <c r="AK16" s="13">
        <f t="shared" si="35"/>
        <v>3.609455460548272</v>
      </c>
      <c r="AL16" s="20">
        <f t="shared" si="4"/>
        <v>24.176460556140523</v>
      </c>
      <c r="AM16" s="59">
        <f t="shared" si="5"/>
        <v>317.50979388947383</v>
      </c>
      <c r="AN16" s="59">
        <f ca="1">AVERAGE(OFFSET($AM$3,0,0,'Données projet'!$E$10+1,1))-AVERAGE(OFFSET($H$3,0,0,'Données projet'!$E$10+1,1))</f>
        <v>0</v>
      </c>
      <c r="AO16" s="59">
        <f t="shared" si="36"/>
        <v>0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8.526315789473685</v>
      </c>
      <c r="N17" s="13">
        <f>IF('Données projet'!$A$36&gt;35,N16+M17-V16,IF(A17&lt;'Données projet'!$A$36,$K$205^A17,IF(A17='Données projet'!$A$36,'Données projet'!$B$36,N16+M17-V16)))</f>
        <v>42.468184448710481</v>
      </c>
      <c r="O17" s="13">
        <f>N17*VLOOKUP('Données projet'!$B$9,Paramètres!$A$1:$I$89,3,0)*VLOOKUP('Données projet'!$B$9,Paramètres!$A$1:$I$89,5,0)</f>
        <v>23.739715106829159</v>
      </c>
      <c r="P17" s="13">
        <f t="shared" si="33"/>
        <v>7.5669736064602473</v>
      </c>
      <c r="Q17" s="20">
        <f t="shared" si="2"/>
        <v>54.525816175645708</v>
      </c>
      <c r="R17" s="59">
        <f t="shared" si="0"/>
        <v>347.85914950897904</v>
      </c>
      <c r="S17" s="59">
        <f ca="1">AVERAGE(OFFSET($R$3,0,0,'Données projet'!$E$9+1,1))-AVERAGE(OFFSET($H$3,0,0,'Données projet'!$E$9+1,1))</f>
        <v>382.55387448074327</v>
      </c>
      <c r="T17" s="59">
        <f t="shared" si="34"/>
        <v>476.29465646955543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5.5909090909090908</v>
      </c>
      <c r="AI17" s="13">
        <f>IF('Données projet'!$A$62&gt;35,AI16+AH17-AQ16,IF(A17&lt;'Données projet'!$A$62,$AF$205^A17,IF(A17='Données projet'!$A$62,'Données projet'!$B$62,AI16+AH17-AQ16)))</f>
        <v>21.376648512419013</v>
      </c>
      <c r="AJ17" s="13">
        <f>AI17*VLOOKUP('Données projet'!$B$10,Paramètres!$A$1:$I$89,3,0)*VLOOKUP('Données projet'!$B$10,Paramètres!$A$1:$I$89,5,0)</f>
        <v>12.783235810426572</v>
      </c>
      <c r="AK17" s="13">
        <f t="shared" si="35"/>
        <v>4.3790497183898731</v>
      </c>
      <c r="AL17" s="20">
        <f t="shared" si="4"/>
        <v>29.890980629355308</v>
      </c>
      <c r="AM17" s="59">
        <f t="shared" si="5"/>
        <v>323.2243139626886</v>
      </c>
      <c r="AN17" s="59">
        <f ca="1">AVERAGE(OFFSET($AM$3,0,0,'Données projet'!$E$10+1,1))-AVERAGE(OFFSET($H$3,0,0,'Données projet'!$E$10+1,1))</f>
        <v>0</v>
      </c>
      <c r="AO17" s="59">
        <f t="shared" si="36"/>
        <v>0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8.526315789473685</v>
      </c>
      <c r="N18" s="13">
        <f>IF('Données projet'!$A$36&gt;35,N17+M18-V17,IF(A18&lt;'Données projet'!$A$36,$K$205^A18,IF(A18='Données projet'!$A$36,'Données projet'!$B$36,N17+M18-V17)))</f>
        <v>55.507792846923991</v>
      </c>
      <c r="O18" s="13">
        <f>N18*VLOOKUP('Données projet'!$B$9,Paramètres!$A$1:$I$89,3,0)*VLOOKUP('Données projet'!$B$9,Paramètres!$A$1:$I$89,5,0)</f>
        <v>31.028856201430514</v>
      </c>
      <c r="P18" s="13">
        <f t="shared" si="33"/>
        <v>9.5868580371693835</v>
      </c>
      <c r="Q18" s="20">
        <f t="shared" si="2"/>
        <v>70.739035632228152</v>
      </c>
      <c r="R18" s="59">
        <f t="shared" si="0"/>
        <v>364.07236896556145</v>
      </c>
      <c r="S18" s="59">
        <f ca="1">AVERAGE(OFFSET($R$3,0,0,'Données projet'!$E$9+1,1))-AVERAGE(OFFSET($H$3,0,0,'Données projet'!$E$9+1,1))</f>
        <v>382.55387448074327</v>
      </c>
      <c r="T18" s="59">
        <f t="shared" si="34"/>
        <v>476.29465646955543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5.5909090909090908</v>
      </c>
      <c r="AI18" s="13">
        <f>IF('Données projet'!$A$62&gt;35,AI17+AH18-AQ17,IF(A18&lt;'Données projet'!$A$62,$AF$205^A18,IF(A18='Données projet'!$A$62,'Données projet'!$B$62,AI17+AH18-AQ17)))</f>
        <v>26.603287217402478</v>
      </c>
      <c r="AJ18" s="13">
        <f>AI18*VLOOKUP('Données projet'!$B$10,Paramètres!$A$1:$I$89,3,0)*VLOOKUP('Données projet'!$B$10,Paramètres!$A$1:$I$89,5,0)</f>
        <v>15.908765756006684</v>
      </c>
      <c r="AK18" s="13">
        <f t="shared" si="35"/>
        <v>5.312733913945455</v>
      </c>
      <c r="AL18" s="20">
        <f t="shared" si="4"/>
        <v>36.960778591833304</v>
      </c>
      <c r="AM18" s="59">
        <f t="shared" si="5"/>
        <v>330.29411192516659</v>
      </c>
      <c r="AN18" s="59">
        <f ca="1">AVERAGE(OFFSET($AM$3,0,0,'Données projet'!$E$10+1,1))-AVERAGE(OFFSET($H$3,0,0,'Données projet'!$E$10+1,1))</f>
        <v>0</v>
      </c>
      <c r="AO18" s="59">
        <f t="shared" si="36"/>
        <v>0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8.526315789473685</v>
      </c>
      <c r="N19" s="13">
        <f>IF('Données projet'!$A$36&gt;35,N18+M19-V18,IF(A19&lt;'Données projet'!$A$36,$K$205^A19,IF(A19='Données projet'!$A$36,'Données projet'!$B$36,N18+M19-V18)))</f>
        <v>72.551136968384853</v>
      </c>
      <c r="O19" s="13">
        <f>N19*VLOOKUP('Données projet'!$B$9,Paramètres!$A$1:$I$89,3,0)*VLOOKUP('Données projet'!$B$9,Paramètres!$A$1:$I$89,5,0)</f>
        <v>40.55608556532713</v>
      </c>
      <c r="P19" s="13">
        <f t="shared" si="33"/>
        <v>12.145918805157919</v>
      </c>
      <c r="Q19" s="20">
        <f t="shared" si="2"/>
        <v>91.78932427859479</v>
      </c>
      <c r="R19" s="59">
        <f t="shared" si="0"/>
        <v>385.1226576119281</v>
      </c>
      <c r="S19" s="59">
        <f ca="1">AVERAGE(OFFSET($R$3,0,0,'Données projet'!$E$9+1,1))-AVERAGE(OFFSET($H$3,0,0,'Données projet'!$E$9+1,1))</f>
        <v>382.55387448074327</v>
      </c>
      <c r="T19" s="59">
        <f t="shared" si="34"/>
        <v>476.29465646955543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5.5909090909090908</v>
      </c>
      <c r="AI19" s="13">
        <f>IF('Données projet'!$A$62&gt;35,AI18+AH19-AQ18,IF(A19&lt;'Données projet'!$A$62,$AF$205^A19,IF(A19='Données projet'!$A$62,'Données projet'!$B$62,AI18+AH19-AQ18)))</f>
        <v>33.107850856996748</v>
      </c>
      <c r="AJ19" s="13">
        <f>AI19*VLOOKUP('Données projet'!$B$10,Paramètres!$A$1:$I$89,3,0)*VLOOKUP('Données projet'!$B$10,Paramètres!$A$1:$I$89,5,0)</f>
        <v>19.798494812484059</v>
      </c>
      <c r="AK19" s="13">
        <f t="shared" si="35"/>
        <v>6.4454946747588586</v>
      </c>
      <c r="AL19" s="20">
        <f t="shared" si="4"/>
        <v>45.70828169028141</v>
      </c>
      <c r="AM19" s="59">
        <f t="shared" si="5"/>
        <v>339.04161502361472</v>
      </c>
      <c r="AN19" s="59">
        <f ca="1">AVERAGE(OFFSET($AM$3,0,0,'Données projet'!$E$10+1,1))-AVERAGE(OFFSET($H$3,0,0,'Données projet'!$E$10+1,1))</f>
        <v>0</v>
      </c>
      <c r="AO19" s="59">
        <f t="shared" si="36"/>
        <v>0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8.526315789473685</v>
      </c>
      <c r="N20" s="13">
        <f>IF('Données projet'!$A$36&gt;35,N19+M20-V19,IF(A20&lt;'Données projet'!$A$36,$K$205^A20,IF(A20='Données projet'!$A$36,'Données projet'!$B$36,N19+M20-V19)))</f>
        <v>94.827540520682575</v>
      </c>
      <c r="O20" s="13">
        <f>N20*VLOOKUP('Données projet'!$B$9,Paramètres!$A$1:$I$89,3,0)*VLOOKUP('Données projet'!$B$9,Paramètres!$A$1:$I$89,5,0)</f>
        <v>53.008595151061563</v>
      </c>
      <c r="P20" s="13">
        <f t="shared" si="33"/>
        <v>15.388080542084102</v>
      </c>
      <c r="Q20" s="20">
        <f t="shared" si="2"/>
        <v>119.12421016556203</v>
      </c>
      <c r="R20" s="59">
        <f t="shared" si="0"/>
        <v>412.45754349889535</v>
      </c>
      <c r="S20" s="59">
        <f ca="1">AVERAGE(OFFSET($R$3,0,0,'Données projet'!$E$9+1,1))-AVERAGE(OFFSET($H$3,0,0,'Données projet'!$E$9+1,1))</f>
        <v>382.55387448074327</v>
      </c>
      <c r="T20" s="59">
        <f t="shared" si="34"/>
        <v>476.29465646955543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5.5909090909090908</v>
      </c>
      <c r="AI20" s="13">
        <f>IF('Données projet'!$A$62&gt;35,AI19+AH20-AQ19,IF(A20&lt;'Données projet'!$A$62,$AF$205^A20,IF(A20='Données projet'!$A$62,'Données projet'!$B$62,AI19+AH20-AQ19)))</f>
        <v>41.202794955809431</v>
      </c>
      <c r="AJ20" s="13">
        <f>AI20*VLOOKUP('Données projet'!$B$10,Paramètres!$A$1:$I$89,3,0)*VLOOKUP('Données projet'!$B$10,Paramètres!$A$1:$I$89,5,0)</f>
        <v>24.639271383574041</v>
      </c>
      <c r="AK20" s="13">
        <f t="shared" si="35"/>
        <v>7.8197783429910519</v>
      </c>
      <c r="AL20" s="20">
        <f t="shared" si="4"/>
        <v>56.532844940434195</v>
      </c>
      <c r="AM20" s="59">
        <f t="shared" si="5"/>
        <v>349.8661782737675</v>
      </c>
      <c r="AN20" s="59">
        <f ca="1">AVERAGE(OFFSET($AM$3,0,0,'Données projet'!$E$10+1,1))-AVERAGE(OFFSET($H$3,0,0,'Données projet'!$E$10+1,1))</f>
        <v>0</v>
      </c>
      <c r="AO20" s="59">
        <f t="shared" si="36"/>
        <v>0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8.526315789473685</v>
      </c>
      <c r="N21" s="13">
        <f>IF('Données projet'!$A$36&gt;35,N20+M21-V20,IF(A21&lt;'Données projet'!$A$36,$K$205^A21,IF(A21='Données projet'!$A$36,'Données projet'!$B$36,N20+M21-V20)))</f>
        <v>123.94378388749713</v>
      </c>
      <c r="O21" s="13">
        <f>N21*VLOOKUP('Données projet'!$B$9,Paramètres!$A$1:$I$89,3,0)*VLOOKUP('Données projet'!$B$9,Paramètres!$A$1:$I$89,5,0)</f>
        <v>69.284575193110896</v>
      </c>
      <c r="P21" s="13">
        <f t="shared" si="33"/>
        <v>19.495686293334202</v>
      </c>
      <c r="Q21" s="20">
        <f t="shared" si="2"/>
        <v>154.62562208889187</v>
      </c>
      <c r="R21" s="59">
        <f t="shared" si="0"/>
        <v>447.95895542222519</v>
      </c>
      <c r="S21" s="59">
        <f ca="1">AVERAGE(OFFSET($R$3,0,0,'Données projet'!$E$9+1,1))-AVERAGE(OFFSET($H$3,0,0,'Données projet'!$E$9+1,1))</f>
        <v>382.55387448074327</v>
      </c>
      <c r="T21" s="59">
        <f t="shared" si="34"/>
        <v>476.29465646955543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5.5909090909090908</v>
      </c>
      <c r="AI21" s="13">
        <f>IF('Données projet'!$A$62&gt;35,AI20+AH21-AQ20,IF(A21&lt;'Données projet'!$A$62,$AF$205^A21,IF(A21='Données projet'!$A$62,'Données projet'!$B$62,AI20+AH21-AQ20)))</f>
        <v>51.276971117915458</v>
      </c>
      <c r="AJ21" s="13">
        <f>AI21*VLOOKUP('Données projet'!$B$10,Paramètres!$A$1:$I$89,3,0)*VLOOKUP('Données projet'!$B$10,Paramètres!$A$1:$I$89,5,0)</f>
        <v>30.663628728513448</v>
      </c>
      <c r="AK21" s="13">
        <f t="shared" si="35"/>
        <v>9.4870815071768995</v>
      </c>
      <c r="AL21" s="20">
        <f t="shared" si="4"/>
        <v>69.929153660494023</v>
      </c>
      <c r="AM21" s="59">
        <f t="shared" si="5"/>
        <v>363.26248699382734</v>
      </c>
      <c r="AN21" s="59">
        <f ca="1">AVERAGE(OFFSET($AM$3,0,0,'Données projet'!$E$10+1,1))-AVERAGE(OFFSET($H$3,0,0,'Données projet'!$E$10+1,1))</f>
        <v>0</v>
      </c>
      <c r="AO21" s="59">
        <f t="shared" si="36"/>
        <v>0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162</v>
      </c>
      <c r="L22" s="12">
        <f>VLOOKUP(A22,'Données projet'!$A$35:$I$55,9,0)</f>
        <v>8.526315789473685</v>
      </c>
      <c r="M22" s="12">
        <f t="array" ref="M22">INDEX(L:L,MIN(IF(ISNUMBER(L22:L218),ROW(L22:L218),"")))</f>
        <v>8.526315789473685</v>
      </c>
      <c r="N22" s="13">
        <f>IF('Données projet'!$A$36&gt;35,N21+M22-V21,IF(A22&lt;'Données projet'!$A$36,$K$205^A22,IF(A22='Données projet'!$A$36,'Données projet'!$B$36,N21+M22-V21)))</f>
        <v>162</v>
      </c>
      <c r="O22" s="13">
        <f>N22*VLOOKUP('Données projet'!$B$9,Paramètres!$A$1:$I$89,3,0)*VLOOKUP('Données projet'!$B$9,Paramètres!$A$1:$I$89,5,0)</f>
        <v>90.557999999999993</v>
      </c>
      <c r="P22" s="13">
        <f t="shared" si="33"/>
        <v>24.699752708509138</v>
      </c>
      <c r="Q22" s="20">
        <f t="shared" si="2"/>
        <v>200.74058596732007</v>
      </c>
      <c r="R22" s="59">
        <f t="shared" si="0"/>
        <v>494.07391930065342</v>
      </c>
      <c r="S22" s="59">
        <f ca="1">AVERAGE(OFFSET($R$3,0,0,'Données projet'!$E$9+1,1))-AVERAGE(OFFSET($H$3,0,0,'Données projet'!$E$9+1,1))</f>
        <v>382.55387448074327</v>
      </c>
      <c r="T22" s="59">
        <f t="shared" si="34"/>
        <v>476.29465646955543</v>
      </c>
      <c r="U22" s="15">
        <f>IF(ISNA(VLOOKUP(A22,'Données projet'!$A$35:$I$55,3,0)),0,VLOOKUP(A22,'Données projet'!$A$35:$I$55,3,0))</f>
        <v>1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5.5909090909090908</v>
      </c>
      <c r="AI22" s="13">
        <f>IF('Données projet'!$A$62&gt;35,AI21+AH22-AQ21,IF(A22&lt;'Données projet'!$A$62,$AF$205^A22,IF(A22='Données projet'!$A$62,'Données projet'!$B$62,AI21+AH22-AQ21)))</f>
        <v>63.814306040343304</v>
      </c>
      <c r="AJ22" s="13">
        <f>AI22*VLOOKUP('Données projet'!$B$10,Paramètres!$A$1:$I$89,3,0)*VLOOKUP('Données projet'!$B$10,Paramètres!$A$1:$I$89,5,0)</f>
        <v>38.160955012125299</v>
      </c>
      <c r="AK22" s="13">
        <f t="shared" si="35"/>
        <v>11.509880661066306</v>
      </c>
      <c r="AL22" s="20">
        <f t="shared" si="4"/>
        <v>86.510038797475374</v>
      </c>
      <c r="AM22" s="59">
        <f t="shared" si="5"/>
        <v>379.84337213080869</v>
      </c>
      <c r="AN22" s="59">
        <f ca="1">AVERAGE(OFFSET($AM$3,0,0,'Données projet'!$E$10+1,1))-AVERAGE(OFFSET($H$3,0,0,'Données projet'!$E$10+1,1))</f>
        <v>0</v>
      </c>
      <c r="AO22" s="59">
        <f t="shared" si="36"/>
        <v>0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28.833333333333332</v>
      </c>
      <c r="N23" s="13">
        <f>IF('Données projet'!$A$36&gt;35,N22+M23-V22,IF(A23&lt;'Données projet'!$A$36,$K$205^A23,IF(A23='Données projet'!$A$36,'Données projet'!$B$36,N22+M23-V22)))</f>
        <v>190.83333333333334</v>
      </c>
      <c r="O23" s="13">
        <f>N23*VLOOKUP('Données projet'!$B$9,Paramètres!$A$1:$I$89,3,0)*VLOOKUP('Données projet'!$B$9,Paramètres!$A$1:$I$89,5,0)</f>
        <v>106.67583333333334</v>
      </c>
      <c r="P23" s="13">
        <f t="shared" si="33"/>
        <v>28.546391754319739</v>
      </c>
      <c r="Q23" s="20">
        <f t="shared" si="2"/>
        <v>235.51204202766243</v>
      </c>
      <c r="R23" s="59">
        <f t="shared" si="0"/>
        <v>528.84537536099572</v>
      </c>
      <c r="S23" s="59">
        <f ca="1">AVERAGE(OFFSET($R$3,0,0,'Données projet'!$E$9+1,1))-AVERAGE(OFFSET($H$3,0,0,'Données projet'!$E$9+1,1))</f>
        <v>382.55387448074327</v>
      </c>
      <c r="T23" s="59">
        <f t="shared" si="34"/>
        <v>476.29465646955543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5.5909090909090908</v>
      </c>
      <c r="AI23" s="13">
        <f>IF('Données projet'!$A$62&gt;35,AI22+AH23-AQ22,IF(A23&lt;'Données projet'!$A$62,$AF$205^A23,IF(A23='Données projet'!$A$62,'Données projet'!$B$62,AI22+AH23-AQ22)))</f>
        <v>79.417047587426694</v>
      </c>
      <c r="AJ23" s="13">
        <f>AI23*VLOOKUP('Données projet'!$B$10,Paramètres!$A$1:$I$89,3,0)*VLOOKUP('Données projet'!$B$10,Paramètres!$A$1:$I$89,5,0)</f>
        <v>47.49139445728116</v>
      </c>
      <c r="AK23" s="13">
        <f t="shared" si="35"/>
        <v>13.96397329692701</v>
      </c>
      <c r="AL23" s="20">
        <f t="shared" si="4"/>
        <v>107.03476550524589</v>
      </c>
      <c r="AM23" s="59">
        <f t="shared" si="5"/>
        <v>400.36809883857921</v>
      </c>
      <c r="AN23" s="59">
        <f ca="1">AVERAGE(OFFSET($AM$3,0,0,'Données projet'!$E$10+1,1))-AVERAGE(OFFSET($H$3,0,0,'Données projet'!$E$10+1,1))</f>
        <v>0</v>
      </c>
      <c r="AO23" s="59">
        <f t="shared" si="36"/>
        <v>0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28.833333333333332</v>
      </c>
      <c r="N24" s="13">
        <f>IF('Données projet'!$A$36&gt;35,N23+M24-V23,IF(A24&lt;'Données projet'!$A$36,$K$205^A24,IF(A24='Données projet'!$A$36,'Données projet'!$B$36,N23+M24-V23)))</f>
        <v>219.66666666666669</v>
      </c>
      <c r="O24" s="13">
        <f>N24*VLOOKUP('Données projet'!$B$9,Paramètres!$A$1:$I$89,3,0)*VLOOKUP('Données projet'!$B$9,Paramètres!$A$1:$I$89,5,0)</f>
        <v>122.79366666666668</v>
      </c>
      <c r="P24" s="13">
        <f t="shared" si="33"/>
        <v>32.32570088253398</v>
      </c>
      <c r="Q24" s="20">
        <f t="shared" si="2"/>
        <v>270.16623181485778</v>
      </c>
      <c r="R24" s="59">
        <f t="shared" si="0"/>
        <v>563.4995651481911</v>
      </c>
      <c r="S24" s="59">
        <f ca="1">AVERAGE(OFFSET($R$3,0,0,'Données projet'!$E$9+1,1))-AVERAGE(OFFSET($H$3,0,0,'Données projet'!$E$9+1,1))</f>
        <v>382.55387448074327</v>
      </c>
      <c r="T24" s="59">
        <f t="shared" si="34"/>
        <v>476.29465646955543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5.5909090909090908</v>
      </c>
      <c r="AI24" s="13">
        <f>IF('Données projet'!$A$62&gt;35,AI23+AH24-AQ23,IF(A24&lt;'Données projet'!$A$62,$AF$205^A24,IF(A24='Données projet'!$A$62,'Données projet'!$B$62,AI23+AH24-AQ23)))</f>
        <v>98.834694582689295</v>
      </c>
      <c r="AJ24" s="13">
        <f>AI24*VLOOKUP('Données projet'!$B$10,Paramètres!$A$1:$I$89,3,0)*VLOOKUP('Données projet'!$B$10,Paramètres!$A$1:$I$89,5,0)</f>
        <v>59.103147360448204</v>
      </c>
      <c r="AK24" s="13">
        <f t="shared" si="35"/>
        <v>16.94131815778756</v>
      </c>
      <c r="AL24" s="20">
        <f t="shared" si="4"/>
        <v>132.44411077759398</v>
      </c>
      <c r="AM24" s="59">
        <f t="shared" si="5"/>
        <v>425.77744411092726</v>
      </c>
      <c r="AN24" s="59">
        <f ca="1">AVERAGE(OFFSET($AM$3,0,0,'Données projet'!$E$10+1,1))-AVERAGE(OFFSET($H$3,0,0,'Données projet'!$E$10+1,1))</f>
        <v>0</v>
      </c>
      <c r="AO24" s="59">
        <f t="shared" si="36"/>
        <v>0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28.833333333333332</v>
      </c>
      <c r="N25" s="13">
        <f>IF('Données projet'!$A$36&gt;35,N24+M25-V24,IF(A25&lt;'Données projet'!$A$36,$K$205^A25,IF(A25='Données projet'!$A$36,'Données projet'!$B$36,N24+M25-V24)))</f>
        <v>248.50000000000003</v>
      </c>
      <c r="O25" s="13">
        <f>N25*VLOOKUP('Données projet'!$B$9,Paramètres!$A$1:$I$89,3,0)*VLOOKUP('Données projet'!$B$9,Paramètres!$A$1:$I$89,5,0)</f>
        <v>138.91150000000002</v>
      </c>
      <c r="P25" s="13">
        <f t="shared" si="33"/>
        <v>36.047532265727178</v>
      </c>
      <c r="Q25" s="20">
        <f t="shared" si="2"/>
        <v>304.72031452947482</v>
      </c>
      <c r="R25" s="59">
        <f t="shared" si="0"/>
        <v>598.05364786280813</v>
      </c>
      <c r="S25" s="59">
        <f ca="1">AVERAGE(OFFSET($R$3,0,0,'Données projet'!$E$9+1,1))-AVERAGE(OFFSET($H$3,0,0,'Données projet'!$E$9+1,1))</f>
        <v>382.55387448074327</v>
      </c>
      <c r="T25" s="59">
        <f t="shared" si="34"/>
        <v>476.29465646955543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>
        <f>VLOOKUP(A25,'Données projet'!$A$61:$I$81,2,0)</f>
        <v>123</v>
      </c>
      <c r="AG25" s="12">
        <f>VLOOKUP(A25,'Données projet'!$A$61:$I$81,9,0)</f>
        <v>5.5909090909090908</v>
      </c>
      <c r="AH25" s="12">
        <f t="array" ref="AH25">INDEX(AG:AG,MIN(IF(ISNUMBER(AG25:AG221),ROW(AG25:AG221),"")))</f>
        <v>5.5909090909090908</v>
      </c>
      <c r="AI25" s="13">
        <f>IF('Données projet'!$A$62&gt;35,AI24+AH25-AQ24,IF(A25&lt;'Données projet'!$A$62,$AF$205^A25,IF(A25='Données projet'!$A$62,'Données projet'!$B$62,AI24+AH25-AQ24)))</f>
        <v>123</v>
      </c>
      <c r="AJ25" s="13">
        <f>AI25*VLOOKUP('Données projet'!$B$10,Paramètres!$A$1:$I$89,3,0)*VLOOKUP('Données projet'!$B$10,Paramètres!$A$1:$I$89,5,0)</f>
        <v>73.554000000000016</v>
      </c>
      <c r="AK25" s="13">
        <f t="shared" si="35"/>
        <v>20.553481077376691</v>
      </c>
      <c r="AL25" s="20">
        <f t="shared" si="4"/>
        <v>163.90386287643108</v>
      </c>
      <c r="AM25" s="59">
        <f t="shared" si="5"/>
        <v>457.23719620976442</v>
      </c>
      <c r="AN25" s="59">
        <f ca="1">AVERAGE(OFFSET($AM$3,0,0,'Données projet'!$E$10+1,1))-AVERAGE(OFFSET($H$3,0,0,'Données projet'!$E$10+1,1))</f>
        <v>0</v>
      </c>
      <c r="AO25" s="59">
        <f t="shared" si="36"/>
        <v>0</v>
      </c>
      <c r="AP25" s="15">
        <f>IF(ISNA(VLOOKUP(A25,'Données projet'!$A$61:$I$81,3,0)),0,VLOOKUP(A25,'Données projet'!$A$61:$I$81,3,0))</f>
        <v>1</v>
      </c>
      <c r="AQ25" s="15">
        <f>IF(ISNA(VLOOKUP(A25,'Données projet'!$A$61:$I$81,4,0)),0,VLOOKUP(A25,'Données projet'!$A$61:$I$81,4,0))</f>
        <v>16</v>
      </c>
      <c r="AR25" s="16">
        <f>IF(ISNA(VLOOKUP(A25,'Données projet'!$A$61:$I$81,5,0)),0%,VLOOKUP(A25,'Données projet'!$A$61:$I$81,5,0)*VLOOKUP('Données projet'!$B$10,Paramètres!$A$1:$I$89,7,0))</f>
        <v>9.0000000000000011E-2</v>
      </c>
      <c r="AS25" s="16">
        <f>IF(ISNA(VLOOKUP(A25,'Données projet'!$A$61:$I$81,6,0)),0%,VLOOKUP(A25,'Données projet'!$A$61:$I$81,6,0)*VLOOKUP('Données projet'!$B$10,Paramètres!$A$1:$I$89,7,0))</f>
        <v>9.0000000000000011E-2</v>
      </c>
      <c r="AT25" s="16">
        <f>IF(ISNA(VLOOKUP(A25,'Données projet'!$A$61:$I$81,7,0)),0%,VLOOKUP(A25,'Données projet'!$A$61:$I$81,7,0))</f>
        <v>0.6</v>
      </c>
      <c r="AU25" s="21">
        <f>EXP(-LN(2)/35)*AU24+(1-EXP(-LN(2)/35))/(LN(2)/35)*AQ25*AR25*VLOOKUP('Données projet'!$B$10,Paramètres!$A$1:$I$89,3,0)*0.475*44/12</f>
        <v>1.142331183868097</v>
      </c>
      <c r="AV25" s="21">
        <f>EXP(-LN(2)/25)*AV24+(1-EXP(-LN(2)/25))/(LN(2)/25)*Calculateur!AQ25*Calculateur!AS25*VLOOKUP('Données projet'!$B$10,Paramètres!$A$1:$I$89,3,0)*0.475*44/12</f>
        <v>1.1378333907349032</v>
      </c>
      <c r="AW25" s="21">
        <f>EXP(-LN(2)/2)*AW24+(1-EXP(-LN(2)/2))/(LN(2)/2)*AQ25*AT25*VLOOKUP('Données projet'!$B$10,Paramètres!$A$1:$I$89,3,0)*0.475*44/12</f>
        <v>6.4999191736399347</v>
      </c>
      <c r="AX25" s="21">
        <f t="shared" si="6"/>
        <v>8.7800837482429337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28.833333333333332</v>
      </c>
      <c r="N26" s="13">
        <f>IF('Données projet'!$A$36&gt;35,N25+M26-V25,IF(A26&lt;'Données projet'!$A$36,$K$205^A26,IF(A26='Données projet'!$A$36,'Données projet'!$B$36,N25+M26-V25)))</f>
        <v>277.33333333333337</v>
      </c>
      <c r="O26" s="13">
        <f>N26*VLOOKUP('Données projet'!$B$9,Paramètres!$A$1:$I$89,3,0)*VLOOKUP('Données projet'!$B$9,Paramètres!$A$1:$I$89,5,0)</f>
        <v>155.02933333333334</v>
      </c>
      <c r="P26" s="13">
        <f t="shared" si="33"/>
        <v>39.719316712120367</v>
      </c>
      <c r="Q26" s="20">
        <f t="shared" si="2"/>
        <v>339.1872321624985</v>
      </c>
      <c r="R26" s="59">
        <f t="shared" si="0"/>
        <v>632.52056549583176</v>
      </c>
      <c r="S26" s="59">
        <f ca="1">AVERAGE(OFFSET($R$3,0,0,'Données projet'!$E$9+1,1))-AVERAGE(OFFSET($H$3,0,0,'Données projet'!$E$9+1,1))</f>
        <v>382.55387448074327</v>
      </c>
      <c r="T26" s="59">
        <f t="shared" si="34"/>
        <v>476.29465646955543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12.333333333333334</v>
      </c>
      <c r="AI26" s="13">
        <f>IF('Données projet'!$A$62&gt;35,AI25+AH26-AQ25,IF(A26&lt;'Données projet'!$A$62,$AF$205^A26,IF(A26='Données projet'!$A$62,'Données projet'!$B$62,AI25+AH26-AQ25)))</f>
        <v>119.33333333333334</v>
      </c>
      <c r="AJ26" s="13">
        <f>AI26*VLOOKUP('Données projet'!$B$10,Paramètres!$A$1:$I$89,3,0)*VLOOKUP('Données projet'!$B$10,Paramètres!$A$1:$I$89,5,0)</f>
        <v>71.361333333333349</v>
      </c>
      <c r="AK26" s="13">
        <f t="shared" si="35"/>
        <v>20.011144716858571</v>
      </c>
      <c r="AL26" s="20">
        <f t="shared" si="4"/>
        <v>159.14039927075092</v>
      </c>
      <c r="AM26" s="59">
        <f t="shared" si="5"/>
        <v>452.47373260408426</v>
      </c>
      <c r="AN26" s="59">
        <f ca="1">AVERAGE(OFFSET($AM$3,0,0,'Données projet'!$E$10+1,1))-AVERAGE(OFFSET($H$3,0,0,'Données projet'!$E$10+1,1))</f>
        <v>0</v>
      </c>
      <c r="AO26" s="59">
        <f t="shared" si="36"/>
        <v>0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1.119930766105667</v>
      </c>
      <c r="AV26" s="21">
        <f>EXP(-LN(2)/25)*AV25+(1-EXP(-LN(2)/25))/(LN(2)/25)*Calculateur!AQ26*Calculateur!AS26*VLOOKUP('Données projet'!$B$10,Paramètres!$A$1:$I$89,3,0)*0.475*44/12</f>
        <v>1.1067192768291998</v>
      </c>
      <c r="AW26" s="21">
        <f>EXP(-LN(2)/2)*AW25+(1-EXP(-LN(2)/2))/(LN(2)/2)*AQ26*AT26*VLOOKUP('Données projet'!$B$10,Paramètres!$A$1:$I$89,3,0)*0.475*44/12</f>
        <v>4.5961369248452586</v>
      </c>
      <c r="AX26" s="21">
        <f t="shared" si="6"/>
        <v>6.8227869677801252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28.833333333333332</v>
      </c>
      <c r="N27" s="13">
        <f>IF('Données projet'!$A$36&gt;35,N26+M27-V26,IF(A27&lt;'Données projet'!$A$36,$K$205^A27,IF(A27='Données projet'!$A$36,'Données projet'!$B$36,N26+M27-V26)))</f>
        <v>306.16666666666669</v>
      </c>
      <c r="O27" s="13">
        <f>N27*VLOOKUP('Données projet'!$B$9,Paramètres!$A$1:$I$89,3,0)*VLOOKUP('Données projet'!$B$9,Paramètres!$A$1:$I$89,5,0)</f>
        <v>171.14716666666669</v>
      </c>
      <c r="P27" s="13">
        <f t="shared" si="33"/>
        <v>43.346850105371793</v>
      </c>
      <c r="Q27" s="20">
        <f t="shared" si="2"/>
        <v>373.57707921130037</v>
      </c>
      <c r="R27" s="59">
        <f t="shared" si="0"/>
        <v>666.91041254463369</v>
      </c>
      <c r="S27" s="59">
        <f ca="1">AVERAGE(OFFSET($R$3,0,0,'Données projet'!$E$9+1,1))-AVERAGE(OFFSET($H$3,0,0,'Données projet'!$E$9+1,1))</f>
        <v>382.55387448074327</v>
      </c>
      <c r="T27" s="59">
        <f t="shared" si="34"/>
        <v>476.29465646955543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12.333333333333334</v>
      </c>
      <c r="AI27" s="13">
        <f>IF('Données projet'!$A$62&gt;35,AI26+AH27-AQ26,IF(A27&lt;'Données projet'!$A$62,$AF$205^A27,IF(A27='Données projet'!$A$62,'Données projet'!$B$62,AI26+AH27-AQ26)))</f>
        <v>131.66666666666669</v>
      </c>
      <c r="AJ27" s="13">
        <f>AI27*VLOOKUP('Données projet'!$B$10,Paramètres!$A$1:$I$89,3,0)*VLOOKUP('Données projet'!$B$10,Paramètres!$A$1:$I$89,5,0)</f>
        <v>78.736666666666679</v>
      </c>
      <c r="AK27" s="13">
        <f t="shared" si="35"/>
        <v>21.828006984037064</v>
      </c>
      <c r="AL27" s="20">
        <f t="shared" si="4"/>
        <v>175.15013994164235</v>
      </c>
      <c r="AM27" s="59">
        <f t="shared" si="5"/>
        <v>468.48347327497567</v>
      </c>
      <c r="AN27" s="59">
        <f ca="1">AVERAGE(OFFSET($AM$3,0,0,'Données projet'!$E$10+1,1))-AVERAGE(OFFSET($H$3,0,0,'Données projet'!$E$10+1,1))</f>
        <v>0</v>
      </c>
      <c r="AO27" s="59">
        <f t="shared" si="36"/>
        <v>0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1.0979696068726525</v>
      </c>
      <c r="AV27" s="21">
        <f>EXP(-LN(2)/25)*AV26+(1-EXP(-LN(2)/25))/(LN(2)/25)*Calculateur!AQ27*Calculateur!AS27*VLOOKUP('Données projet'!$B$10,Paramètres!$A$1:$I$89,3,0)*0.475*44/12</f>
        <v>1.076455980004468</v>
      </c>
      <c r="AW27" s="21">
        <f>EXP(-LN(2)/2)*AW26+(1-EXP(-LN(2)/2))/(LN(2)/2)*AQ27*AT27*VLOOKUP('Données projet'!$B$10,Paramètres!$A$1:$I$89,3,0)*0.475*44/12</f>
        <v>3.2499595868199678</v>
      </c>
      <c r="AX27" s="21">
        <f t="shared" si="6"/>
        <v>5.4243851736970878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335</v>
      </c>
      <c r="L28" s="12">
        <f>VLOOKUP(A28,'Données projet'!$A$35:$I$55,9,0)</f>
        <v>28.833333333333332</v>
      </c>
      <c r="M28" s="12">
        <f t="array" ref="M28">INDEX(L:L,MIN(IF(ISNUMBER(L28:L224),ROW(L28:L224),"")))</f>
        <v>28.833333333333332</v>
      </c>
      <c r="N28" s="13">
        <f>IF('Données projet'!$A$36&gt;35,N27+M28-V27,IF(A28&lt;'Données projet'!$A$36,$K$205^A28,IF(A28='Données projet'!$A$36,'Données projet'!$B$36,N27+M28-V27)))</f>
        <v>335</v>
      </c>
      <c r="O28" s="13">
        <f>N28*VLOOKUP('Données projet'!$B$9,Paramètres!$A$1:$I$89,3,0)*VLOOKUP('Données projet'!$B$9,Paramètres!$A$1:$I$89,5,0)</f>
        <v>187.26500000000001</v>
      </c>
      <c r="P28" s="13">
        <f t="shared" si="33"/>
        <v>46.934773872544483</v>
      </c>
      <c r="Q28" s="20">
        <f t="shared" si="2"/>
        <v>407.89793949468162</v>
      </c>
      <c r="R28" s="59">
        <f t="shared" si="0"/>
        <v>701.23127282801488</v>
      </c>
      <c r="S28" s="59">
        <f ca="1">AVERAGE(OFFSET($R$3,0,0,'Données projet'!$E$9+1,1))-AVERAGE(OFFSET($H$3,0,0,'Données projet'!$E$9+1,1))</f>
        <v>382.55387448074327</v>
      </c>
      <c r="T28" s="59">
        <f t="shared" si="34"/>
        <v>476.29465646955543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54</v>
      </c>
      <c r="W28" s="16">
        <f>IF(ISNA(VLOOKUP(A28,'Données projet'!$A$35:$I$55,5,0)),0%,VLOOKUP(A28,'Données projet'!$A$35:$I$55,5,0)*VLOOKUP('Données projet'!$B$9,Paramètres!$A$1:$I$89,7,0))</f>
        <v>0.11000000000000001</v>
      </c>
      <c r="X28" s="16">
        <f>IF(ISNA(VLOOKUP(A28,'Données projet'!$A$35:$I$55,6,0)),0%,VLOOKUP(A28,'Données projet'!$A$35:$I$55,6,0)*VLOOKUP('Données projet'!$B$9,Paramètres!$A$1:$I$89,7,0))</f>
        <v>0.22000000000000003</v>
      </c>
      <c r="Y28" s="16">
        <f>IF(ISNA(VLOOKUP(A28,'Données projet'!$A$35:$I$55,7,0)),0%,VLOOKUP(A28,'Données projet'!$A$35:$I$55,7,0))</f>
        <v>0.4</v>
      </c>
      <c r="Z28" s="21">
        <f>EXP(-LN(2)/35)*Z27+(1-EXP(-LN(2)/35))/(LN(2)/35)*V28*W28*VLOOKUP('Données projet'!$B$9,Paramètres!$A$1:$I$89,3,0)*0.475*44/12</f>
        <v>4.4048042117087762</v>
      </c>
      <c r="AA28" s="21">
        <f>EXP(-LN(2)/25)*AA27+(1-EXP(-LN(2)/25))/(LN(2)/25)*Calculateur!V28*Calculateur!X28*VLOOKUP('Données projet'!$B$9,Paramètres!$A$1:$I$89,3,0)*0.475*44/12</f>
        <v>8.7749216383305857</v>
      </c>
      <c r="AB28" s="21">
        <f>EXP(-LN(2)/2)*AB27+(1-EXP(-LN(2)/2))/(LN(2)/2)*V28*Y28*VLOOKUP('Données projet'!$B$9,Paramètres!$A$1:$I$89,3,0)*0.475*44/12</f>
        <v>13.67102565325356</v>
      </c>
      <c r="AC28" s="22">
        <f t="shared" si="3"/>
        <v>26.850751503292919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144</v>
      </c>
      <c r="AG28" s="12">
        <f>VLOOKUP(A28,'Données projet'!$A$61:$I$81,9,0)</f>
        <v>12.333333333333334</v>
      </c>
      <c r="AH28" s="12">
        <f t="array" ref="AH28">INDEX(AG:AG,MIN(IF(ISNUMBER(AG28:AG224),ROW(AG28:AG224),"")))</f>
        <v>12.333333333333334</v>
      </c>
      <c r="AI28" s="13">
        <f>IF('Données projet'!$A$62&gt;35,AI27+AH28-AQ27,IF(A28&lt;'Données projet'!$A$62,$AF$205^A28,IF(A28='Données projet'!$A$62,'Données projet'!$B$62,AI27+AH28-AQ27)))</f>
        <v>144.00000000000003</v>
      </c>
      <c r="AJ28" s="13">
        <f>AI28*VLOOKUP('Données projet'!$B$10,Paramètres!$A$1:$I$89,3,0)*VLOOKUP('Données projet'!$B$10,Paramètres!$A$1:$I$89,5,0)</f>
        <v>86.112000000000009</v>
      </c>
      <c r="AK28" s="13">
        <f t="shared" si="35"/>
        <v>23.625136642852297</v>
      </c>
      <c r="AL28" s="20">
        <f t="shared" si="4"/>
        <v>191.12551298630106</v>
      </c>
      <c r="AM28" s="59">
        <f t="shared" si="5"/>
        <v>484.4588463196344</v>
      </c>
      <c r="AN28" s="59">
        <f ca="1">AVERAGE(OFFSET($AM$3,0,0,'Données projet'!$E$10+1,1))-AVERAGE(OFFSET($H$3,0,0,'Données projet'!$E$10+1,1))</f>
        <v>0</v>
      </c>
      <c r="AO28" s="59">
        <f t="shared" si="36"/>
        <v>0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17</v>
      </c>
      <c r="AR28" s="16">
        <f>IF(ISNA(VLOOKUP(A28,'Données projet'!$A$61:$I$81,5,0)),0%,VLOOKUP(A28,'Données projet'!$A$61:$I$81,5,0)*VLOOKUP('Données projet'!$B$10,Paramètres!$A$1:$I$89,7,0))</f>
        <v>0.13500000000000001</v>
      </c>
      <c r="AS28" s="16">
        <f>IF(ISNA(VLOOKUP(A28,'Données projet'!$A$61:$I$81,6,0)),0%,VLOOKUP(A28,'Données projet'!$A$61:$I$81,6,0)*VLOOKUP('Données projet'!$B$10,Paramètres!$A$1:$I$89,7,0))</f>
        <v>0.18000000000000002</v>
      </c>
      <c r="AT28" s="16">
        <f>IF(ISNA(VLOOKUP(A28,'Données projet'!$A$61:$I$81,7,0)),0%,VLOOKUP(A28,'Données projet'!$A$61:$I$81,7,0))</f>
        <v>0.3</v>
      </c>
      <c r="AU28" s="21">
        <f>EXP(-LN(2)/35)*AU27+(1-EXP(-LN(2)/35))/(LN(2)/35)*AQ28*AR28*VLOOKUP('Données projet'!$B$10,Paramètres!$A$1:$I$89,3,0)*0.475*44/12</f>
        <v>2.8970294168669923</v>
      </c>
      <c r="AV28" s="21">
        <f>EXP(-LN(2)/25)*AV27+(1-EXP(-LN(2)/25))/(LN(2)/25)*Calculateur!AQ28*Calculateur!AS28*VLOOKUP('Données projet'!$B$10,Paramètres!$A$1:$I$89,3,0)*0.475*44/12</f>
        <v>3.4649161899345557</v>
      </c>
      <c r="AW28" s="21">
        <f>EXP(-LN(2)/2)*AW27+(1-EXP(-LN(2)/2))/(LN(2)/2)*AQ28*AT28*VLOOKUP('Données projet'!$B$10,Paramètres!$A$1:$I$89,3,0)*0.475*44/12</f>
        <v>5.7511505234188451</v>
      </c>
      <c r="AX28" s="21">
        <f t="shared" si="6"/>
        <v>12.113096130220393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</v>
      </c>
      <c r="N29" s="13">
        <f>IF('Données projet'!$A$36&gt;35,N28+M29-V28,IF(A29&lt;'Données projet'!$A$36,$K$205^A29,IF(A29='Données projet'!$A$36,'Données projet'!$B$36,N28+M29-V28)))</f>
        <v>309</v>
      </c>
      <c r="O29" s="13">
        <f>N29*VLOOKUP('Données projet'!$B$9,Paramètres!$A$1:$I$89,3,0)*VLOOKUP('Données projet'!$B$9,Paramètres!$A$1:$I$89,5,0)</f>
        <v>172.73100000000002</v>
      </c>
      <c r="P29" s="13">
        <f t="shared" si="33"/>
        <v>43.701108252019125</v>
      </c>
      <c r="Q29" s="20">
        <f t="shared" si="2"/>
        <v>376.9525885389333</v>
      </c>
      <c r="R29" s="59">
        <f t="shared" si="0"/>
        <v>670.28592187226661</v>
      </c>
      <c r="S29" s="59">
        <f ca="1">AVERAGE(OFFSET($R$3,0,0,'Données projet'!$E$9+1,1))-AVERAGE(OFFSET($H$3,0,0,'Données projet'!$E$9+1,1))</f>
        <v>382.55387448074327</v>
      </c>
      <c r="T29" s="59">
        <f t="shared" si="34"/>
        <v>476.29465646955543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4.3184286877824505</v>
      </c>
      <c r="AA29" s="21">
        <f>EXP(-LN(2)/25)*AA28+(1-EXP(-LN(2)/25))/(LN(2)/25)*Calculateur!V29*Calculateur!X29*VLOOKUP('Données projet'!$B$9,Paramètres!$A$1:$I$89,3,0)*0.475*44/12</f>
        <v>8.5349709446773616</v>
      </c>
      <c r="AB29" s="21">
        <f>EXP(-LN(2)/2)*AB28+(1-EXP(-LN(2)/2))/(LN(2)/2)*V29*Y29*VLOOKUP('Données projet'!$B$9,Paramètres!$A$1:$I$89,3,0)*0.475*44/12</f>
        <v>9.6668749451908429</v>
      </c>
      <c r="AC29" s="22">
        <f t="shared" si="3"/>
        <v>22.520274577650653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13.4</v>
      </c>
      <c r="AI29" s="13">
        <f>IF('Données projet'!$A$62&gt;35,AI28+AH29-AQ28,IF(A29&lt;'Données projet'!$A$62,$AF$205^A29,IF(A29='Données projet'!$A$62,'Données projet'!$B$62,AI28+AH29-AQ28)))</f>
        <v>140.40000000000003</v>
      </c>
      <c r="AJ29" s="13">
        <f>AI29*VLOOKUP('Données projet'!$B$10,Paramètres!$A$1:$I$89,3,0)*VLOOKUP('Données projet'!$B$10,Paramètres!$A$1:$I$89,5,0)</f>
        <v>83.959200000000024</v>
      </c>
      <c r="AK29" s="13">
        <f t="shared" si="35"/>
        <v>23.102490880810642</v>
      </c>
      <c r="AL29" s="20">
        <f t="shared" si="4"/>
        <v>186.46577828407854</v>
      </c>
      <c r="AM29" s="59">
        <f t="shared" si="5"/>
        <v>479.79911161741188</v>
      </c>
      <c r="AN29" s="59">
        <f ca="1">AVERAGE(OFFSET($AM$3,0,0,'Données projet'!$E$10+1,1))-AVERAGE(OFFSET($H$3,0,0,'Données projet'!$E$10+1,1))</f>
        <v>0</v>
      </c>
      <c r="AO29" s="59">
        <f t="shared" si="36"/>
        <v>0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2.8402204370156969</v>
      </c>
      <c r="AV29" s="21">
        <f>EXP(-LN(2)/25)*AV28+(1-EXP(-LN(2)/25))/(LN(2)/25)*Calculateur!AQ29*Calculateur!AS29*VLOOKUP('Données projet'!$B$10,Paramètres!$A$1:$I$89,3,0)*0.475*44/12</f>
        <v>3.370167874508772</v>
      </c>
      <c r="AW29" s="21">
        <f>EXP(-LN(2)/2)*AW28+(1-EXP(-LN(2)/2))/(LN(2)/2)*AQ29*AT29*VLOOKUP('Données projet'!$B$10,Paramètres!$A$1:$I$89,3,0)*0.475*44/12</f>
        <v>4.066677534734028</v>
      </c>
      <c r="AX29" s="21">
        <f t="shared" si="6"/>
        <v>10.277065846258497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</v>
      </c>
      <c r="N30" s="13">
        <f>IF('Données projet'!$A$36&gt;35,N29+M30-V29,IF(A30&lt;'Données projet'!$A$36,$K$205^A30,IF(A30='Données projet'!$A$36,'Données projet'!$B$36,N29+M30-V29)))</f>
        <v>337</v>
      </c>
      <c r="O30" s="13">
        <f>N30*VLOOKUP('Données projet'!$B$9,Paramètres!$A$1:$I$89,3,0)*VLOOKUP('Données projet'!$B$9,Paramètres!$A$1:$I$89,5,0)</f>
        <v>188.38300000000001</v>
      </c>
      <c r="P30" s="13">
        <f t="shared" si="33"/>
        <v>47.182279474248382</v>
      </c>
      <c r="Q30" s="20">
        <f t="shared" si="2"/>
        <v>410.27619508431599</v>
      </c>
      <c r="R30" s="59">
        <f t="shared" si="0"/>
        <v>703.60952841764924</v>
      </c>
      <c r="S30" s="59">
        <f ca="1">AVERAGE(OFFSET($R$3,0,0,'Données projet'!$E$9+1,1))-AVERAGE(OFFSET($H$3,0,0,'Données projet'!$E$9+1,1))</f>
        <v>382.55387448074327</v>
      </c>
      <c r="T30" s="59">
        <f t="shared" si="34"/>
        <v>476.29465646955543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4.2337469351964518</v>
      </c>
      <c r="AA30" s="21">
        <f>EXP(-LN(2)/25)*AA29+(1-EXP(-LN(2)/25))/(LN(2)/25)*Calculateur!V30*Calculateur!X30*VLOOKUP('Données projet'!$B$9,Paramètres!$A$1:$I$89,3,0)*0.475*44/12</f>
        <v>8.3015817153605447</v>
      </c>
      <c r="AB30" s="21">
        <f>EXP(-LN(2)/2)*AB29+(1-EXP(-LN(2)/2))/(LN(2)/2)*V30*Y30*VLOOKUP('Données projet'!$B$9,Paramètres!$A$1:$I$89,3,0)*0.475*44/12</f>
        <v>6.8355128266267808</v>
      </c>
      <c r="AC30" s="22">
        <f t="shared" si="3"/>
        <v>19.370841477183777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13.4</v>
      </c>
      <c r="AI30" s="13">
        <f>IF('Données projet'!$A$62&gt;35,AI29+AH30-AQ29,IF(A30&lt;'Données projet'!$A$62,$AF$205^A30,IF(A30='Données projet'!$A$62,'Données projet'!$B$62,AI29+AH30-AQ29)))</f>
        <v>153.80000000000004</v>
      </c>
      <c r="AJ30" s="13">
        <f>AI30*VLOOKUP('Données projet'!$B$10,Paramètres!$A$1:$I$89,3,0)*VLOOKUP('Données projet'!$B$10,Paramètres!$A$1:$I$89,5,0)</f>
        <v>91.972400000000022</v>
      </c>
      <c r="AK30" s="13">
        <f t="shared" si="35"/>
        <v>25.040318527820091</v>
      </c>
      <c r="AL30" s="20">
        <f t="shared" si="4"/>
        <v>203.79715143595334</v>
      </c>
      <c r="AM30" s="59">
        <f t="shared" si="5"/>
        <v>497.13048476928668</v>
      </c>
      <c r="AN30" s="59">
        <f ca="1">AVERAGE(OFFSET($AM$3,0,0,'Données projet'!$E$10+1,1))-AVERAGE(OFFSET($H$3,0,0,'Données projet'!$E$10+1,1))</f>
        <v>0</v>
      </c>
      <c r="AO30" s="59">
        <f t="shared" si="36"/>
        <v>0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2.7845254466092291</v>
      </c>
      <c r="AV30" s="21">
        <f>EXP(-LN(2)/25)*AV29+(1-EXP(-LN(2)/25))/(LN(2)/25)*Calculateur!AQ30*Calculateur!AS30*VLOOKUP('Données projet'!$B$10,Paramètres!$A$1:$I$89,3,0)*0.475*44/12</f>
        <v>3.2780104567509039</v>
      </c>
      <c r="AW30" s="21">
        <f>EXP(-LN(2)/2)*AW29+(1-EXP(-LN(2)/2))/(LN(2)/2)*AQ30*AT30*VLOOKUP('Données projet'!$B$10,Paramètres!$A$1:$I$89,3,0)*0.475*44/12</f>
        <v>2.875575261709423</v>
      </c>
      <c r="AX30" s="21">
        <f t="shared" si="6"/>
        <v>8.9381111650695555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</v>
      </c>
      <c r="N31" s="13">
        <f>IF('Données projet'!$A$36&gt;35,N30+M31-V30,IF(A31&lt;'Données projet'!$A$36,$K$205^A31,IF(A31='Données projet'!$A$36,'Données projet'!$B$36,N30+M31-V30)))</f>
        <v>365</v>
      </c>
      <c r="O31" s="13">
        <f>N31*VLOOKUP('Données projet'!$B$9,Paramètres!$A$1:$I$89,3,0)*VLOOKUP('Données projet'!$B$9,Paramètres!$A$1:$I$89,5,0)</f>
        <v>204.035</v>
      </c>
      <c r="P31" s="13">
        <f t="shared" si="33"/>
        <v>50.629905099971396</v>
      </c>
      <c r="Q31" s="20">
        <f t="shared" si="2"/>
        <v>443.54137638245015</v>
      </c>
      <c r="R31" s="59">
        <f t="shared" si="0"/>
        <v>736.87470971578341</v>
      </c>
      <c r="S31" s="59">
        <f ca="1">AVERAGE(OFFSET($R$3,0,0,'Données projet'!$E$9+1,1))-AVERAGE(OFFSET($H$3,0,0,'Données projet'!$E$9+1,1))</f>
        <v>382.55387448074327</v>
      </c>
      <c r="T31" s="59">
        <f t="shared" si="34"/>
        <v>476.29465646955543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4.1507257401278963</v>
      </c>
      <c r="AA31" s="21">
        <f>EXP(-LN(2)/25)*AA30+(1-EXP(-LN(2)/25))/(LN(2)/25)*Calculateur!V31*Calculateur!X31*VLOOKUP('Données projet'!$B$9,Paramètres!$A$1:$I$89,3,0)*0.475*44/12</f>
        <v>8.0745745267928015</v>
      </c>
      <c r="AB31" s="21">
        <f>EXP(-LN(2)/2)*AB30+(1-EXP(-LN(2)/2))/(LN(2)/2)*V31*Y31*VLOOKUP('Données projet'!$B$9,Paramètres!$A$1:$I$89,3,0)*0.475*44/12</f>
        <v>4.8334374725954223</v>
      </c>
      <c r="AC31" s="22">
        <f t="shared" si="3"/>
        <v>17.058737739516118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13.4</v>
      </c>
      <c r="AI31" s="13">
        <f>IF('Données projet'!$A$62&gt;35,AI30+AH31-AQ30,IF(A31&lt;'Données projet'!$A$62,$AF$205^A31,IF(A31='Données projet'!$A$62,'Données projet'!$B$62,AI30+AH31-AQ30)))</f>
        <v>167.20000000000005</v>
      </c>
      <c r="AJ31" s="13">
        <f>AI31*VLOOKUP('Données projet'!$B$10,Paramètres!$A$1:$I$89,3,0)*VLOOKUP('Données projet'!$B$10,Paramètres!$A$1:$I$89,5,0)</f>
        <v>99.985600000000034</v>
      </c>
      <c r="AK31" s="13">
        <f t="shared" si="35"/>
        <v>26.958566918169435</v>
      </c>
      <c r="AL31" s="20">
        <f t="shared" si="4"/>
        <v>221.09442404914515</v>
      </c>
      <c r="AM31" s="59">
        <f t="shared" si="5"/>
        <v>514.42775738247849</v>
      </c>
      <c r="AN31" s="59">
        <f ca="1">AVERAGE(OFFSET($AM$3,0,0,'Données projet'!$E$10+1,1))-AVERAGE(OFFSET($H$3,0,0,'Données projet'!$E$10+1,1))</f>
        <v>0</v>
      </c>
      <c r="AO31" s="59">
        <f t="shared" si="36"/>
        <v>0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2.7299226009940423</v>
      </c>
      <c r="AV31" s="21">
        <f>EXP(-LN(2)/25)*AV30+(1-EXP(-LN(2)/25))/(LN(2)/25)*Calculateur!AQ31*Calculateur!AS31*VLOOKUP('Données projet'!$B$10,Paramètres!$A$1:$I$89,3,0)*0.475*44/12</f>
        <v>3.1883730884279724</v>
      </c>
      <c r="AW31" s="21">
        <f>EXP(-LN(2)/2)*AW30+(1-EXP(-LN(2)/2))/(LN(2)/2)*AQ31*AT31*VLOOKUP('Données projet'!$B$10,Paramètres!$A$1:$I$89,3,0)*0.475*44/12</f>
        <v>2.0333387673670145</v>
      </c>
      <c r="AX31" s="21">
        <f t="shared" si="6"/>
        <v>7.95163445678903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</v>
      </c>
      <c r="N32" s="13">
        <f>IF('Données projet'!$A$36&gt;35,N31+M32-V31,IF(A32&lt;'Données projet'!$A$36,$K$205^A32,IF(A32='Données projet'!$A$36,'Données projet'!$B$36,N31+M32-V31)))</f>
        <v>393</v>
      </c>
      <c r="O32" s="13">
        <f>N32*VLOOKUP('Données projet'!$B$9,Paramètres!$A$1:$I$89,3,0)*VLOOKUP('Données projet'!$B$9,Paramètres!$A$1:$I$89,5,0)</f>
        <v>219.68700000000001</v>
      </c>
      <c r="P32" s="13">
        <f t="shared" si="33"/>
        <v>54.046851081096591</v>
      </c>
      <c r="Q32" s="20">
        <f t="shared" si="2"/>
        <v>476.75312396624321</v>
      </c>
      <c r="R32" s="59">
        <f t="shared" si="0"/>
        <v>770.08645729957652</v>
      </c>
      <c r="S32" s="59">
        <f ca="1">AVERAGE(OFFSET($R$3,0,0,'Données projet'!$E$9+1,1))-AVERAGE(OFFSET($H$3,0,0,'Données projet'!$E$9+1,1))</f>
        <v>382.55387448074327</v>
      </c>
      <c r="T32" s="59">
        <f t="shared" si="34"/>
        <v>476.29465646955543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4.0693325400567062</v>
      </c>
      <c r="AA32" s="21">
        <f>EXP(-LN(2)/25)*AA31+(1-EXP(-LN(2)/25))/(LN(2)/25)*Calculateur!V32*Calculateur!X32*VLOOKUP('Données projet'!$B$9,Paramètres!$A$1:$I$89,3,0)*0.475*44/12</f>
        <v>7.8537748617342329</v>
      </c>
      <c r="AB32" s="21">
        <f>EXP(-LN(2)/2)*AB31+(1-EXP(-LN(2)/2))/(LN(2)/2)*V32*Y32*VLOOKUP('Données projet'!$B$9,Paramètres!$A$1:$I$89,3,0)*0.475*44/12</f>
        <v>3.4177564133133909</v>
      </c>
      <c r="AC32" s="22">
        <f t="shared" si="3"/>
        <v>15.340863815104331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13.4</v>
      </c>
      <c r="AI32" s="13">
        <f>IF('Données projet'!$A$62&gt;35,AI31+AH32-AQ31,IF(A32&lt;'Données projet'!$A$62,$AF$205^A32,IF(A32='Données projet'!$A$62,'Données projet'!$B$62,AI31+AH32-AQ31)))</f>
        <v>180.60000000000005</v>
      </c>
      <c r="AJ32" s="13">
        <f>AI32*VLOOKUP('Données projet'!$B$10,Paramètres!$A$1:$I$89,3,0)*VLOOKUP('Données projet'!$B$10,Paramètres!$A$1:$I$89,5,0)</f>
        <v>107.99880000000003</v>
      </c>
      <c r="AK32" s="13">
        <f t="shared" si="35"/>
        <v>28.85898360070161</v>
      </c>
      <c r="AL32" s="20">
        <f t="shared" si="4"/>
        <v>238.36063977122203</v>
      </c>
      <c r="AM32" s="59">
        <f t="shared" si="5"/>
        <v>531.69397310455531</v>
      </c>
      <c r="AN32" s="59">
        <f ca="1">AVERAGE(OFFSET($AM$3,0,0,'Données projet'!$E$10+1,1))-AVERAGE(OFFSET($H$3,0,0,'Données projet'!$E$10+1,1))</f>
        <v>0</v>
      </c>
      <c r="AO32" s="59">
        <f t="shared" si="36"/>
        <v>0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2.6763904838769217</v>
      </c>
      <c r="AV32" s="21">
        <f>EXP(-LN(2)/25)*AV31+(1-EXP(-LN(2)/25))/(LN(2)/25)*Calculateur!AQ32*Calculateur!AS32*VLOOKUP('Données projet'!$B$10,Paramètres!$A$1:$I$89,3,0)*0.475*44/12</f>
        <v>3.1011868586556557</v>
      </c>
      <c r="AW32" s="21">
        <f>EXP(-LN(2)/2)*AW31+(1-EXP(-LN(2)/2))/(LN(2)/2)*AQ32*AT32*VLOOKUP('Données projet'!$B$10,Paramètres!$A$1:$I$89,3,0)*0.475*44/12</f>
        <v>1.437787630854712</v>
      </c>
      <c r="AX32" s="21">
        <f t="shared" si="6"/>
        <v>7.2153649733872891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421</v>
      </c>
      <c r="L33" s="12">
        <f>VLOOKUP(A33,'Données projet'!$A$35:$I$55,9,0)</f>
        <v>28</v>
      </c>
      <c r="M33" s="12">
        <f t="array" ref="M33">INDEX(L:L,MIN(IF(ISNUMBER(L33:L229),ROW(L33:L229),"")))</f>
        <v>28</v>
      </c>
      <c r="N33" s="13">
        <f>IF('Données projet'!$A$36&gt;35,N32+M33-V32,IF(A33&lt;'Données projet'!$A$36,$K$205^A33,IF(A33='Données projet'!$A$36,'Données projet'!$B$36,N32+M33-V32)))</f>
        <v>421</v>
      </c>
      <c r="O33" s="13">
        <f>N33*VLOOKUP('Données projet'!$B$9,Paramètres!$A$1:$I$89,3,0)*VLOOKUP('Données projet'!$B$9,Paramètres!$A$1:$I$89,5,0)</f>
        <v>235.339</v>
      </c>
      <c r="P33" s="13">
        <f t="shared" si="33"/>
        <v>57.43555185051494</v>
      </c>
      <c r="Q33" s="20">
        <f t="shared" si="2"/>
        <v>509.91567780631357</v>
      </c>
      <c r="R33" s="59">
        <f t="shared" si="0"/>
        <v>803.24901113964688</v>
      </c>
      <c r="S33" s="59">
        <f ca="1">AVERAGE(OFFSET($R$3,0,0,'Données projet'!$E$9+1,1))-AVERAGE(OFFSET($H$3,0,0,'Données projet'!$E$9+1,1))</f>
        <v>382.55387448074327</v>
      </c>
      <c r="T33" s="59">
        <f t="shared" si="34"/>
        <v>476.29465646955543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54</v>
      </c>
      <c r="W33" s="16">
        <f>IF(ISNA(VLOOKUP(A33,'Données projet'!$A$35:$I$55,5,0)),0%,VLOOKUP(A33,'Données projet'!$A$35:$I$55,5,0)*VLOOKUP('Données projet'!$B$9,Paramètres!$A$1:$I$89,7,0))</f>
        <v>0.16500000000000001</v>
      </c>
      <c r="X33" s="16">
        <f>IF(ISNA(VLOOKUP(A33,'Données projet'!$A$35:$I$55,6,0)),0%,VLOOKUP(A33,'Données projet'!$A$35:$I$55,6,0)*VLOOKUP('Données projet'!$B$9,Paramètres!$A$1:$I$89,7,0))</f>
        <v>0.27500000000000002</v>
      </c>
      <c r="Y33" s="16">
        <f>IF(ISNA(VLOOKUP(A33,'Données projet'!$A$35:$I$55,7,0)),0%,VLOOKUP(A33,'Données projet'!$A$35:$I$55,7,0))</f>
        <v>0.2</v>
      </c>
      <c r="Z33" s="21">
        <f>EXP(-LN(2)/35)*Z32+(1-EXP(-LN(2)/35))/(LN(2)/35)*V33*W33*VLOOKUP('Données projet'!$B$9,Paramètres!$A$1:$I$89,3,0)*0.475*44/12</f>
        <v>10.596741728557124</v>
      </c>
      <c r="AA33" s="21">
        <f>EXP(-LN(2)/25)*AA32+(1-EXP(-LN(2)/25))/(LN(2)/25)*Calculateur!V33*Calculateur!X33*VLOOKUP('Données projet'!$B$9,Paramètres!$A$1:$I$89,3,0)*0.475*44/12</f>
        <v>18.607665023041271</v>
      </c>
      <c r="AB33" s="21">
        <f>EXP(-LN(2)/2)*AB32+(1-EXP(-LN(2)/2))/(LN(2)/2)*V33*Y33*VLOOKUP('Données projet'!$B$9,Paramètres!$A$1:$I$89,3,0)*0.475*44/12</f>
        <v>9.2522315629244911</v>
      </c>
      <c r="AC33" s="22">
        <f t="shared" si="3"/>
        <v>38.456638314522884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194</v>
      </c>
      <c r="AG33" s="12">
        <f>VLOOKUP(A33,'Données projet'!$A$61:$I$81,9,0)</f>
        <v>13.4</v>
      </c>
      <c r="AH33" s="12">
        <f t="array" ref="AH33">INDEX(AG:AG,MIN(IF(ISNUMBER(AG33:AG229),ROW(AG33:AG229),"")))</f>
        <v>13.4</v>
      </c>
      <c r="AI33" s="13">
        <f>IF('Données projet'!$A$62&gt;35,AI32+AH33-AQ32,IF(A33&lt;'Données projet'!$A$62,$AF$205^A33,IF(A33='Données projet'!$A$62,'Données projet'!$B$62,AI32+AH33-AQ32)))</f>
        <v>194.00000000000006</v>
      </c>
      <c r="AJ33" s="13">
        <f>AI33*VLOOKUP('Données projet'!$B$10,Paramètres!$A$1:$I$89,3,0)*VLOOKUP('Données projet'!$B$10,Paramètres!$A$1:$I$89,5,0)</f>
        <v>116.01200000000003</v>
      </c>
      <c r="AK33" s="13">
        <f t="shared" si="35"/>
        <v>30.743042086238173</v>
      </c>
      <c r="AL33" s="20">
        <f t="shared" si="4"/>
        <v>255.59836496686489</v>
      </c>
      <c r="AM33" s="59">
        <f t="shared" si="5"/>
        <v>548.93169830019815</v>
      </c>
      <c r="AN33" s="59">
        <f ca="1">AVERAGE(OFFSET($AM$3,0,0,'Données projet'!$E$10+1,1))-AVERAGE(OFFSET($H$3,0,0,'Données projet'!$E$10+1,1))</f>
        <v>0</v>
      </c>
      <c r="AO33" s="59">
        <f t="shared" si="36"/>
        <v>0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34</v>
      </c>
      <c r="AR33" s="16">
        <f>IF(ISNA(VLOOKUP(A33,'Données projet'!$A$61:$I$81,5,0)),0%,VLOOKUP(A33,'Données projet'!$A$61:$I$81,5,0)*VLOOKUP('Données projet'!$B$10,Paramètres!$A$1:$I$89,7,0))</f>
        <v>0.18000000000000002</v>
      </c>
      <c r="AS33" s="16">
        <f>IF(ISNA(VLOOKUP(A33,'Données projet'!$A$61:$I$81,6,0)),0%,VLOOKUP(A33,'Données projet'!$A$61:$I$81,6,0)*VLOOKUP('Données projet'!$B$10,Paramètres!$A$1:$I$89,7,0))</f>
        <v>0.13500000000000001</v>
      </c>
      <c r="AT33" s="16">
        <f>IF(ISNA(VLOOKUP(A33,'Données projet'!$A$61:$I$81,7,0)),0%,VLOOKUP(A33,'Données projet'!$A$61:$I$81,7,0))</f>
        <v>0.3</v>
      </c>
      <c r="AU33" s="21">
        <f>EXP(-LN(2)/35)*AU32+(1-EXP(-LN(2)/35))/(LN(2)/35)*AQ33*AR33*VLOOKUP('Données projet'!$B$10,Paramètres!$A$1:$I$89,3,0)*0.475*44/12</f>
        <v>7.4788156303645135</v>
      </c>
      <c r="AV33" s="21">
        <f>EXP(-LN(2)/25)*AV32+(1-EXP(-LN(2)/25))/(LN(2)/25)*Calculateur!AQ33*Calculateur!AS33*VLOOKUP('Données projet'!$B$10,Paramètres!$A$1:$I$89,3,0)*0.475*44/12</f>
        <v>6.6432286738888919</v>
      </c>
      <c r="AW33" s="21">
        <f>EXP(-LN(2)/2)*AW32+(1-EXP(-LN(2)/2))/(LN(2)/2)*AQ33*AT33*VLOOKUP('Données projet'!$B$10,Paramètres!$A$1:$I$89,3,0)*0.475*44/12</f>
        <v>7.9228335056759391</v>
      </c>
      <c r="AX33" s="21">
        <f t="shared" si="6"/>
        <v>22.044877809929346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27.6</v>
      </c>
      <c r="N34" s="13">
        <f>IF('Données projet'!$A$36&gt;35,N33+M34-V33,IF(A34&lt;'Données projet'!$A$36,$K$205^A34,IF(A34='Données projet'!$A$36,'Données projet'!$B$36,N33+M34-V33)))</f>
        <v>394.6</v>
      </c>
      <c r="O34" s="13">
        <f>N34*VLOOKUP('Données projet'!$B$9,Paramètres!$A$1:$I$89,3,0)*VLOOKUP('Données projet'!$B$9,Paramètres!$A$1:$I$89,5,0)</f>
        <v>220.5814</v>
      </c>
      <c r="P34" s="13">
        <f t="shared" si="33"/>
        <v>54.241230721401301</v>
      </c>
      <c r="Q34" s="20">
        <f t="shared" si="2"/>
        <v>478.64941517310723</v>
      </c>
      <c r="R34" s="59">
        <f t="shared" si="0"/>
        <v>771.98274850644054</v>
      </c>
      <c r="S34" s="59">
        <f ca="1">AVERAGE(OFFSET($R$3,0,0,'Données projet'!$E$9+1,1))-AVERAGE(OFFSET($H$3,0,0,'Données projet'!$E$9+1,1))</f>
        <v>382.55387448074327</v>
      </c>
      <c r="T34" s="59">
        <f t="shared" si="34"/>
        <v>476.29465646955543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10.388946086634368</v>
      </c>
      <c r="AA34" s="21">
        <f>EXP(-LN(2)/25)*AA33+(1-EXP(-LN(2)/25))/(LN(2)/25)*Calculateur!V34*Calculateur!X34*VLOOKUP('Données projet'!$B$9,Paramètres!$A$1:$I$89,3,0)*0.475*44/12</f>
        <v>18.098837444451632</v>
      </c>
      <c r="AB34" s="21">
        <f>EXP(-LN(2)/2)*AB33+(1-EXP(-LN(2)/2))/(LN(2)/2)*V34*Y34*VLOOKUP('Données projet'!$B$9,Paramètres!$A$1:$I$89,3,0)*0.475*44/12</f>
        <v>6.5423156792521171</v>
      </c>
      <c r="AC34" s="22">
        <f t="shared" si="3"/>
        <v>35.030099210338122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14.6</v>
      </c>
      <c r="AI34" s="13">
        <f>IF('Données projet'!$A$62&gt;35,AI33+AH34-AQ33,IF(A34&lt;'Données projet'!$A$62,$AF$205^A34,IF(A34='Données projet'!$A$62,'Données projet'!$B$62,AI33+AH34-AQ33)))</f>
        <v>174.60000000000005</v>
      </c>
      <c r="AJ34" s="13">
        <f>AI34*VLOOKUP('Données projet'!$B$10,Paramètres!$A$1:$I$89,3,0)*VLOOKUP('Données projet'!$B$10,Paramètres!$A$1:$I$89,5,0)</f>
        <v>104.41080000000004</v>
      </c>
      <c r="AK34" s="13">
        <f t="shared" si="35"/>
        <v>28.010155571424168</v>
      </c>
      <c r="AL34" s="20">
        <f t="shared" si="4"/>
        <v>230.63316428689714</v>
      </c>
      <c r="AM34" s="59">
        <f t="shared" si="5"/>
        <v>523.96649762023048</v>
      </c>
      <c r="AN34" s="59">
        <f ca="1">AVERAGE(OFFSET($AM$3,0,0,'Données projet'!$E$10+1,1))-AVERAGE(OFFSET($H$3,0,0,'Données projet'!$E$10+1,1))</f>
        <v>0</v>
      </c>
      <c r="AO34" s="59">
        <f t="shared" si="36"/>
        <v>0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7.3321606174801763</v>
      </c>
      <c r="AV34" s="21">
        <f>EXP(-LN(2)/25)*AV33+(1-EXP(-LN(2)/25))/(LN(2)/25)*Calculateur!AQ34*Calculateur!AS34*VLOOKUP('Données projet'!$B$10,Paramètres!$A$1:$I$89,3,0)*0.475*44/12</f>
        <v>6.4615692364491872</v>
      </c>
      <c r="AW34" s="21">
        <f>EXP(-LN(2)/2)*AW33+(1-EXP(-LN(2)/2))/(LN(2)/2)*AQ34*AT34*VLOOKUP('Données projet'!$B$10,Paramètres!$A$1:$I$89,3,0)*0.475*44/12</f>
        <v>5.6022892980754442</v>
      </c>
      <c r="AX34" s="21">
        <f t="shared" si="6"/>
        <v>19.396019152004808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27.6</v>
      </c>
      <c r="N35" s="13">
        <f>IF('Données projet'!$A$36&gt;35,N34+M35-V34,IF(A35&lt;'Données projet'!$A$36,$K$205^A35,IF(A35='Données projet'!$A$36,'Données projet'!$B$36,N34+M35-V34)))</f>
        <v>422.20000000000005</v>
      </c>
      <c r="O35" s="13">
        <f>N35*VLOOKUP('Données projet'!$B$9,Paramètres!$A$1:$I$89,3,0)*VLOOKUP('Données projet'!$B$9,Paramètres!$A$1:$I$89,5,0)</f>
        <v>236.00980000000004</v>
      </c>
      <c r="P35" s="13">
        <f t="shared" si="33"/>
        <v>57.580183613654185</v>
      </c>
      <c r="Q35" s="20">
        <f t="shared" ref="Q35:Q66" si="53">(O35+P35)*0.475*44/12</f>
        <v>511.3358881271144</v>
      </c>
      <c r="R35" s="59">
        <f t="shared" si="0"/>
        <v>804.66922146044772</v>
      </c>
      <c r="S35" s="59">
        <f ca="1">AVERAGE(OFFSET($R$3,0,0,'Données projet'!$E$9+1,1))-AVERAGE(OFFSET($H$3,0,0,'Données projet'!$E$9+1,1))</f>
        <v>382.55387448074327</v>
      </c>
      <c r="T35" s="59">
        <f t="shared" si="34"/>
        <v>476.29465646955543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10.185225190506891</v>
      </c>
      <c r="AA35" s="21">
        <f>EXP(-LN(2)/25)*AA34+(1-EXP(-LN(2)/25))/(LN(2)/25)*Calculateur!V35*Calculateur!X35*VLOOKUP('Données projet'!$B$9,Paramètres!$A$1:$I$89,3,0)*0.475*44/12</f>
        <v>17.603923782756606</v>
      </c>
      <c r="AB35" s="21">
        <f>EXP(-LN(2)/2)*AB34+(1-EXP(-LN(2)/2))/(LN(2)/2)*V35*Y35*VLOOKUP('Données projet'!$B$9,Paramètres!$A$1:$I$89,3,0)*0.475*44/12</f>
        <v>4.6261157814622464</v>
      </c>
      <c r="AC35" s="22">
        <f t="shared" si="3"/>
        <v>32.41526475472574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14.6</v>
      </c>
      <c r="AI35" s="13">
        <f>IF('Données projet'!$A$62&gt;35,AI34+AH35-AQ34,IF(A35&lt;'Données projet'!$A$62,$AF$205^A35,IF(A35='Données projet'!$A$62,'Données projet'!$B$62,AI34+AH35-AQ34)))</f>
        <v>189.20000000000005</v>
      </c>
      <c r="AJ35" s="13">
        <f>AI35*VLOOKUP('Données projet'!$B$10,Paramètres!$A$1:$I$89,3,0)*VLOOKUP('Données projet'!$B$10,Paramètres!$A$1:$I$89,5,0)</f>
        <v>113.14160000000004</v>
      </c>
      <c r="AK35" s="13">
        <f t="shared" si="35"/>
        <v>30.069952587742019</v>
      </c>
      <c r="AL35" s="20">
        <f t="shared" si="4"/>
        <v>249.42678742365072</v>
      </c>
      <c r="AM35" s="59">
        <f t="shared" si="5"/>
        <v>542.76012075698407</v>
      </c>
      <c r="AN35" s="59">
        <f ca="1">AVERAGE(OFFSET($AM$3,0,0,'Données projet'!$E$10+1,1))-AVERAGE(OFFSET($H$3,0,0,'Données projet'!$E$10+1,1))</f>
        <v>0</v>
      </c>
      <c r="AO35" s="59">
        <f t="shared" si="36"/>
        <v>0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7.1883814199477758</v>
      </c>
      <c r="AV35" s="21">
        <f>EXP(-LN(2)/25)*AV34+(1-EXP(-LN(2)/25))/(LN(2)/25)*Calculateur!AQ35*Calculateur!AS35*VLOOKUP('Données projet'!$B$10,Paramètres!$A$1:$I$89,3,0)*0.475*44/12</f>
        <v>6.2848772858793263</v>
      </c>
      <c r="AW35" s="21">
        <f>EXP(-LN(2)/2)*AW34+(1-EXP(-LN(2)/2))/(LN(2)/2)*AQ35*AT35*VLOOKUP('Données projet'!$B$10,Paramètres!$A$1:$I$89,3,0)*0.475*44/12</f>
        <v>3.9614167528379705</v>
      </c>
      <c r="AX35" s="21">
        <f t="shared" si="6"/>
        <v>17.434675458665073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27.6</v>
      </c>
      <c r="N36" s="13">
        <f>IF('Données projet'!$A$36&gt;35,N35+M36-V35,IF(A36&lt;'Données projet'!$A$36,$K$205^A36,IF(A36='Données projet'!$A$36,'Données projet'!$B$36,N35+M36-V35)))</f>
        <v>449.80000000000007</v>
      </c>
      <c r="O36" s="13">
        <f>N36*VLOOKUP('Données projet'!$B$9,Paramètres!$A$1:$I$89,3,0)*VLOOKUP('Données projet'!$B$9,Paramètres!$A$1:$I$89,5,0)</f>
        <v>251.43820000000002</v>
      </c>
      <c r="P36" s="13">
        <f t="shared" si="33"/>
        <v>60.893806844597648</v>
      </c>
      <c r="Q36" s="20">
        <f t="shared" si="53"/>
        <v>543.978245254341</v>
      </c>
      <c r="R36" s="59">
        <f t="shared" si="0"/>
        <v>837.31157858767438</v>
      </c>
      <c r="S36" s="59">
        <f ca="1">AVERAGE(OFFSET($R$3,0,0,'Données projet'!$E$9+1,1))-AVERAGE(OFFSET($H$3,0,0,'Données projet'!$E$9+1,1))</f>
        <v>382.55387448074327</v>
      </c>
      <c r="T36" s="59">
        <f t="shared" si="34"/>
        <v>476.29465646955543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9.9854991368949957</v>
      </c>
      <c r="AA36" s="21">
        <f>EXP(-LN(2)/25)*AA35+(1-EXP(-LN(2)/25))/(LN(2)/25)*Calculateur!V36*Calculateur!X36*VLOOKUP('Données projet'!$B$9,Paramètres!$A$1:$I$89,3,0)*0.475*44/12</f>
        <v>17.12254356116701</v>
      </c>
      <c r="AB36" s="21">
        <f>EXP(-LN(2)/2)*AB35+(1-EXP(-LN(2)/2))/(LN(2)/2)*V36*Y36*VLOOKUP('Données projet'!$B$9,Paramètres!$A$1:$I$89,3,0)*0.475*44/12</f>
        <v>3.2711578396260594</v>
      </c>
      <c r="AC36" s="22">
        <f t="shared" si="3"/>
        <v>30.379200537688067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14.6</v>
      </c>
      <c r="AI36" s="13">
        <f>IF('Données projet'!$A$62&gt;35,AI35+AH36-AQ35,IF(A36&lt;'Données projet'!$A$62,$AF$205^A36,IF(A36='Données projet'!$A$62,'Données projet'!$B$62,AI35+AH36-AQ35)))</f>
        <v>203.80000000000004</v>
      </c>
      <c r="AJ36" s="13">
        <f>AI36*VLOOKUP('Données projet'!$B$10,Paramètres!$A$1:$I$89,3,0)*VLOOKUP('Données projet'!$B$10,Paramètres!$A$1:$I$89,5,0)</f>
        <v>121.87240000000003</v>
      </c>
      <c r="AK36" s="13">
        <f t="shared" si="35"/>
        <v>32.111311550408985</v>
      </c>
      <c r="AL36" s="20">
        <f t="shared" si="4"/>
        <v>268.1882976169623</v>
      </c>
      <c r="AM36" s="59">
        <f t="shared" si="5"/>
        <v>561.52163095029562</v>
      </c>
      <c r="AN36" s="59">
        <f ca="1">AVERAGE(OFFSET($AM$3,0,0,'Données projet'!$E$10+1,1))-AVERAGE(OFFSET($H$3,0,0,'Données projet'!$E$10+1,1))</f>
        <v>0</v>
      </c>
      <c r="AO36" s="59">
        <f t="shared" si="36"/>
        <v>0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7.047421644782335</v>
      </c>
      <c r="AV36" s="21">
        <f>EXP(-LN(2)/25)*AV35+(1-EXP(-LN(2)/25))/(LN(2)/25)*Calculateur!AQ36*Calculateur!AS36*VLOOKUP('Données projet'!$B$10,Paramètres!$A$1:$I$89,3,0)*0.475*44/12</f>
        <v>6.1130169859896242</v>
      </c>
      <c r="AW36" s="21">
        <f>EXP(-LN(2)/2)*AW35+(1-EXP(-LN(2)/2))/(LN(2)/2)*AQ36*AT36*VLOOKUP('Données projet'!$B$10,Paramètres!$A$1:$I$89,3,0)*0.475*44/12</f>
        <v>2.8011446490377225</v>
      </c>
      <c r="AX36" s="21">
        <f t="shared" si="6"/>
        <v>15.961583279809682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27.6</v>
      </c>
      <c r="N37" s="13">
        <f>IF('Données projet'!$A$36&gt;35,N36+M37-V36,IF(A37&lt;'Données projet'!$A$36,$K$205^A37,IF(A37='Données projet'!$A$36,'Données projet'!$B$36,N36+M37-V36)))</f>
        <v>477.40000000000009</v>
      </c>
      <c r="O37" s="13">
        <f>N37*VLOOKUP('Données projet'!$B$9,Paramètres!$A$1:$I$89,3,0)*VLOOKUP('Données projet'!$B$9,Paramètres!$A$1:$I$89,5,0)</f>
        <v>266.86660000000006</v>
      </c>
      <c r="P37" s="13">
        <f t="shared" si="33"/>
        <v>64.183831628008477</v>
      </c>
      <c r="Q37" s="20">
        <f t="shared" si="53"/>
        <v>576.57950175211477</v>
      </c>
      <c r="R37" s="59">
        <f t="shared" si="0"/>
        <v>869.91283508544802</v>
      </c>
      <c r="S37" s="59">
        <f ca="1">AVERAGE(OFFSET($R$3,0,0,'Données projet'!$E$9+1,1))-AVERAGE(OFFSET($H$3,0,0,'Données projet'!$E$9+1,1))</f>
        <v>382.55387448074327</v>
      </c>
      <c r="T37" s="59">
        <f t="shared" si="34"/>
        <v>476.29465646955543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9.789689589373566</v>
      </c>
      <c r="AA37" s="21">
        <f>EXP(-LN(2)/25)*AA36+(1-EXP(-LN(2)/25))/(LN(2)/25)*Calculateur!V37*Calculateur!X37*VLOOKUP('Données projet'!$B$9,Paramètres!$A$1:$I$89,3,0)*0.475*44/12</f>
        <v>16.654326707051467</v>
      </c>
      <c r="AB37" s="21">
        <f>EXP(-LN(2)/2)*AB36+(1-EXP(-LN(2)/2))/(LN(2)/2)*V37*Y37*VLOOKUP('Données projet'!$B$9,Paramètres!$A$1:$I$89,3,0)*0.475*44/12</f>
        <v>2.3130578907311237</v>
      </c>
      <c r="AC37" s="22">
        <f t="shared" si="3"/>
        <v>28.757074187156157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14.6</v>
      </c>
      <c r="AI37" s="13">
        <f>IF('Données projet'!$A$62&gt;35,AI36+AH37-AQ36,IF(A37&lt;'Données projet'!$A$62,$AF$205^A37,IF(A37='Données projet'!$A$62,'Données projet'!$B$62,AI36+AH37-AQ36)))</f>
        <v>218.40000000000003</v>
      </c>
      <c r="AJ37" s="13">
        <f>AI37*VLOOKUP('Données projet'!$B$10,Paramètres!$A$1:$I$89,3,0)*VLOOKUP('Données projet'!$B$10,Paramètres!$A$1:$I$89,5,0)</f>
        <v>130.60320000000004</v>
      </c>
      <c r="AK37" s="13">
        <f t="shared" si="35"/>
        <v>34.135703567016428</v>
      </c>
      <c r="AL37" s="20">
        <f t="shared" si="4"/>
        <v>286.92025704588701</v>
      </c>
      <c r="AM37" s="59">
        <f t="shared" si="5"/>
        <v>580.25359037922033</v>
      </c>
      <c r="AN37" s="59">
        <f ca="1">AVERAGE(OFFSET($AM$3,0,0,'Données projet'!$E$10+1,1))-AVERAGE(OFFSET($H$3,0,0,'Données projet'!$E$10+1,1))</f>
        <v>0</v>
      </c>
      <c r="AO37" s="59">
        <f t="shared" si="36"/>
        <v>0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6.9092260048309146</v>
      </c>
      <c r="AV37" s="21">
        <f>EXP(-LN(2)/25)*AV36+(1-EXP(-LN(2)/25))/(LN(2)/25)*Calculateur!AQ37*Calculateur!AS37*VLOOKUP('Données projet'!$B$10,Paramètres!$A$1:$I$89,3,0)*0.475*44/12</f>
        <v>5.9458562150381464</v>
      </c>
      <c r="AW37" s="21">
        <f>EXP(-LN(2)/2)*AW36+(1-EXP(-LN(2)/2))/(LN(2)/2)*AQ37*AT37*VLOOKUP('Données projet'!$B$10,Paramètres!$A$1:$I$89,3,0)*0.475*44/12</f>
        <v>1.9807083764189855</v>
      </c>
      <c r="AX37" s="21">
        <f t="shared" si="6"/>
        <v>14.835790596288046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505</v>
      </c>
      <c r="L38" s="12">
        <f>VLOOKUP(A38,'Données projet'!$A$35:$I$55,9,0)</f>
        <v>27.6</v>
      </c>
      <c r="M38" s="12">
        <f t="array" ref="M38">INDEX(L:L,MIN(IF(ISNUMBER(L38:L234),ROW(L38:L234),"")))</f>
        <v>27.6</v>
      </c>
      <c r="N38" s="13">
        <f>IF('Données projet'!$A$36&gt;35,N37+M38-V37,IF(A38&lt;'Données projet'!$A$36,$K$205^A38,IF(A38='Données projet'!$A$36,'Données projet'!$B$36,N37+M38-V37)))</f>
        <v>505.00000000000011</v>
      </c>
      <c r="O38" s="13">
        <f>N38*VLOOKUP('Données projet'!$B$9,Paramètres!$A$1:$I$89,3,0)*VLOOKUP('Données projet'!$B$9,Paramètres!$A$1:$I$89,5,0)</f>
        <v>282.29500000000007</v>
      </c>
      <c r="P38" s="13">
        <f t="shared" si="33"/>
        <v>67.451777696853824</v>
      </c>
      <c r="Q38" s="20">
        <f t="shared" si="53"/>
        <v>609.14230448868716</v>
      </c>
      <c r="R38" s="59">
        <f t="shared" si="0"/>
        <v>902.47563782202042</v>
      </c>
      <c r="S38" s="59">
        <f ca="1">AVERAGE(OFFSET($R$3,0,0,'Données projet'!$E$9+1,1))-AVERAGE(OFFSET($H$3,0,0,'Données projet'!$E$9+1,1))</f>
        <v>382.55387448074327</v>
      </c>
      <c r="T38" s="59">
        <f t="shared" si="34"/>
        <v>476.29465646955543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69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9.597719747647</v>
      </c>
      <c r="AA38" s="21">
        <f>EXP(-LN(2)/25)*AA37+(1-EXP(-LN(2)/25))/(LN(2)/25)*Calculateur!V38*Calculateur!X38*VLOOKUP('Données projet'!$B$9,Paramètres!$A$1:$I$89,3,0)*0.475*44/12</f>
        <v>16.198913267434168</v>
      </c>
      <c r="AB38" s="21">
        <f>EXP(-LN(2)/2)*AB37+(1-EXP(-LN(2)/2))/(LN(2)/2)*V38*Y38*VLOOKUP('Données projet'!$B$9,Paramètres!$A$1:$I$89,3,0)*0.475*44/12</f>
        <v>1.6355789198130299</v>
      </c>
      <c r="AC38" s="22">
        <f t="shared" si="3"/>
        <v>27.432211934894198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233</v>
      </c>
      <c r="AG38" s="12">
        <f>VLOOKUP(A38,'Données projet'!$A$61:$I$81,9,0)</f>
        <v>14.6</v>
      </c>
      <c r="AH38" s="12">
        <f t="array" ref="AH38">INDEX(AG:AG,MIN(IF(ISNUMBER(AG38:AG234),ROW(AG38:AG234),"")))</f>
        <v>14.6</v>
      </c>
      <c r="AI38" s="13">
        <f>IF('Données projet'!$A$62&gt;35,AI37+AH38-AQ37,IF(A38&lt;'Données projet'!$A$62,$AF$205^A38,IF(A38='Données projet'!$A$62,'Données projet'!$B$62,AI37+AH38-AQ37)))</f>
        <v>233.00000000000003</v>
      </c>
      <c r="AJ38" s="13">
        <f>AI38*VLOOKUP('Données projet'!$B$10,Paramètres!$A$1:$I$89,3,0)*VLOOKUP('Données projet'!$B$10,Paramètres!$A$1:$I$89,5,0)</f>
        <v>139.33400000000003</v>
      </c>
      <c r="AK38" s="13">
        <f t="shared" si="35"/>
        <v>36.144391930570897</v>
      </c>
      <c r="AL38" s="20">
        <f t="shared" si="4"/>
        <v>305.62486594574438</v>
      </c>
      <c r="AM38" s="59">
        <f t="shared" si="5"/>
        <v>598.95819927907769</v>
      </c>
      <c r="AN38" s="59">
        <f ca="1">AVERAGE(OFFSET($AM$3,0,0,'Données projet'!$E$10+1,1))-AVERAGE(OFFSET($H$3,0,0,'Données projet'!$E$10+1,1))</f>
        <v>0</v>
      </c>
      <c r="AO38" s="59">
        <f t="shared" si="36"/>
        <v>0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41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6.7737402970879241</v>
      </c>
      <c r="AV38" s="21">
        <f>EXP(-LN(2)/25)*AV37+(1-EXP(-LN(2)/25))/(LN(2)/25)*Calculateur!AQ38*Calculateur!AS38*VLOOKUP('Données projet'!$B$10,Paramètres!$A$1:$I$89,3,0)*0.475*44/12</f>
        <v>5.7832664641589391</v>
      </c>
      <c r="AW38" s="21">
        <f>EXP(-LN(2)/2)*AW37+(1-EXP(-LN(2)/2))/(LN(2)/2)*AQ38*AT38*VLOOKUP('Données projet'!$B$10,Paramètres!$A$1:$I$89,3,0)*0.475*44/12</f>
        <v>1.4005723245188615</v>
      </c>
      <c r="AX38" s="21">
        <f t="shared" si="6"/>
        <v>13.957579085765726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25.6</v>
      </c>
      <c r="N39" s="13">
        <f>IF('Données projet'!$A$36&gt;35,N38+M39-V38,IF(A39&lt;'Données projet'!$A$36,$K$205^A39,IF(A39='Données projet'!$A$36,'Données projet'!$B$36,N38+M39-V38)))</f>
        <v>461.60000000000014</v>
      </c>
      <c r="O39" s="13">
        <f>N39*VLOOKUP('Données projet'!$B$9,Paramètres!$A$1:$I$89,3,0)*VLOOKUP('Données projet'!$B$9,Paramètres!$A$1:$I$89,5,0)</f>
        <v>258.03440000000006</v>
      </c>
      <c r="P39" s="13">
        <f t="shared" si="33"/>
        <v>62.303206596431174</v>
      </c>
      <c r="Q39" s="20">
        <f t="shared" si="53"/>
        <v>557.9213314887844</v>
      </c>
      <c r="R39" s="59">
        <f t="shared" si="0"/>
        <v>851.25466482211777</v>
      </c>
      <c r="S39" s="59">
        <f ca="1">AVERAGE(OFFSET($R$3,0,0,'Données projet'!$E$9+1,1))-AVERAGE(OFFSET($H$3,0,0,'Données projet'!$E$9+1,1))</f>
        <v>382.55387448074327</v>
      </c>
      <c r="T39" s="59">
        <f t="shared" si="34"/>
        <v>476.29465646955543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9.40951431742665</v>
      </c>
      <c r="AA39" s="21">
        <f>EXP(-LN(2)/25)*AA38+(1-EXP(-LN(2)/25))/(LN(2)/25)*Calculateur!V39*Calculateur!X39*VLOOKUP('Données projet'!$B$9,Paramètres!$A$1:$I$89,3,0)*0.475*44/12</f>
        <v>15.755953132272355</v>
      </c>
      <c r="AB39" s="21">
        <f>EXP(-LN(2)/2)*AB38+(1-EXP(-LN(2)/2))/(LN(2)/2)*V39*Y39*VLOOKUP('Données projet'!$B$9,Paramètres!$A$1:$I$89,3,0)*0.475*44/12</f>
        <v>1.1565289453655621</v>
      </c>
      <c r="AC39" s="22">
        <f t="shared" si="3"/>
        <v>26.321996395064566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14.4</v>
      </c>
      <c r="AI39" s="13">
        <f>IF('Données projet'!$A$62&gt;35,AI38+AH39-AQ38,IF(A39&lt;'Données projet'!$A$62,$AF$205^A39,IF(A39='Données projet'!$A$62,'Données projet'!$B$62,AI38+AH39-AQ38)))</f>
        <v>206.40000000000003</v>
      </c>
      <c r="AJ39" s="13">
        <f>AI39*VLOOKUP('Données projet'!$B$10,Paramètres!$A$1:$I$89,3,0)*VLOOKUP('Données projet'!$B$10,Paramètres!$A$1:$I$89,5,0)</f>
        <v>123.42720000000003</v>
      </c>
      <c r="AK39" s="13">
        <f t="shared" si="35"/>
        <v>32.473022671122074</v>
      </c>
      <c r="AL39" s="20">
        <f t="shared" si="4"/>
        <v>271.5262211522043</v>
      </c>
      <c r="AM39" s="59">
        <f t="shared" si="5"/>
        <v>564.85955448553761</v>
      </c>
      <c r="AN39" s="59">
        <f ca="1">AVERAGE(OFFSET($AM$3,0,0,'Données projet'!$E$10+1,1))-AVERAGE(OFFSET($H$3,0,0,'Données projet'!$E$10+1,1))</f>
        <v>0</v>
      </c>
      <c r="AO39" s="59">
        <f t="shared" si="36"/>
        <v>0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6.640911381435652</v>
      </c>
      <c r="AV39" s="21">
        <f>EXP(-LN(2)/25)*AV38+(1-EXP(-LN(2)/25))/(LN(2)/25)*Calculateur!AQ39*Calculateur!AS39*VLOOKUP('Données projet'!$B$10,Paramètres!$A$1:$I$89,3,0)*0.475*44/12</f>
        <v>5.6251227385677476</v>
      </c>
      <c r="AW39" s="21">
        <f>EXP(-LN(2)/2)*AW38+(1-EXP(-LN(2)/2))/(LN(2)/2)*AQ39*AT39*VLOOKUP('Données projet'!$B$10,Paramètres!$A$1:$I$89,3,0)*0.475*44/12</f>
        <v>0.99035418820949284</v>
      </c>
      <c r="AX39" s="21">
        <f t="shared" si="6"/>
        <v>13.256388308212893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25.6</v>
      </c>
      <c r="N40" s="13">
        <f>IF('Données projet'!$A$36&gt;35,N39+M40-V39,IF(A40&lt;'Données projet'!$A$36,$K$205^A40,IF(A40='Données projet'!$A$36,'Données projet'!$B$36,N39+M40-V39)))</f>
        <v>487.20000000000016</v>
      </c>
      <c r="O40" s="13">
        <f>N40*VLOOKUP('Données projet'!$B$9,Paramètres!$A$1:$I$89,3,0)*VLOOKUP('Données projet'!$B$9,Paramètres!$A$1:$I$89,5,0)</f>
        <v>272.34480000000008</v>
      </c>
      <c r="P40" s="13">
        <f t="shared" si="33"/>
        <v>65.346644318451709</v>
      </c>
      <c r="Q40" s="20">
        <f t="shared" si="53"/>
        <v>588.14593218797006</v>
      </c>
      <c r="R40" s="59">
        <f t="shared" si="0"/>
        <v>881.47926552130343</v>
      </c>
      <c r="S40" s="59">
        <f ca="1">AVERAGE(OFFSET($R$3,0,0,'Données projet'!$E$9+1,1))-AVERAGE(OFFSET($H$3,0,0,'Données projet'!$E$9+1,1))</f>
        <v>382.55387448074327</v>
      </c>
      <c r="T40" s="59">
        <f t="shared" si="34"/>
        <v>476.29465646955543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9.2249994808989442</v>
      </c>
      <c r="AA40" s="21">
        <f>EXP(-LN(2)/25)*AA39+(1-EXP(-LN(2)/25))/(LN(2)/25)*Calculateur!V40*Calculateur!X40*VLOOKUP('Données projet'!$B$9,Paramètres!$A$1:$I$89,3,0)*0.475*44/12</f>
        <v>15.325105765300803</v>
      </c>
      <c r="AB40" s="21">
        <f>EXP(-LN(2)/2)*AB39+(1-EXP(-LN(2)/2))/(LN(2)/2)*V40*Y40*VLOOKUP('Données projet'!$B$9,Paramètres!$A$1:$I$89,3,0)*0.475*44/12</f>
        <v>0.81778945990651508</v>
      </c>
      <c r="AC40" s="22">
        <f t="shared" si="3"/>
        <v>25.367894706106263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14.4</v>
      </c>
      <c r="AI40" s="13">
        <f>IF('Données projet'!$A$62&gt;35,AI39+AH40-AQ39,IF(A40&lt;'Données projet'!$A$62,$AF$205^A40,IF(A40='Données projet'!$A$62,'Données projet'!$B$62,AI39+AH40-AQ39)))</f>
        <v>220.80000000000004</v>
      </c>
      <c r="AJ40" s="13">
        <f>AI40*VLOOKUP('Données projet'!$B$10,Paramètres!$A$1:$I$89,3,0)*VLOOKUP('Données projet'!$B$10,Paramètres!$A$1:$I$89,5,0)</f>
        <v>132.03840000000005</v>
      </c>
      <c r="AK40" s="13">
        <f t="shared" si="35"/>
        <v>34.466946374534373</v>
      </c>
      <c r="AL40" s="20">
        <f t="shared" si="4"/>
        <v>289.99681160231415</v>
      </c>
      <c r="AM40" s="59">
        <f t="shared" si="5"/>
        <v>583.33014493564747</v>
      </c>
      <c r="AN40" s="59">
        <f ca="1">AVERAGE(OFFSET($AM$3,0,0,'Données projet'!$E$10+1,1))-AVERAGE(OFFSET($H$3,0,0,'Données projet'!$E$10+1,1))</f>
        <v>0</v>
      </c>
      <c r="AO40" s="59">
        <f t="shared" si="36"/>
        <v>0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6.510687159801682</v>
      </c>
      <c r="AV40" s="21">
        <f>EXP(-LN(2)/25)*AV39+(1-EXP(-LN(2)/25))/(LN(2)/25)*Calculateur!AQ40*Calculateur!AS40*VLOOKUP('Données projet'!$B$10,Paramètres!$A$1:$I$89,3,0)*0.475*44/12</f>
        <v>5.4713034614692644</v>
      </c>
      <c r="AW40" s="21">
        <f>EXP(-LN(2)/2)*AW39+(1-EXP(-LN(2)/2))/(LN(2)/2)*AQ40*AT40*VLOOKUP('Données projet'!$B$10,Paramètres!$A$1:$I$89,3,0)*0.475*44/12</f>
        <v>0.70028616225943086</v>
      </c>
      <c r="AX40" s="21">
        <f t="shared" si="6"/>
        <v>12.682276783530376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25.6</v>
      </c>
      <c r="N41" s="13">
        <f>IF('Données projet'!$A$36&gt;35,N40+M41-V40,IF(A41&lt;'Données projet'!$A$36,$K$205^A41,IF(A41='Données projet'!$A$36,'Données projet'!$B$36,N40+M41-V40)))</f>
        <v>512.80000000000018</v>
      </c>
      <c r="O41" s="13">
        <f>N41*VLOOKUP('Données projet'!$B$9,Paramètres!$A$1:$I$89,3,0)*VLOOKUP('Données projet'!$B$9,Paramètres!$A$1:$I$89,5,0)</f>
        <v>286.65520000000009</v>
      </c>
      <c r="P41" s="13">
        <f t="shared" si="33"/>
        <v>68.37151538584105</v>
      </c>
      <c r="Q41" s="20">
        <f t="shared" si="53"/>
        <v>618.33819596367323</v>
      </c>
      <c r="R41" s="59">
        <f t="shared" si="0"/>
        <v>911.6715292970066</v>
      </c>
      <c r="S41" s="59">
        <f ca="1">AVERAGE(OFFSET($R$3,0,0,'Données projet'!$E$9+1,1))-AVERAGE(OFFSET($H$3,0,0,'Données projet'!$E$9+1,1))</f>
        <v>382.55387448074327</v>
      </c>
      <c r="T41" s="59">
        <f t="shared" si="34"/>
        <v>476.29465646955543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9.0441028677726099</v>
      </c>
      <c r="AA41" s="21">
        <f>EXP(-LN(2)/25)*AA40+(1-EXP(-LN(2)/25))/(LN(2)/25)*Calculateur!V41*Calculateur!X41*VLOOKUP('Données projet'!$B$9,Paramètres!$A$1:$I$89,3,0)*0.475*44/12</f>
        <v>14.906039942236367</v>
      </c>
      <c r="AB41" s="21">
        <f>EXP(-LN(2)/2)*AB40+(1-EXP(-LN(2)/2))/(LN(2)/2)*V41*Y41*VLOOKUP('Données projet'!$B$9,Paramètres!$A$1:$I$89,3,0)*0.475*44/12</f>
        <v>0.57826447268278103</v>
      </c>
      <c r="AC41" s="22">
        <f t="shared" si="3"/>
        <v>24.528407282691759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14.4</v>
      </c>
      <c r="AI41" s="13">
        <f>IF('Données projet'!$A$62&gt;35,AI40+AH41-AQ40,IF(A41&lt;'Données projet'!$A$62,$AF$205^A41,IF(A41='Données projet'!$A$62,'Données projet'!$B$62,AI40+AH41-AQ40)))</f>
        <v>235.20000000000005</v>
      </c>
      <c r="AJ41" s="13">
        <f>AI41*VLOOKUP('Données projet'!$B$10,Paramètres!$A$1:$I$89,3,0)*VLOOKUP('Données projet'!$B$10,Paramètres!$A$1:$I$89,5,0)</f>
        <v>140.64960000000002</v>
      </c>
      <c r="AK41" s="13">
        <f t="shared" si="35"/>
        <v>36.445779615258601</v>
      </c>
      <c r="AL41" s="20">
        <f t="shared" si="4"/>
        <v>308.44111949657542</v>
      </c>
      <c r="AM41" s="59">
        <f t="shared" si="5"/>
        <v>601.7744528299088</v>
      </c>
      <c r="AN41" s="59">
        <f ca="1">AVERAGE(OFFSET($AM$3,0,0,'Données projet'!$E$10+1,1))-AVERAGE(OFFSET($H$3,0,0,'Données projet'!$E$10+1,1))</f>
        <v>0</v>
      </c>
      <c r="AO41" s="59">
        <f t="shared" si="36"/>
        <v>0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6.383016555725022</v>
      </c>
      <c r="AV41" s="21">
        <f>EXP(-LN(2)/25)*AV40+(1-EXP(-LN(2)/25))/(LN(2)/25)*Calculateur!AQ41*Calculateur!AS41*VLOOKUP('Données projet'!$B$10,Paramètres!$A$1:$I$89,3,0)*0.475*44/12</f>
        <v>5.3216903805920435</v>
      </c>
      <c r="AW41" s="21">
        <f>EXP(-LN(2)/2)*AW40+(1-EXP(-LN(2)/2))/(LN(2)/2)*AQ41*AT41*VLOOKUP('Données projet'!$B$10,Paramètres!$A$1:$I$89,3,0)*0.475*44/12</f>
        <v>0.49517709410474653</v>
      </c>
      <c r="AX41" s="21">
        <f t="shared" si="6"/>
        <v>12.199884030421813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25.6</v>
      </c>
      <c r="N42" s="13">
        <f>IF('Données projet'!$A$36&gt;35,N41+M42-V41,IF(A42&lt;'Données projet'!$A$36,$K$205^A42,IF(A42='Données projet'!$A$36,'Données projet'!$B$36,N41+M42-V41)))</f>
        <v>538.4000000000002</v>
      </c>
      <c r="O42" s="13">
        <f>N42*VLOOKUP('Données projet'!$B$9,Paramètres!$A$1:$I$89,3,0)*VLOOKUP('Données projet'!$B$9,Paramètres!$A$1:$I$89,5,0)</f>
        <v>300.96560000000011</v>
      </c>
      <c r="P42" s="13">
        <f t="shared" si="33"/>
        <v>71.378852450242803</v>
      </c>
      <c r="Q42" s="20">
        <f t="shared" si="53"/>
        <v>648.49992135083971</v>
      </c>
      <c r="R42" s="59">
        <f t="shared" si="0"/>
        <v>941.83325468417297</v>
      </c>
      <c r="S42" s="59">
        <f ca="1">AVERAGE(OFFSET($R$3,0,0,'Données projet'!$E$9+1,1))-AVERAGE(OFFSET($H$3,0,0,'Données projet'!$E$9+1,1))</f>
        <v>382.55387448074327</v>
      </c>
      <c r="T42" s="59">
        <f t="shared" si="34"/>
        <v>476.29465646955543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8.8667535268936426</v>
      </c>
      <c r="AA42" s="21">
        <f>EXP(-LN(2)/25)*AA41+(1-EXP(-LN(2)/25))/(LN(2)/25)*Calculateur!V42*Calculateur!X42*VLOOKUP('Données projet'!$B$9,Paramètres!$A$1:$I$89,3,0)*0.475*44/12</f>
        <v>14.498433496141342</v>
      </c>
      <c r="AB42" s="21">
        <f>EXP(-LN(2)/2)*AB41+(1-EXP(-LN(2)/2))/(LN(2)/2)*V42*Y42*VLOOKUP('Données projet'!$B$9,Paramètres!$A$1:$I$89,3,0)*0.475*44/12</f>
        <v>0.40889472995325754</v>
      </c>
      <c r="AC42" s="22">
        <f t="shared" si="3"/>
        <v>23.774081752988241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14.4</v>
      </c>
      <c r="AI42" s="13">
        <f>IF('Données projet'!$A$62&gt;35,AI41+AH42-AQ41,IF(A42&lt;'Données projet'!$A$62,$AF$205^A42,IF(A42='Données projet'!$A$62,'Données projet'!$B$62,AI41+AH42-AQ41)))</f>
        <v>249.60000000000005</v>
      </c>
      <c r="AJ42" s="13">
        <f>AI42*VLOOKUP('Données projet'!$B$10,Paramètres!$A$1:$I$89,3,0)*VLOOKUP('Données projet'!$B$10,Paramètres!$A$1:$I$89,5,0)</f>
        <v>149.26080000000005</v>
      </c>
      <c r="AK42" s="13">
        <f t="shared" si="35"/>
        <v>38.410551499792909</v>
      </c>
      <c r="AL42" s="20">
        <f t="shared" si="4"/>
        <v>326.86093719547273</v>
      </c>
      <c r="AM42" s="59">
        <f t="shared" si="5"/>
        <v>620.1942705288061</v>
      </c>
      <c r="AN42" s="59">
        <f ca="1">AVERAGE(OFFSET($AM$3,0,0,'Données projet'!$E$10+1,1))-AVERAGE(OFFSET($H$3,0,0,'Données projet'!$E$10+1,1))</f>
        <v>0</v>
      </c>
      <c r="AO42" s="59">
        <f t="shared" si="36"/>
        <v>0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6.2578494943229259</v>
      </c>
      <c r="AV42" s="21">
        <f>EXP(-LN(2)/25)*AV41+(1-EXP(-LN(2)/25))/(LN(2)/25)*Calculateur!AQ42*Calculateur!AS42*VLOOKUP('Données projet'!$B$10,Paramètres!$A$1:$I$89,3,0)*0.475*44/12</f>
        <v>5.1761684772792202</v>
      </c>
      <c r="AW42" s="21">
        <f>EXP(-LN(2)/2)*AW41+(1-EXP(-LN(2)/2))/(LN(2)/2)*AQ42*AT42*VLOOKUP('Données projet'!$B$10,Paramètres!$A$1:$I$89,3,0)*0.475*44/12</f>
        <v>0.35014308112971548</v>
      </c>
      <c r="AX42" s="21">
        <f t="shared" si="6"/>
        <v>11.784161052731861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564</v>
      </c>
      <c r="L43" s="12">
        <f>VLOOKUP(A43,'Données projet'!$A$35:$I$55,9,0)</f>
        <v>25.6</v>
      </c>
      <c r="M43" s="12">
        <f t="array" ref="M43">INDEX(L:L,MIN(IF(ISNUMBER(L43:L239),ROW(L43:L239),"")))</f>
        <v>25.6</v>
      </c>
      <c r="N43" s="13">
        <f>IF('Données projet'!$A$36&gt;35,N42+M43-V42,IF(A43&lt;'Données projet'!$A$36,$K$205^A43,IF(A43='Données projet'!$A$36,'Données projet'!$B$36,N42+M43-V42)))</f>
        <v>564.00000000000023</v>
      </c>
      <c r="O43" s="13">
        <f>N43*VLOOKUP('Données projet'!$B$9,Paramètres!$A$1:$I$89,3,0)*VLOOKUP('Données projet'!$B$9,Paramètres!$A$1:$I$89,5,0)</f>
        <v>315.27600000000012</v>
      </c>
      <c r="P43" s="13">
        <f t="shared" si="33"/>
        <v>74.36958441265493</v>
      </c>
      <c r="Q43" s="20">
        <f t="shared" si="53"/>
        <v>678.63272618537417</v>
      </c>
      <c r="R43" s="59">
        <f t="shared" si="0"/>
        <v>971.96605951870743</v>
      </c>
      <c r="S43" s="59">
        <f ca="1">AVERAGE(OFFSET($R$3,0,0,'Données projet'!$E$9+1,1))-AVERAGE(OFFSET($H$3,0,0,'Données projet'!$E$9+1,1))</f>
        <v>382.55387448074327</v>
      </c>
      <c r="T43" s="59">
        <f t="shared" si="34"/>
        <v>476.29465646955543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72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8.6928818984168963</v>
      </c>
      <c r="AA43" s="21">
        <f>EXP(-LN(2)/25)*AA42+(1-EXP(-LN(2)/25))/(LN(2)/25)*Calculateur!V43*Calculateur!X43*VLOOKUP('Données projet'!$B$9,Paramètres!$A$1:$I$89,3,0)*0.475*44/12</f>
        <v>14.101973069749876</v>
      </c>
      <c r="AB43" s="21">
        <f>EXP(-LN(2)/2)*AB42+(1-EXP(-LN(2)/2))/(LN(2)/2)*V43*Y43*VLOOKUP('Données projet'!$B$9,Paramètres!$A$1:$I$89,3,0)*0.475*44/12</f>
        <v>0.28913223634139051</v>
      </c>
      <c r="AC43" s="22">
        <f t="shared" si="3"/>
        <v>23.083987204508166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264</v>
      </c>
      <c r="AG43" s="12">
        <f>VLOOKUP(A43,'Données projet'!$A$61:$I$81,9,0)</f>
        <v>14.4</v>
      </c>
      <c r="AH43" s="12">
        <f t="array" ref="AH43">INDEX(AG:AG,MIN(IF(ISNUMBER(AG43:AG239),ROW(AG43:AG239),"")))</f>
        <v>14.4</v>
      </c>
      <c r="AI43" s="13">
        <f>IF('Données projet'!$A$62&gt;35,AI42+AH43-AQ42,IF(A43&lt;'Données projet'!$A$62,$AF$205^A43,IF(A43='Données projet'!$A$62,'Données projet'!$B$62,AI42+AH43-AQ42)))</f>
        <v>264.00000000000006</v>
      </c>
      <c r="AJ43" s="13">
        <f>AI43*VLOOKUP('Données projet'!$B$10,Paramètres!$A$1:$I$89,3,0)*VLOOKUP('Données projet'!$B$10,Paramètres!$A$1:$I$89,5,0)</f>
        <v>157.87200000000004</v>
      </c>
      <c r="AK43" s="13">
        <f t="shared" si="35"/>
        <v>40.362165684361159</v>
      </c>
      <c r="AL43" s="20">
        <f t="shared" si="4"/>
        <v>345.25783856692902</v>
      </c>
      <c r="AM43" s="59">
        <f t="shared" si="5"/>
        <v>638.59117190026234</v>
      </c>
      <c r="AN43" s="59">
        <f ca="1">AVERAGE(OFFSET($AM$3,0,0,'Données projet'!$E$10+1,1))-AVERAGE(OFFSET($H$3,0,0,'Données projet'!$E$10+1,1))</f>
        <v>0</v>
      </c>
      <c r="AO43" s="59">
        <f t="shared" si="36"/>
        <v>0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41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6.1351368826505563</v>
      </c>
      <c r="AV43" s="21">
        <f>EXP(-LN(2)/25)*AV42+(1-EXP(-LN(2)/25))/(LN(2)/25)*Calculateur!AQ43*Calculateur!AS43*VLOOKUP('Données projet'!$B$10,Paramètres!$A$1:$I$89,3,0)*0.475*44/12</f>
        <v>5.0346258780651496</v>
      </c>
      <c r="AW43" s="21">
        <f>EXP(-LN(2)/2)*AW42+(1-EXP(-LN(2)/2))/(LN(2)/2)*AQ43*AT43*VLOOKUP('Données projet'!$B$10,Paramètres!$A$1:$I$89,3,0)*0.475*44/12</f>
        <v>0.24758854705237329</v>
      </c>
      <c r="AX43" s="21">
        <f t="shared" si="6"/>
        <v>11.417351307768079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514.80000000000018</v>
      </c>
      <c r="O44" s="13">
        <f>N44*VLOOKUP('Données projet'!$B$9,Paramètres!$A$1:$I$89,3,0)*VLOOKUP('Données projet'!$B$9,Paramètres!$A$1:$I$89,5,0)</f>
        <v>287.77320000000009</v>
      </c>
      <c r="P44" s="13">
        <f t="shared" si="33"/>
        <v>68.607082381743922</v>
      </c>
      <c r="Q44" s="20">
        <f t="shared" si="53"/>
        <v>620.69565848153741</v>
      </c>
      <c r="R44" s="59">
        <f t="shared" si="0"/>
        <v>914.02899181487078</v>
      </c>
      <c r="S44" s="59">
        <f ca="1">AVERAGE(OFFSET($R$3,0,0,'Données projet'!$E$9+1,1))-AVERAGE(OFFSET($H$3,0,0,'Données projet'!$E$9+1,1))</f>
        <v>382.55387448074327</v>
      </c>
      <c r="T44" s="59">
        <f t="shared" si="34"/>
        <v>476.29465646955543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8.522419786523356</v>
      </c>
      <c r="AA44" s="21">
        <f>EXP(-LN(2)/25)*AA43+(1-EXP(-LN(2)/25))/(LN(2)/25)*Calculateur!V44*Calculateur!X44*VLOOKUP('Données projet'!$B$9,Paramètres!$A$1:$I$89,3,0)*0.475*44/12</f>
        <v>13.716353874567032</v>
      </c>
      <c r="AB44" s="21">
        <f>EXP(-LN(2)/2)*AB43+(1-EXP(-LN(2)/2))/(LN(2)/2)*V44*Y44*VLOOKUP('Données projet'!$B$9,Paramètres!$A$1:$I$89,3,0)*0.475*44/12</f>
        <v>0.20444736497662877</v>
      </c>
      <c r="AC44" s="22">
        <f t="shared" si="3"/>
        <v>22.443221026067018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19</v>
      </c>
      <c r="AI44" s="13">
        <f>IF('Données projet'!$A$62&gt;35,AI43+AH44-AQ43,IF(A44&lt;'Données projet'!$A$62,$AF$205^A44,IF(A44='Données projet'!$A$62,'Données projet'!$B$62,AI43+AH44-AQ43)))</f>
        <v>242.00000000000006</v>
      </c>
      <c r="AJ44" s="13">
        <f>AI44*VLOOKUP('Données projet'!$B$10,Paramètres!$A$1:$I$89,3,0)*VLOOKUP('Données projet'!$B$10,Paramètres!$A$1:$I$89,5,0)</f>
        <v>144.71600000000007</v>
      </c>
      <c r="AK44" s="13">
        <f t="shared" si="35"/>
        <v>37.375282885096105</v>
      </c>
      <c r="AL44" s="20">
        <f t="shared" si="4"/>
        <v>317.14231769154247</v>
      </c>
      <c r="AM44" s="59">
        <f t="shared" si="5"/>
        <v>610.47565102487579</v>
      </c>
      <c r="AN44" s="59">
        <f ca="1">AVERAGE(OFFSET($AM$3,0,0,'Données projet'!$E$10+1,1))-AVERAGE(OFFSET($H$3,0,0,'Données projet'!$E$10+1,1))</f>
        <v>0</v>
      </c>
      <c r="AO44" s="59">
        <f t="shared" si="36"/>
        <v>0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6.0148305904457793</v>
      </c>
      <c r="AV44" s="21">
        <f>EXP(-LN(2)/25)*AV43+(1-EXP(-LN(2)/25))/(LN(2)/25)*Calculateur!AQ44*Calculateur!AS44*VLOOKUP('Données projet'!$B$10,Paramètres!$A$1:$I$89,3,0)*0.475*44/12</f>
        <v>4.8969537686699898</v>
      </c>
      <c r="AW44" s="21">
        <f>EXP(-LN(2)/2)*AW43+(1-EXP(-LN(2)/2))/(LN(2)/2)*AQ44*AT44*VLOOKUP('Données projet'!$B$10,Paramètres!$A$1:$I$89,3,0)*0.475*44/12</f>
        <v>0.17507154056485777</v>
      </c>
      <c r="AX44" s="21">
        <f t="shared" si="6"/>
        <v>11.086855899680627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537.60000000000014</v>
      </c>
      <c r="O45" s="13">
        <f>N45*VLOOKUP('Données projet'!$B$9,Paramètres!$A$1:$I$89,3,0)*VLOOKUP('Données projet'!$B$9,Paramètres!$A$1:$I$89,5,0)</f>
        <v>300.5184000000001</v>
      </c>
      <c r="P45" s="13">
        <f t="shared" si="33"/>
        <v>71.285129105116411</v>
      </c>
      <c r="Q45" s="20">
        <f t="shared" si="53"/>
        <v>647.55781319141124</v>
      </c>
      <c r="R45" s="59">
        <f t="shared" si="0"/>
        <v>940.8911465247445</v>
      </c>
      <c r="S45" s="59">
        <f ca="1">AVERAGE(OFFSET($R$3,0,0,'Données projet'!$E$9+1,1))-AVERAGE(OFFSET($H$3,0,0,'Données projet'!$E$9+1,1))</f>
        <v>382.55387448074327</v>
      </c>
      <c r="T45" s="59">
        <f t="shared" si="34"/>
        <v>476.29465646955543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8.3553003326724262</v>
      </c>
      <c r="AA45" s="21">
        <f>EXP(-LN(2)/25)*AA44+(1-EXP(-LN(2)/25))/(LN(2)/25)*Calculateur!V45*Calculateur!X45*VLOOKUP('Données projet'!$B$9,Paramètres!$A$1:$I$89,3,0)*0.475*44/12</f>
        <v>13.341279456555295</v>
      </c>
      <c r="AB45" s="21">
        <f>EXP(-LN(2)/2)*AB44+(1-EXP(-LN(2)/2))/(LN(2)/2)*V45*Y45*VLOOKUP('Données projet'!$B$9,Paramètres!$A$1:$I$89,3,0)*0.475*44/12</f>
        <v>0.14456611817069526</v>
      </c>
      <c r="AC45" s="22">
        <f t="shared" si="3"/>
        <v>21.841145907398413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19</v>
      </c>
      <c r="AI45" s="13">
        <f>IF('Données projet'!$A$62&gt;35,AI44+AH45-AQ44,IF(A45&lt;'Données projet'!$A$62,$AF$205^A45,IF(A45='Données projet'!$A$62,'Données projet'!$B$62,AI44+AH45-AQ44)))</f>
        <v>261.00000000000006</v>
      </c>
      <c r="AJ45" s="13">
        <f>AI45*VLOOKUP('Données projet'!$B$10,Paramètres!$A$1:$I$89,3,0)*VLOOKUP('Données projet'!$B$10,Paramètres!$A$1:$I$89,5,0)</f>
        <v>156.07800000000003</v>
      </c>
      <c r="AK45" s="13">
        <f t="shared" si="35"/>
        <v>39.956623674978466</v>
      </c>
      <c r="AL45" s="20">
        <f t="shared" si="4"/>
        <v>341.42696956725422</v>
      </c>
      <c r="AM45" s="59">
        <f t="shared" si="5"/>
        <v>634.76030290058748</v>
      </c>
      <c r="AN45" s="59">
        <f ca="1">AVERAGE(OFFSET($AM$3,0,0,'Données projet'!$E$10+1,1))-AVERAGE(OFFSET($H$3,0,0,'Données projet'!$E$10+1,1))</f>
        <v>0</v>
      </c>
      <c r="AO45" s="59">
        <f t="shared" si="36"/>
        <v>0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5.8968834312515455</v>
      </c>
      <c r="AV45" s="21">
        <f>EXP(-LN(2)/25)*AV44+(1-EXP(-LN(2)/25))/(LN(2)/25)*Calculateur!AQ45*Calculateur!AS45*VLOOKUP('Données projet'!$B$10,Paramètres!$A$1:$I$89,3,0)*0.475*44/12</f>
        <v>4.7630463103461027</v>
      </c>
      <c r="AW45" s="21">
        <f>EXP(-LN(2)/2)*AW44+(1-EXP(-LN(2)/2))/(LN(2)/2)*AQ45*AT45*VLOOKUP('Données projet'!$B$10,Paramètres!$A$1:$I$89,3,0)*0.475*44/12</f>
        <v>0.12379427352618667</v>
      </c>
      <c r="AX45" s="21">
        <f t="shared" si="6"/>
        <v>10.783724015123834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560.40000000000009</v>
      </c>
      <c r="O46" s="13">
        <f>N46*VLOOKUP('Données projet'!$B$9,Paramètres!$A$1:$I$89,3,0)*VLOOKUP('Données projet'!$B$9,Paramètres!$A$1:$I$89,5,0)</f>
        <v>313.26360000000005</v>
      </c>
      <c r="P46" s="13">
        <f t="shared" si="33"/>
        <v>73.949983766039026</v>
      </c>
      <c r="Q46" s="20">
        <f t="shared" si="53"/>
        <v>674.39699172585131</v>
      </c>
      <c r="R46" s="59">
        <f t="shared" si="0"/>
        <v>967.73032505918468</v>
      </c>
      <c r="S46" s="59">
        <f ca="1">AVERAGE(OFFSET($R$3,0,0,'Données projet'!$E$9+1,1))-AVERAGE(OFFSET($H$3,0,0,'Données projet'!$E$9+1,1))</f>
        <v>382.55387448074327</v>
      </c>
      <c r="T46" s="59">
        <f t="shared" si="34"/>
        <v>476.29465646955543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8.1914579893787121</v>
      </c>
      <c r="AA46" s="21">
        <f>EXP(-LN(2)/25)*AA45+(1-EXP(-LN(2)/25))/(LN(2)/25)*Calculateur!V46*Calculateur!X46*VLOOKUP('Données projet'!$B$9,Paramètres!$A$1:$I$89,3,0)*0.475*44/12</f>
        <v>12.976461468228395</v>
      </c>
      <c r="AB46" s="21">
        <f>EXP(-LN(2)/2)*AB45+(1-EXP(-LN(2)/2))/(LN(2)/2)*V46*Y46*VLOOKUP('Données projet'!$B$9,Paramètres!$A$1:$I$89,3,0)*0.475*44/12</f>
        <v>0.10222368248831439</v>
      </c>
      <c r="AC46" s="22">
        <f t="shared" si="3"/>
        <v>21.270143140095421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19</v>
      </c>
      <c r="AI46" s="13">
        <f>IF('Données projet'!$A$62&gt;35,AI45+AH46-AQ45,IF(A46&lt;'Données projet'!$A$62,$AF$205^A46,IF(A46='Données projet'!$A$62,'Données projet'!$B$62,AI45+AH46-AQ45)))</f>
        <v>280.00000000000006</v>
      </c>
      <c r="AJ46" s="13">
        <f>AI46*VLOOKUP('Données projet'!$B$10,Paramètres!$A$1:$I$89,3,0)*VLOOKUP('Données projet'!$B$10,Paramètres!$A$1:$I$89,5,0)</f>
        <v>167.44000000000005</v>
      </c>
      <c r="AK46" s="13">
        <f t="shared" si="35"/>
        <v>42.516163405082935</v>
      </c>
      <c r="AL46" s="20">
        <f t="shared" si="4"/>
        <v>365.67365126385283</v>
      </c>
      <c r="AM46" s="59">
        <f t="shared" si="5"/>
        <v>659.00698459718615</v>
      </c>
      <c r="AN46" s="59">
        <f ca="1">AVERAGE(OFFSET($AM$3,0,0,'Données projet'!$E$10+1,1))-AVERAGE(OFFSET($H$3,0,0,'Données projet'!$E$10+1,1))</f>
        <v>0</v>
      </c>
      <c r="AO46" s="59">
        <f t="shared" si="36"/>
        <v>0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5.7812491439084468</v>
      </c>
      <c r="AV46" s="21">
        <f>EXP(-LN(2)/25)*AV45+(1-EXP(-LN(2)/25))/(LN(2)/25)*Calculateur!AQ46*Calculateur!AS46*VLOOKUP('Données projet'!$B$10,Paramètres!$A$1:$I$89,3,0)*0.475*44/12</f>
        <v>4.6328005585119696</v>
      </c>
      <c r="AW46" s="21">
        <f>EXP(-LN(2)/2)*AW45+(1-EXP(-LN(2)/2))/(LN(2)/2)*AQ46*AT46*VLOOKUP('Données projet'!$B$10,Paramètres!$A$1:$I$89,3,0)*0.475*44/12</f>
        <v>8.7535770282428899E-2</v>
      </c>
      <c r="AX46" s="21">
        <f t="shared" si="6"/>
        <v>10.501585472702846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583.20000000000005</v>
      </c>
      <c r="O47" s="13">
        <f>N47*VLOOKUP('Données projet'!$B$9,Paramètres!$A$1:$I$89,3,0)*VLOOKUP('Données projet'!$B$9,Paramètres!$A$1:$I$89,5,0)</f>
        <v>326.00880000000001</v>
      </c>
      <c r="P47" s="13">
        <f t="shared" si="33"/>
        <v>76.602244480772981</v>
      </c>
      <c r="Q47" s="20">
        <f t="shared" si="53"/>
        <v>701.2142358040129</v>
      </c>
      <c r="R47" s="59">
        <f t="shared" si="0"/>
        <v>994.54756913734627</v>
      </c>
      <c r="S47" s="59">
        <f ca="1">AVERAGE(OFFSET($R$3,0,0,'Données projet'!$E$9+1,1))-AVERAGE(OFFSET($H$3,0,0,'Données projet'!$E$9+1,1))</f>
        <v>382.55387448074327</v>
      </c>
      <c r="T47" s="59">
        <f t="shared" si="34"/>
        <v>476.29465646955543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8.0308284945030266</v>
      </c>
      <c r="AA47" s="21">
        <f>EXP(-LN(2)/25)*AA46+(1-EXP(-LN(2)/25))/(LN(2)/25)*Calculateur!V47*Calculateur!X47*VLOOKUP('Données projet'!$B$9,Paramètres!$A$1:$I$89,3,0)*0.475*44/12</f>
        <v>12.62161944697724</v>
      </c>
      <c r="AB47" s="21">
        <f>EXP(-LN(2)/2)*AB46+(1-EXP(-LN(2)/2))/(LN(2)/2)*V47*Y47*VLOOKUP('Données projet'!$B$9,Paramètres!$A$1:$I$89,3,0)*0.475*44/12</f>
        <v>7.2283059085347628E-2</v>
      </c>
      <c r="AC47" s="22">
        <f t="shared" si="3"/>
        <v>20.724731000565615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19</v>
      </c>
      <c r="AI47" s="13">
        <f>IF('Données projet'!$A$62&gt;35,AI46+AH47-AQ46,IF(A47&lt;'Données projet'!$A$62,$AF$205^A47,IF(A47='Données projet'!$A$62,'Données projet'!$B$62,AI46+AH47-AQ46)))</f>
        <v>299.00000000000006</v>
      </c>
      <c r="AJ47" s="13">
        <f>AI47*VLOOKUP('Données projet'!$B$10,Paramètres!$A$1:$I$89,3,0)*VLOOKUP('Données projet'!$B$10,Paramètres!$A$1:$I$89,5,0)</f>
        <v>178.80200000000002</v>
      </c>
      <c r="AK47" s="13">
        <f t="shared" si="35"/>
        <v>45.055549739375941</v>
      </c>
      <c r="AL47" s="20">
        <f t="shared" si="4"/>
        <v>389.88523246274644</v>
      </c>
      <c r="AM47" s="59">
        <f t="shared" si="5"/>
        <v>683.2185657960797</v>
      </c>
      <c r="AN47" s="59">
        <f ca="1">AVERAGE(OFFSET($AM$3,0,0,'Données projet'!$E$10+1,1))-AVERAGE(OFFSET($H$3,0,0,'Données projet'!$E$10+1,1))</f>
        <v>0</v>
      </c>
      <c r="AO47" s="59">
        <f t="shared" si="36"/>
        <v>0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5.6678823744101949</v>
      </c>
      <c r="AV47" s="21">
        <f>EXP(-LN(2)/25)*AV46+(1-EXP(-LN(2)/25))/(LN(2)/25)*Calculateur!AQ47*Calculateur!AS47*VLOOKUP('Données projet'!$B$10,Paramètres!$A$1:$I$89,3,0)*0.475*44/12</f>
        <v>4.5061163836110669</v>
      </c>
      <c r="AW47" s="21">
        <f>EXP(-LN(2)/2)*AW46+(1-EXP(-LN(2)/2))/(LN(2)/2)*AQ47*AT47*VLOOKUP('Données projet'!$B$10,Paramètres!$A$1:$I$89,3,0)*0.475*44/12</f>
        <v>6.1897136763093344E-2</v>
      </c>
      <c r="AX47" s="21">
        <f t="shared" si="6"/>
        <v>10.235895894784356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606</v>
      </c>
      <c r="L48" s="12">
        <f>VLOOKUP(A48,'Données projet'!$A$35:$I$55,9,0)</f>
        <v>22.8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606</v>
      </c>
      <c r="O48" s="13">
        <f>N48*VLOOKUP('Données projet'!$B$9,Paramètres!$A$1:$I$89,3,0)*VLOOKUP('Données projet'!$B$9,Paramètres!$A$1:$I$89,5,0)</f>
        <v>338.75400000000002</v>
      </c>
      <c r="P48" s="13">
        <f t="shared" si="33"/>
        <v>79.242459951408904</v>
      </c>
      <c r="Q48" s="20">
        <f t="shared" si="53"/>
        <v>728.01050108203719</v>
      </c>
      <c r="R48" s="59">
        <f t="shared" si="0"/>
        <v>1021.3438344153706</v>
      </c>
      <c r="S48" s="59">
        <f ca="1">AVERAGE(OFFSET($R$3,0,0,'Données projet'!$E$9+1,1))-AVERAGE(OFFSET($H$3,0,0,'Données projet'!$E$9+1,1))</f>
        <v>382.55387448074327</v>
      </c>
      <c r="T48" s="59">
        <f t="shared" si="34"/>
        <v>476.29465646955543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66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7.8733488460475352</v>
      </c>
      <c r="AA48" s="21">
        <f>EXP(-LN(2)/25)*AA47+(1-EXP(-LN(2)/25))/(LN(2)/25)*Calculateur!V48*Calculateur!X48*VLOOKUP('Données projet'!$B$9,Paramètres!$A$1:$I$89,3,0)*0.475*44/12</f>
        <v>12.276480599457528</v>
      </c>
      <c r="AB48" s="21">
        <f>EXP(-LN(2)/2)*AB47+(1-EXP(-LN(2)/2))/(LN(2)/2)*V48*Y48*VLOOKUP('Données projet'!$B$9,Paramètres!$A$1:$I$89,3,0)*0.475*44/12</f>
        <v>5.1111841244157193E-2</v>
      </c>
      <c r="AC48" s="22">
        <f t="shared" si="3"/>
        <v>20.20094128674922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318</v>
      </c>
      <c r="AG48" s="12">
        <f>VLOOKUP(A48,'Données projet'!$A$61:$I$81,9,0)</f>
        <v>19</v>
      </c>
      <c r="AH48" s="12">
        <f t="array" ref="AH48">INDEX(AG:AG,MIN(IF(ISNUMBER(AG48:AG244),ROW(AG48:AG244),"")))</f>
        <v>19</v>
      </c>
      <c r="AI48" s="13">
        <f>IF('Données projet'!$A$62&gt;35,AI47+AH48-AQ47,IF(A48&lt;'Données projet'!$A$62,$AF$205^A48,IF(A48='Données projet'!$A$62,'Données projet'!$B$62,AI47+AH48-AQ47)))</f>
        <v>318.00000000000006</v>
      </c>
      <c r="AJ48" s="13">
        <f>AI48*VLOOKUP('Données projet'!$B$10,Paramètres!$A$1:$I$89,3,0)*VLOOKUP('Données projet'!$B$10,Paramètres!$A$1:$I$89,5,0)</f>
        <v>190.16400000000004</v>
      </c>
      <c r="AK48" s="13">
        <f t="shared" si="35"/>
        <v>47.576209101852911</v>
      </c>
      <c r="AL48" s="20">
        <f t="shared" si="4"/>
        <v>414.06419751906054</v>
      </c>
      <c r="AM48" s="59">
        <f t="shared" si="5"/>
        <v>707.39753085239386</v>
      </c>
      <c r="AN48" s="59">
        <f ca="1">AVERAGE(OFFSET($AM$3,0,0,'Données projet'!$E$10+1,1))-AVERAGE(OFFSET($H$3,0,0,'Données projet'!$E$10+1,1))</f>
        <v>0</v>
      </c>
      <c r="AO48" s="59">
        <f t="shared" si="36"/>
        <v>0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53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5.5567386581149023</v>
      </c>
      <c r="AV48" s="21">
        <f>EXP(-LN(2)/25)*AV47+(1-EXP(-LN(2)/25))/(LN(2)/25)*Calculateur!AQ48*Calculateur!AS48*VLOOKUP('Données projet'!$B$10,Paramètres!$A$1:$I$89,3,0)*0.475*44/12</f>
        <v>4.3828963941348604</v>
      </c>
      <c r="AW48" s="21">
        <f>EXP(-LN(2)/2)*AW47+(1-EXP(-LN(2)/2))/(LN(2)/2)*AQ48*AT48*VLOOKUP('Données projet'!$B$10,Paramètres!$A$1:$I$89,3,0)*0.475*44/12</f>
        <v>4.3767885141214456E-2</v>
      </c>
      <c r="AX48" s="21">
        <f t="shared" si="6"/>
        <v>9.9834029373909772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17.8</v>
      </c>
      <c r="N49" s="13">
        <f>IF('Données projet'!$A$36&gt;35,N48+M49-V48,IF(A49&lt;'Données projet'!$A$36,$K$205^A49,IF(A49='Données projet'!$A$36,'Données projet'!$B$36,N48+M49-V48)))</f>
        <v>557.79999999999995</v>
      </c>
      <c r="O49" s="13">
        <f>N49*VLOOKUP('Données projet'!$B$9,Paramètres!$A$1:$I$89,3,0)*VLOOKUP('Données projet'!$B$9,Paramètres!$A$1:$I$89,5,0)</f>
        <v>311.81020000000001</v>
      </c>
      <c r="P49" s="13">
        <f t="shared" si="33"/>
        <v>73.646743780370684</v>
      </c>
      <c r="Q49" s="20">
        <f t="shared" si="53"/>
        <v>671.33751041747894</v>
      </c>
      <c r="R49" s="59">
        <f t="shared" si="0"/>
        <v>964.67084375081231</v>
      </c>
      <c r="S49" s="59">
        <f ca="1">AVERAGE(OFFSET($R$3,0,0,'Données projet'!$E$9+1,1))-AVERAGE(OFFSET($H$3,0,0,'Données projet'!$E$9+1,1))</f>
        <v>382.55387448074327</v>
      </c>
      <c r="T49" s="59">
        <f t="shared" si="34"/>
        <v>476.29465646955543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7.7189572774451545</v>
      </c>
      <c r="AA49" s="21">
        <f>EXP(-LN(2)/25)*AA48+(1-EXP(-LN(2)/25))/(LN(2)/25)*Calculateur!V49*Calculateur!X49*VLOOKUP('Données projet'!$B$9,Paramètres!$A$1:$I$89,3,0)*0.475*44/12</f>
        <v>11.940779591873305</v>
      </c>
      <c r="AB49" s="21">
        <f>EXP(-LN(2)/2)*AB48+(1-EXP(-LN(2)/2))/(LN(2)/2)*V49*Y49*VLOOKUP('Données projet'!$B$9,Paramètres!$A$1:$I$89,3,0)*0.475*44/12</f>
        <v>3.6141529542673814E-2</v>
      </c>
      <c r="AC49" s="22">
        <f t="shared" si="3"/>
        <v>19.695878398861133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17.399999999999999</v>
      </c>
      <c r="AI49" s="13">
        <f>IF('Données projet'!$A$62&gt;35,AI48+AH49-AQ48,IF(A49&lt;'Données projet'!$A$62,$AF$205^A49,IF(A49='Données projet'!$A$62,'Données projet'!$B$62,AI48+AH49-AQ48)))</f>
        <v>282.40000000000003</v>
      </c>
      <c r="AJ49" s="13">
        <f>AI49*VLOOKUP('Données projet'!$B$10,Paramètres!$A$1:$I$89,3,0)*VLOOKUP('Données projet'!$B$10,Paramètres!$A$1:$I$89,5,0)</f>
        <v>168.87520000000004</v>
      </c>
      <c r="AK49" s="13">
        <f t="shared" si="35"/>
        <v>42.838008554673955</v>
      </c>
      <c r="AL49" s="20">
        <f t="shared" si="4"/>
        <v>368.73383823272388</v>
      </c>
      <c r="AM49" s="59">
        <f t="shared" si="5"/>
        <v>662.06717156605714</v>
      </c>
      <c r="AN49" s="59">
        <f ca="1">AVERAGE(OFFSET($AM$3,0,0,'Données projet'!$E$10+1,1))-AVERAGE(OFFSET($H$3,0,0,'Données projet'!$E$10+1,1))</f>
        <v>0</v>
      </c>
      <c r="AO49" s="59">
        <f t="shared" si="36"/>
        <v>0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5.4477744023051873</v>
      </c>
      <c r="AV49" s="21">
        <f>EXP(-LN(2)/25)*AV48+(1-EXP(-LN(2)/25))/(LN(2)/25)*Calculateur!AQ49*Calculateur!AS49*VLOOKUP('Données projet'!$B$10,Paramètres!$A$1:$I$89,3,0)*0.475*44/12</f>
        <v>4.2630458617507383</v>
      </c>
      <c r="AW49" s="21">
        <f>EXP(-LN(2)/2)*AW48+(1-EXP(-LN(2)/2))/(LN(2)/2)*AQ49*AT49*VLOOKUP('Données projet'!$B$10,Paramètres!$A$1:$I$89,3,0)*0.475*44/12</f>
        <v>3.0948568381546679E-2</v>
      </c>
      <c r="AX49" s="21">
        <f t="shared" si="6"/>
        <v>9.7417688324374723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17.8</v>
      </c>
      <c r="N50" s="13">
        <f>IF('Données projet'!$A$36&gt;35,N49+M50-V49,IF(A50&lt;'Données projet'!$A$36,$K$205^A50,IF(A50='Données projet'!$A$36,'Données projet'!$B$36,N49+M50-V49)))</f>
        <v>575.59999999999991</v>
      </c>
      <c r="O50" s="13">
        <f>N50*VLOOKUP('Données projet'!$B$9,Paramètres!$A$1:$I$89,3,0)*VLOOKUP('Données projet'!$B$9,Paramètres!$A$1:$I$89,5,0)</f>
        <v>321.76039999999995</v>
      </c>
      <c r="P50" s="13">
        <f t="shared" si="33"/>
        <v>75.719522083505169</v>
      </c>
      <c r="Q50" s="20">
        <f t="shared" si="53"/>
        <v>692.27753096210472</v>
      </c>
      <c r="R50" s="59">
        <f t="shared" si="0"/>
        <v>985.61086429543798</v>
      </c>
      <c r="S50" s="59">
        <f ca="1">AVERAGE(OFFSET($R$3,0,0,'Données projet'!$E$9+1,1))-AVERAGE(OFFSET($H$3,0,0,'Données projet'!$E$9+1,1))</f>
        <v>382.55387448074327</v>
      </c>
      <c r="T50" s="59">
        <f t="shared" si="34"/>
        <v>476.29465646955543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7.5675932333335076</v>
      </c>
      <c r="AA50" s="21">
        <f>EXP(-LN(2)/25)*AA49+(1-EXP(-LN(2)/25))/(LN(2)/25)*Calculateur!V50*Calculateur!X50*VLOOKUP('Données projet'!$B$9,Paramètres!$A$1:$I$89,3,0)*0.475*44/12</f>
        <v>11.614258345995221</v>
      </c>
      <c r="AB50" s="21">
        <f>EXP(-LN(2)/2)*AB49+(1-EXP(-LN(2)/2))/(LN(2)/2)*V50*Y50*VLOOKUP('Données projet'!$B$9,Paramètres!$A$1:$I$89,3,0)*0.475*44/12</f>
        <v>2.5555920622078596E-2</v>
      </c>
      <c r="AC50" s="22">
        <f t="shared" si="3"/>
        <v>19.207407499950808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17.399999999999999</v>
      </c>
      <c r="AI50" s="13">
        <f>IF('Données projet'!$A$62&gt;35,AI49+AH50-AQ49,IF(A50&lt;'Données projet'!$A$62,$AF$205^A50,IF(A50='Données projet'!$A$62,'Données projet'!$B$62,AI49+AH50-AQ49)))</f>
        <v>299.8</v>
      </c>
      <c r="AJ50" s="13">
        <f>AI50*VLOOKUP('Données projet'!$B$10,Paramètres!$A$1:$I$89,3,0)*VLOOKUP('Données projet'!$B$10,Paramètres!$A$1:$I$89,5,0)</f>
        <v>179.28040000000001</v>
      </c>
      <c r="AK50" s="13">
        <f t="shared" si="35"/>
        <v>45.162051118824294</v>
      </c>
      <c r="AL50" s="20">
        <f t="shared" si="4"/>
        <v>390.90393569861902</v>
      </c>
      <c r="AM50" s="59">
        <f t="shared" si="5"/>
        <v>684.23726903195234</v>
      </c>
      <c r="AN50" s="59">
        <f ca="1">AVERAGE(OFFSET($AM$3,0,0,'Données projet'!$E$10+1,1))-AVERAGE(OFFSET($H$3,0,0,'Données projet'!$E$10+1,1))</f>
        <v>0</v>
      </c>
      <c r="AO50" s="59">
        <f t="shared" si="36"/>
        <v>0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5.3409468690902671</v>
      </c>
      <c r="AV50" s="21">
        <f>EXP(-LN(2)/25)*AV49+(1-EXP(-LN(2)/25))/(LN(2)/25)*Calculateur!AQ50*Calculateur!AS50*VLOOKUP('Données projet'!$B$10,Paramètres!$A$1:$I$89,3,0)*0.475*44/12</f>
        <v>4.1464726484773262</v>
      </c>
      <c r="AW50" s="21">
        <f>EXP(-LN(2)/2)*AW49+(1-EXP(-LN(2)/2))/(LN(2)/2)*AQ50*AT50*VLOOKUP('Données projet'!$B$10,Paramètres!$A$1:$I$89,3,0)*0.475*44/12</f>
        <v>2.1883942570607232E-2</v>
      </c>
      <c r="AX50" s="21">
        <f t="shared" si="6"/>
        <v>9.5093034601382005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17.8</v>
      </c>
      <c r="N51" s="13">
        <f>IF('Données projet'!$A$36&gt;35,N50+M51-V50,IF(A51&lt;'Données projet'!$A$36,$K$205^A51,IF(A51='Données projet'!$A$36,'Données projet'!$B$36,N50+M51-V50)))</f>
        <v>593.39999999999986</v>
      </c>
      <c r="O51" s="13">
        <f>N51*VLOOKUP('Données projet'!$B$9,Paramètres!$A$1:$I$89,3,0)*VLOOKUP('Données projet'!$B$9,Paramètres!$A$1:$I$89,5,0)</f>
        <v>331.71059999999994</v>
      </c>
      <c r="P51" s="13">
        <f t="shared" si="33"/>
        <v>77.784851407016433</v>
      </c>
      <c r="Q51" s="20">
        <f t="shared" si="53"/>
        <v>713.20457786722011</v>
      </c>
      <c r="R51" s="59">
        <f t="shared" si="0"/>
        <v>1006.5379112005535</v>
      </c>
      <c r="S51" s="59">
        <f ca="1">AVERAGE(OFFSET($R$3,0,0,'Données projet'!$E$9+1,1))-AVERAGE(OFFSET($H$3,0,0,'Données projet'!$E$9+1,1))</f>
        <v>382.55387448074327</v>
      </c>
      <c r="T51" s="59">
        <f t="shared" si="34"/>
        <v>476.29465646955543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7.4191973458039397</v>
      </c>
      <c r="AA51" s="21">
        <f>EXP(-LN(2)/25)*AA50+(1-EXP(-LN(2)/25))/(LN(2)/25)*Calculateur!V51*Calculateur!X51*VLOOKUP('Données projet'!$B$9,Paramètres!$A$1:$I$89,3,0)*0.475*44/12</f>
        <v>11.296665840756681</v>
      </c>
      <c r="AB51" s="21">
        <f>EXP(-LN(2)/2)*AB50+(1-EXP(-LN(2)/2))/(LN(2)/2)*V51*Y51*VLOOKUP('Données projet'!$B$9,Paramètres!$A$1:$I$89,3,0)*0.475*44/12</f>
        <v>1.8070764771336907E-2</v>
      </c>
      <c r="AC51" s="22">
        <f t="shared" si="3"/>
        <v>18.733933951331959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17.399999999999999</v>
      </c>
      <c r="AI51" s="13">
        <f>IF('Données projet'!$A$62&gt;35,AI50+AH51-AQ50,IF(A51&lt;'Données projet'!$A$62,$AF$205^A51,IF(A51='Données projet'!$A$62,'Données projet'!$B$62,AI50+AH51-AQ50)))</f>
        <v>317.2</v>
      </c>
      <c r="AJ51" s="13">
        <f>AI51*VLOOKUP('Données projet'!$B$10,Paramètres!$A$1:$I$89,3,0)*VLOOKUP('Données projet'!$B$10,Paramètres!$A$1:$I$89,5,0)</f>
        <v>189.68560000000002</v>
      </c>
      <c r="AK51" s="13">
        <f t="shared" si="35"/>
        <v>47.470436776872745</v>
      </c>
      <c r="AL51" s="20">
        <f t="shared" si="4"/>
        <v>413.04676405305344</v>
      </c>
      <c r="AM51" s="59">
        <f t="shared" si="5"/>
        <v>706.38009738638675</v>
      </c>
      <c r="AN51" s="59">
        <f ca="1">AVERAGE(OFFSET($AM$3,0,0,'Données projet'!$E$10+1,1))-AVERAGE(OFFSET($H$3,0,0,'Données projet'!$E$10+1,1))</f>
        <v>0</v>
      </c>
      <c r="AO51" s="59">
        <f t="shared" si="36"/>
        <v>0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5.23621415864333</v>
      </c>
      <c r="AV51" s="21">
        <f>EXP(-LN(2)/25)*AV50+(1-EXP(-LN(2)/25))/(LN(2)/25)*Calculateur!AQ51*Calculateur!AS51*VLOOKUP('Données projet'!$B$10,Paramètres!$A$1:$I$89,3,0)*0.475*44/12</f>
        <v>4.0330871358511944</v>
      </c>
      <c r="AW51" s="21">
        <f>EXP(-LN(2)/2)*AW50+(1-EXP(-LN(2)/2))/(LN(2)/2)*AQ51*AT51*VLOOKUP('Données projet'!$B$10,Paramètres!$A$1:$I$89,3,0)*0.475*44/12</f>
        <v>1.5474284190773341E-2</v>
      </c>
      <c r="AX51" s="21">
        <f t="shared" si="6"/>
        <v>9.2847755786852986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17.8</v>
      </c>
      <c r="N52" s="13">
        <f>IF('Données projet'!$A$36&gt;35,N51+M52-V51,IF(A52&lt;'Données projet'!$A$36,$K$205^A52,IF(A52='Données projet'!$A$36,'Données projet'!$B$36,N51+M52-V51)))</f>
        <v>611.19999999999982</v>
      </c>
      <c r="O52" s="13">
        <f>N52*VLOOKUP('Données projet'!$B$9,Paramètres!$A$1:$I$89,3,0)*VLOOKUP('Données projet'!$B$9,Paramètres!$A$1:$I$89,5,0)</f>
        <v>341.66079999999988</v>
      </c>
      <c r="P52" s="13">
        <f t="shared" si="33"/>
        <v>79.842980844864144</v>
      </c>
      <c r="Q52" s="20">
        <f t="shared" si="53"/>
        <v>734.11908497147158</v>
      </c>
      <c r="R52" s="59">
        <f t="shared" si="0"/>
        <v>1027.452418304805</v>
      </c>
      <c r="S52" s="59">
        <f ca="1">AVERAGE(OFFSET($R$3,0,0,'Données projet'!$E$9+1,1))-AVERAGE(OFFSET($H$3,0,0,'Données projet'!$E$9+1,1))</f>
        <v>382.55387448074327</v>
      </c>
      <c r="T52" s="59">
        <f t="shared" si="34"/>
        <v>476.29465646955543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7.2737114111162731</v>
      </c>
      <c r="AA52" s="21">
        <f>EXP(-LN(2)/25)*AA51+(1-EXP(-LN(2)/25))/(LN(2)/25)*Calculateur!V52*Calculateur!X52*VLOOKUP('Données projet'!$B$9,Paramètres!$A$1:$I$89,3,0)*0.475*44/12</f>
        <v>10.987757919275351</v>
      </c>
      <c r="AB52" s="21">
        <f>EXP(-LN(2)/2)*AB51+(1-EXP(-LN(2)/2))/(LN(2)/2)*V52*Y52*VLOOKUP('Données projet'!$B$9,Paramètres!$A$1:$I$89,3,0)*0.475*44/12</f>
        <v>1.2777960311039298E-2</v>
      </c>
      <c r="AC52" s="22">
        <f t="shared" si="3"/>
        <v>18.274247290702661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17.399999999999999</v>
      </c>
      <c r="AI52" s="13">
        <f>IF('Données projet'!$A$62&gt;35,AI51+AH52-AQ51,IF(A52&lt;'Données projet'!$A$62,$AF$205^A52,IF(A52='Données projet'!$A$62,'Données projet'!$B$62,AI51+AH52-AQ51)))</f>
        <v>334.59999999999997</v>
      </c>
      <c r="AJ52" s="13">
        <f>AI52*VLOOKUP('Données projet'!$B$10,Paramètres!$A$1:$I$89,3,0)*VLOOKUP('Données projet'!$B$10,Paramètres!$A$1:$I$89,5,0)</f>
        <v>200.0908</v>
      </c>
      <c r="AK52" s="13">
        <f t="shared" si="35"/>
        <v>49.764122289960234</v>
      </c>
      <c r="AL52" s="20">
        <f t="shared" si="4"/>
        <v>435.16398965501406</v>
      </c>
      <c r="AM52" s="59">
        <f t="shared" si="5"/>
        <v>728.49732298834738</v>
      </c>
      <c r="AN52" s="59">
        <f ca="1">AVERAGE(OFFSET($AM$3,0,0,'Données projet'!$E$10+1,1))-AVERAGE(OFFSET($H$3,0,0,'Données projet'!$E$10+1,1))</f>
        <v>0</v>
      </c>
      <c r="AO52" s="59">
        <f t="shared" si="36"/>
        <v>0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5.1335351927676118</v>
      </c>
      <c r="AV52" s="21">
        <f>EXP(-LN(2)/25)*AV51+(1-EXP(-LN(2)/25))/(LN(2)/25)*Calculateur!AQ52*Calculateur!AS52*VLOOKUP('Données projet'!$B$10,Paramètres!$A$1:$I$89,3,0)*0.475*44/12</f>
        <v>3.9228021560305089</v>
      </c>
      <c r="AW52" s="21">
        <f>EXP(-LN(2)/2)*AW51+(1-EXP(-LN(2)/2))/(LN(2)/2)*AQ52*AT52*VLOOKUP('Données projet'!$B$10,Paramètres!$A$1:$I$89,3,0)*0.475*44/12</f>
        <v>1.0941971285303618E-2</v>
      </c>
      <c r="AX52" s="21">
        <f t="shared" si="6"/>
        <v>9.0672793200834239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629</v>
      </c>
      <c r="L53" s="12">
        <f>VLOOKUP(A53,'Données projet'!$A$35:$I$55,9,0)</f>
        <v>17.8</v>
      </c>
      <c r="M53" s="12">
        <f t="array" ref="M53">INDEX(L:L,MIN(IF(ISNUMBER(L53:L249),ROW(L53:L249),"")))</f>
        <v>17.8</v>
      </c>
      <c r="N53" s="13">
        <f>IF('Données projet'!$A$36&gt;35,N52+M53-V52,IF(A53&lt;'Données projet'!$A$36,$K$205^A53,IF(A53='Données projet'!$A$36,'Données projet'!$B$36,N52+M53-V52)))</f>
        <v>628.99999999999977</v>
      </c>
      <c r="O53" s="13">
        <f>N53*VLOOKUP('Données projet'!$B$9,Paramètres!$A$1:$I$89,3,0)*VLOOKUP('Données projet'!$B$9,Paramètres!$A$1:$I$89,5,0)</f>
        <v>351.61099999999988</v>
      </c>
      <c r="P53" s="13">
        <f t="shared" si="33"/>
        <v>81.89414415728541</v>
      </c>
      <c r="Q53" s="20">
        <f t="shared" si="53"/>
        <v>755.02145940727178</v>
      </c>
      <c r="R53" s="59">
        <f t="shared" si="0"/>
        <v>1048.354792740605</v>
      </c>
      <c r="S53" s="59">
        <f ca="1">AVERAGE(OFFSET($R$3,0,0,'Données projet'!$E$9+1,1))-AVERAGE(OFFSET($H$3,0,0,'Données projet'!$E$9+1,1))</f>
        <v>382.55387448074327</v>
      </c>
      <c r="T53" s="59">
        <f t="shared" si="34"/>
        <v>476.29465646955543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48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7.1310783668701729</v>
      </c>
      <c r="AA53" s="21">
        <f>EXP(-LN(2)/25)*AA52+(1-EXP(-LN(2)/25))/(LN(2)/25)*Calculateur!V53*Calculateur!X53*VLOOKUP('Données projet'!$B$9,Paramètres!$A$1:$I$89,3,0)*0.475*44/12</f>
        <v>10.687297101151691</v>
      </c>
      <c r="AB53" s="21">
        <f>EXP(-LN(2)/2)*AB52+(1-EXP(-LN(2)/2))/(LN(2)/2)*V53*Y53*VLOOKUP('Données projet'!$B$9,Paramètres!$A$1:$I$89,3,0)*0.475*44/12</f>
        <v>9.0353823856684536E-3</v>
      </c>
      <c r="AC53" s="22">
        <f t="shared" si="3"/>
        <v>17.827410850407531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352</v>
      </c>
      <c r="AG53" s="12">
        <f>VLOOKUP(A53,'Données projet'!$A$61:$I$81,9,0)</f>
        <v>17.399999999999999</v>
      </c>
      <c r="AH53" s="12">
        <f t="array" ref="AH53">INDEX(AG:AG,MIN(IF(ISNUMBER(AG53:AG249),ROW(AG53:AG249),"")))</f>
        <v>17.399999999999999</v>
      </c>
      <c r="AI53" s="13">
        <f>IF('Données projet'!$A$62&gt;35,AI52+AH53-AQ52,IF(A53&lt;'Données projet'!$A$62,$AF$205^A53,IF(A53='Données projet'!$A$62,'Données projet'!$B$62,AI52+AH53-AQ52)))</f>
        <v>351.99999999999994</v>
      </c>
      <c r="AJ53" s="13">
        <f>AI53*VLOOKUP('Données projet'!$B$10,Paramètres!$A$1:$I$89,3,0)*VLOOKUP('Données projet'!$B$10,Paramètres!$A$1:$I$89,5,0)</f>
        <v>210.49599999999998</v>
      </c>
      <c r="AK53" s="13">
        <f t="shared" si="35"/>
        <v>52.043959291168463</v>
      </c>
      <c r="AL53" s="20">
        <f t="shared" si="4"/>
        <v>457.25709576545165</v>
      </c>
      <c r="AM53" s="59">
        <f t="shared" si="5"/>
        <v>750.59042909878497</v>
      </c>
      <c r="AN53" s="59">
        <f ca="1">AVERAGE(OFFSET($AM$3,0,0,'Données projet'!$E$10+1,1))-AVERAGE(OFFSET($H$3,0,0,'Données projet'!$E$10+1,1))</f>
        <v>0</v>
      </c>
      <c r="AO53" s="59">
        <f t="shared" si="36"/>
        <v>0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53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5.0328696987847312</v>
      </c>
      <c r="AV53" s="21">
        <f>EXP(-LN(2)/25)*AV52+(1-EXP(-LN(2)/25))/(LN(2)/25)*Calculateur!AQ53*Calculateur!AS53*VLOOKUP('Données projet'!$B$10,Paramètres!$A$1:$I$89,3,0)*0.475*44/12</f>
        <v>3.815532924782655</v>
      </c>
      <c r="AW53" s="21">
        <f>EXP(-LN(2)/2)*AW52+(1-EXP(-LN(2)/2))/(LN(2)/2)*AQ53*AT53*VLOOKUP('Données projet'!$B$10,Paramètres!$A$1:$I$89,3,0)*0.475*44/12</f>
        <v>7.7371420953866715E-3</v>
      </c>
      <c r="AX53" s="21">
        <f t="shared" si="6"/>
        <v>8.8561397656627729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13.8</v>
      </c>
      <c r="N54" s="13">
        <f>IF('Données projet'!$A$36&gt;35,N53+M54-V53,IF(A54&lt;'Données projet'!$A$36,$K$205^A54,IF(A54='Données projet'!$A$36,'Données projet'!$B$36,N53+M54-V53)))</f>
        <v>594.79999999999973</v>
      </c>
      <c r="O54" s="13">
        <f>N54*VLOOKUP('Données projet'!$B$9,Paramètres!$A$1:$I$89,3,0)*VLOOKUP('Données projet'!$B$9,Paramètres!$A$1:$I$89,5,0)</f>
        <v>332.49319999999983</v>
      </c>
      <c r="P54" s="13">
        <f t="shared" si="33"/>
        <v>77.946984490524827</v>
      </c>
      <c r="Q54" s="20">
        <f t="shared" si="53"/>
        <v>714.84998798766367</v>
      </c>
      <c r="R54" s="59">
        <f t="shared" si="0"/>
        <v>1008.183321320997</v>
      </c>
      <c r="S54" s="59">
        <f ca="1">AVERAGE(OFFSET($R$3,0,0,'Données projet'!$E$9+1,1))-AVERAGE(OFFSET($H$3,0,0,'Données projet'!$E$9+1,1))</f>
        <v>382.55387448074327</v>
      </c>
      <c r="T54" s="59">
        <f t="shared" si="34"/>
        <v>476.29465646955543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6.9912422696241725</v>
      </c>
      <c r="AA54" s="21">
        <f>EXP(-LN(2)/25)*AA53+(1-EXP(-LN(2)/25))/(LN(2)/25)*Calculateur!V54*Calculateur!X54*VLOOKUP('Données projet'!$B$9,Paramètres!$A$1:$I$89,3,0)*0.475*44/12</f>
        <v>10.39505239990017</v>
      </c>
      <c r="AB54" s="21">
        <f>EXP(-LN(2)/2)*AB53+(1-EXP(-LN(2)/2))/(LN(2)/2)*V54*Y54*VLOOKUP('Données projet'!$B$9,Paramètres!$A$1:$I$89,3,0)*0.475*44/12</f>
        <v>6.3889801555196491E-3</v>
      </c>
      <c r="AC54" s="22">
        <f t="shared" si="3"/>
        <v>17.392683649679864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17.625</v>
      </c>
      <c r="AI54" s="13">
        <f>IF('Données projet'!$A$62&gt;35,AI53+AH54-AQ53,IF(A54&lt;'Données projet'!$A$62,$AF$205^A54,IF(A54='Données projet'!$A$62,'Données projet'!$B$62,AI53+AH54-AQ53)))</f>
        <v>316.62499999999994</v>
      </c>
      <c r="AJ54" s="13">
        <f>AI54*VLOOKUP('Données projet'!$B$10,Paramètres!$A$1:$I$89,3,0)*VLOOKUP('Données projet'!$B$10,Paramètres!$A$1:$I$89,5,0)</f>
        <v>189.34174999999999</v>
      </c>
      <c r="AK54" s="13">
        <f t="shared" si="35"/>
        <v>47.394393740797923</v>
      </c>
      <c r="AL54" s="20">
        <f t="shared" si="4"/>
        <v>412.31545034855634</v>
      </c>
      <c r="AM54" s="59">
        <f t="shared" si="5"/>
        <v>705.64878368188965</v>
      </c>
      <c r="AN54" s="59">
        <f ca="1">AVERAGE(OFFSET($AM$3,0,0,'Données projet'!$E$10+1,1))-AVERAGE(OFFSET($H$3,0,0,'Données projet'!$E$10+1,1))</f>
        <v>0</v>
      </c>
      <c r="AO54" s="59">
        <f t="shared" si="36"/>
        <v>0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4.9341781937389664</v>
      </c>
      <c r="AV54" s="21">
        <f>EXP(-LN(2)/25)*AV53+(1-EXP(-LN(2)/25))/(LN(2)/25)*Calculateur!AQ54*Calculateur!AS54*VLOOKUP('Données projet'!$B$10,Paramètres!$A$1:$I$89,3,0)*0.475*44/12</f>
        <v>3.7111969763043176</v>
      </c>
      <c r="AW54" s="21">
        <f>EXP(-LN(2)/2)*AW53+(1-EXP(-LN(2)/2))/(LN(2)/2)*AQ54*AT54*VLOOKUP('Données projet'!$B$10,Paramètres!$A$1:$I$89,3,0)*0.475*44/12</f>
        <v>5.4709856426518096E-3</v>
      </c>
      <c r="AX54" s="21">
        <f t="shared" si="6"/>
        <v>8.6508461556859366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13.8</v>
      </c>
      <c r="N55" s="13">
        <f>IF('Données projet'!$A$36&gt;35,N54+M55-V54,IF(A55&lt;'Données projet'!$A$36,$K$205^A55,IF(A55='Données projet'!$A$36,'Données projet'!$B$36,N54+M55-V54)))</f>
        <v>608.59999999999968</v>
      </c>
      <c r="O55" s="13">
        <f>N55*VLOOKUP('Données projet'!$B$9,Paramètres!$A$1:$I$89,3,0)*VLOOKUP('Données projet'!$B$9,Paramètres!$A$1:$I$89,5,0)</f>
        <v>340.20739999999984</v>
      </c>
      <c r="P55" s="13">
        <f t="shared" si="33"/>
        <v>79.542795053996059</v>
      </c>
      <c r="Q55" s="20">
        <f t="shared" si="53"/>
        <v>731.06492305237623</v>
      </c>
      <c r="R55" s="59">
        <f t="shared" si="0"/>
        <v>1024.3982563857096</v>
      </c>
      <c r="S55" s="59">
        <f ca="1">AVERAGE(OFFSET($R$3,0,0,'Données projet'!$E$9+1,1))-AVERAGE(OFFSET($H$3,0,0,'Données projet'!$E$9+1,1))</f>
        <v>382.55387448074327</v>
      </c>
      <c r="T55" s="59">
        <f t="shared" si="34"/>
        <v>476.29465646955543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6.8541482729535685</v>
      </c>
      <c r="AA55" s="21">
        <f>EXP(-LN(2)/25)*AA54+(1-EXP(-LN(2)/25))/(LN(2)/25)*Calculateur!V55*Calculateur!X55*VLOOKUP('Données projet'!$B$9,Paramètres!$A$1:$I$89,3,0)*0.475*44/12</f>
        <v>10.110799145372852</v>
      </c>
      <c r="AB55" s="21">
        <f>EXP(-LN(2)/2)*AB54+(1-EXP(-LN(2)/2))/(LN(2)/2)*V55*Y55*VLOOKUP('Données projet'!$B$9,Paramètres!$A$1:$I$89,3,0)*0.475*44/12</f>
        <v>4.5176911928342268E-3</v>
      </c>
      <c r="AC55" s="22">
        <f t="shared" si="3"/>
        <v>16.969465109519255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17.625</v>
      </c>
      <c r="AI55" s="13">
        <f>IF('Données projet'!$A$62&gt;35,AI54+AH55-AQ54,IF(A55&lt;'Données projet'!$A$62,$AF$205^A55,IF(A55='Données projet'!$A$62,'Données projet'!$B$62,AI54+AH55-AQ54)))</f>
        <v>334.24999999999994</v>
      </c>
      <c r="AJ55" s="13">
        <f>AI55*VLOOKUP('Données projet'!$B$10,Paramètres!$A$1:$I$89,3,0)*VLOOKUP('Données projet'!$B$10,Paramètres!$A$1:$I$89,5,0)</f>
        <v>199.88149999999996</v>
      </c>
      <c r="AK55" s="13">
        <f t="shared" si="35"/>
        <v>49.71812411377941</v>
      </c>
      <c r="AL55" s="20">
        <f t="shared" si="4"/>
        <v>434.71934533149914</v>
      </c>
      <c r="AM55" s="59">
        <f t="shared" si="5"/>
        <v>728.05267866483246</v>
      </c>
      <c r="AN55" s="59">
        <f ca="1">AVERAGE(OFFSET($AM$3,0,0,'Données projet'!$E$10+1,1))-AVERAGE(OFFSET($H$3,0,0,'Données projet'!$E$10+1,1))</f>
        <v>0</v>
      </c>
      <c r="AO55" s="59">
        <f t="shared" si="36"/>
        <v>0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4.8374219689112747</v>
      </c>
      <c r="AV55" s="21">
        <f>EXP(-LN(2)/25)*AV54+(1-EXP(-LN(2)/25))/(LN(2)/25)*Calculateur!AQ55*Calculateur!AS55*VLOOKUP('Données projet'!$B$10,Paramètres!$A$1:$I$89,3,0)*0.475*44/12</f>
        <v>3.609714099823909</v>
      </c>
      <c r="AW55" s="21">
        <f>EXP(-LN(2)/2)*AW54+(1-EXP(-LN(2)/2))/(LN(2)/2)*AQ55*AT55*VLOOKUP('Données projet'!$B$10,Paramètres!$A$1:$I$89,3,0)*0.475*44/12</f>
        <v>3.8685710476933366E-3</v>
      </c>
      <c r="AX55" s="21">
        <f t="shared" si="6"/>
        <v>8.4510046397828766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13.8</v>
      </c>
      <c r="N56" s="13">
        <f>IF('Données projet'!$A$36&gt;35,N55+M56-V55,IF(A56&lt;'Données projet'!$A$36,$K$205^A56,IF(A56='Données projet'!$A$36,'Données projet'!$B$36,N55+M56-V55)))</f>
        <v>622.39999999999964</v>
      </c>
      <c r="O56" s="13">
        <f>N56*VLOOKUP('Données projet'!$B$9,Paramètres!$A$1:$I$89,3,0)*VLOOKUP('Données projet'!$B$9,Paramètres!$A$1:$I$89,5,0)</f>
        <v>347.92159999999978</v>
      </c>
      <c r="P56" s="13">
        <f t="shared" si="33"/>
        <v>81.134398856989449</v>
      </c>
      <c r="Q56" s="20">
        <f t="shared" si="53"/>
        <v>747.27253134258956</v>
      </c>
      <c r="R56" s="59">
        <f t="shared" si="0"/>
        <v>1040.6058646759229</v>
      </c>
      <c r="S56" s="59">
        <f ca="1">AVERAGE(OFFSET($R$3,0,0,'Données projet'!$E$9+1,1))-AVERAGE(OFFSET($H$3,0,0,'Données projet'!$E$9+1,1))</f>
        <v>382.55387448074327</v>
      </c>
      <c r="T56" s="59">
        <f t="shared" si="34"/>
        <v>476.29465646955543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6.7197426059385936</v>
      </c>
      <c r="AA56" s="21">
        <f>EXP(-LN(2)/25)*AA55+(1-EXP(-LN(2)/25))/(LN(2)/25)*Calculateur!V56*Calculateur!X56*VLOOKUP('Données projet'!$B$9,Paramètres!$A$1:$I$89,3,0)*0.475*44/12</f>
        <v>9.8343188110388127</v>
      </c>
      <c r="AB56" s="21">
        <f>EXP(-LN(2)/2)*AB55+(1-EXP(-LN(2)/2))/(LN(2)/2)*V56*Y56*VLOOKUP('Données projet'!$B$9,Paramètres!$A$1:$I$89,3,0)*0.475*44/12</f>
        <v>3.1944900777598245E-3</v>
      </c>
      <c r="AC56" s="22">
        <f t="shared" si="3"/>
        <v>16.557255907055165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17.625</v>
      </c>
      <c r="AI56" s="13">
        <f>IF('Données projet'!$A$62&gt;35,AI55+AH56-AQ55,IF(A56&lt;'Données projet'!$A$62,$AF$205^A56,IF(A56='Données projet'!$A$62,'Données projet'!$B$62,AI55+AH56-AQ55)))</f>
        <v>351.87499999999994</v>
      </c>
      <c r="AJ56" s="13">
        <f>AI56*VLOOKUP('Données projet'!$B$10,Paramètres!$A$1:$I$89,3,0)*VLOOKUP('Données projet'!$B$10,Paramètres!$A$1:$I$89,5,0)</f>
        <v>210.42124999999999</v>
      </c>
      <c r="AK56" s="13">
        <f t="shared" si="35"/>
        <v>52.027628682866947</v>
      </c>
      <c r="AL56" s="20">
        <f t="shared" si="4"/>
        <v>457.09846370599325</v>
      </c>
      <c r="AM56" s="59">
        <f t="shared" si="5"/>
        <v>750.43179703932651</v>
      </c>
      <c r="AN56" s="59">
        <f ca="1">AVERAGE(OFFSET($AM$3,0,0,'Données projet'!$E$10+1,1))-AVERAGE(OFFSET($H$3,0,0,'Données projet'!$E$10+1,1))</f>
        <v>0</v>
      </c>
      <c r="AO56" s="59">
        <f t="shared" si="36"/>
        <v>0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4.7425630746369842</v>
      </c>
      <c r="AV56" s="21">
        <f>EXP(-LN(2)/25)*AV55+(1-EXP(-LN(2)/25))/(LN(2)/25)*Calculateur!AQ56*Calculateur!AS56*VLOOKUP('Données projet'!$B$10,Paramètres!$A$1:$I$89,3,0)*0.475*44/12</f>
        <v>3.5110062779376099</v>
      </c>
      <c r="AW56" s="21">
        <f>EXP(-LN(2)/2)*AW55+(1-EXP(-LN(2)/2))/(LN(2)/2)*AQ56*AT56*VLOOKUP('Données projet'!$B$10,Paramètres!$A$1:$I$89,3,0)*0.475*44/12</f>
        <v>2.7354928213259052E-3</v>
      </c>
      <c r="AX56" s="21">
        <f t="shared" si="6"/>
        <v>8.2563048453959205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13.8</v>
      </c>
      <c r="N57" s="13">
        <f>IF('Données projet'!$A$36&gt;35,N56+M57-V56,IF(A57&lt;'Données projet'!$A$36,$K$205^A57,IF(A57='Données projet'!$A$36,'Données projet'!$B$36,N56+M57-V56)))</f>
        <v>636.19999999999959</v>
      </c>
      <c r="O57" s="13">
        <f>N57*VLOOKUP('Données projet'!$B$9,Paramètres!$A$1:$I$89,3,0)*VLOOKUP('Données projet'!$B$9,Paramètres!$A$1:$I$89,5,0)</f>
        <v>355.63579999999973</v>
      </c>
      <c r="P57" s="13">
        <f t="shared" si="33"/>
        <v>82.721899912765039</v>
      </c>
      <c r="Q57" s="20">
        <f t="shared" si="53"/>
        <v>763.47299401473185</v>
      </c>
      <c r="R57" s="59">
        <f t="shared" si="0"/>
        <v>1056.8063273480652</v>
      </c>
      <c r="S57" s="59">
        <f ca="1">AVERAGE(OFFSET($R$3,0,0,'Données projet'!$E$9+1,1))-AVERAGE(OFFSET($H$3,0,0,'Données projet'!$E$9+1,1))</f>
        <v>382.55387448074327</v>
      </c>
      <c r="T57" s="59">
        <f t="shared" si="34"/>
        <v>476.29465646955543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6.5879725520744206</v>
      </c>
      <c r="AA57" s="21">
        <f>EXP(-LN(2)/25)*AA56+(1-EXP(-LN(2)/25))/(LN(2)/25)*Calculateur!V57*Calculateur!X57*VLOOKUP('Données projet'!$B$9,Paramètres!$A$1:$I$89,3,0)*0.475*44/12</f>
        <v>9.5653988459866071</v>
      </c>
      <c r="AB57" s="21">
        <f>EXP(-LN(2)/2)*AB56+(1-EXP(-LN(2)/2))/(LN(2)/2)*V57*Y57*VLOOKUP('Données projet'!$B$9,Paramètres!$A$1:$I$89,3,0)*0.475*44/12</f>
        <v>2.2588455964171134E-3</v>
      </c>
      <c r="AC57" s="22">
        <f t="shared" si="3"/>
        <v>16.155630243657441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17.625</v>
      </c>
      <c r="AI57" s="13">
        <f>IF('Données projet'!$A$62&gt;35,AI56+AH57-AQ56,IF(A57&lt;'Données projet'!$A$62,$AF$205^A57,IF(A57='Données projet'!$A$62,'Données projet'!$B$62,AI56+AH57-AQ56)))</f>
        <v>369.49999999999994</v>
      </c>
      <c r="AJ57" s="13">
        <f>AI57*VLOOKUP('Données projet'!$B$10,Paramètres!$A$1:$I$89,3,0)*VLOOKUP('Données projet'!$B$10,Paramètres!$A$1:$I$89,5,0)</f>
        <v>220.96099999999996</v>
      </c>
      <c r="AK57" s="13">
        <f t="shared" si="35"/>
        <v>54.323701308314696</v>
      </c>
      <c r="AL57" s="20">
        <f t="shared" si="4"/>
        <v>479.45418811198141</v>
      </c>
      <c r="AM57" s="59">
        <f t="shared" si="5"/>
        <v>772.78752144531472</v>
      </c>
      <c r="AN57" s="59">
        <f ca="1">AVERAGE(OFFSET($AM$3,0,0,'Données projet'!$E$10+1,1))-AVERAGE(OFFSET($H$3,0,0,'Données projet'!$E$10+1,1))</f>
        <v>0</v>
      </c>
      <c r="AO57" s="59">
        <f t="shared" si="36"/>
        <v>0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4.6495643054212001</v>
      </c>
      <c r="AV57" s="21">
        <f>EXP(-LN(2)/25)*AV56+(1-EXP(-LN(2)/25))/(LN(2)/25)*Calculateur!AQ57*Calculateur!AS57*VLOOKUP('Données projet'!$B$10,Paramètres!$A$1:$I$89,3,0)*0.475*44/12</f>
        <v>3.4149976266316102</v>
      </c>
      <c r="AW57" s="21">
        <f>EXP(-LN(2)/2)*AW56+(1-EXP(-LN(2)/2))/(LN(2)/2)*AQ57*AT57*VLOOKUP('Données projet'!$B$10,Paramètres!$A$1:$I$89,3,0)*0.475*44/12</f>
        <v>1.9342855238466685E-3</v>
      </c>
      <c r="AX57" s="21">
        <f t="shared" si="6"/>
        <v>8.0664962175766579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650</v>
      </c>
      <c r="L58" s="12">
        <f>VLOOKUP(A58,'Données projet'!$A$35:$I$55,9,0)</f>
        <v>13.8</v>
      </c>
      <c r="M58" s="12">
        <f t="array" ref="M58">INDEX(L:L,MIN(IF(ISNUMBER(L58:L254),ROW(L58:L254),"")))</f>
        <v>13.8</v>
      </c>
      <c r="N58" s="13">
        <f>IF('Données projet'!$A$36&gt;35,N57+M58-V57,IF(A58&lt;'Données projet'!$A$36,$K$205^A58,IF(A58='Données projet'!$A$36,'Données projet'!$B$36,N57+M58-V57)))</f>
        <v>649.99999999999955</v>
      </c>
      <c r="O58" s="13">
        <f>N58*VLOOKUP('Données projet'!$B$9,Paramètres!$A$1:$I$89,3,0)*VLOOKUP('Données projet'!$B$9,Paramètres!$A$1:$I$89,5,0)</f>
        <v>363.34999999999974</v>
      </c>
      <c r="P58" s="13">
        <f t="shared" si="33"/>
        <v>84.305397464498199</v>
      </c>
      <c r="Q58" s="20">
        <f t="shared" si="53"/>
        <v>779.66648391733395</v>
      </c>
      <c r="R58" s="59">
        <f t="shared" si="0"/>
        <v>1072.9998172506673</v>
      </c>
      <c r="S58" s="59">
        <f ca="1">AVERAGE(OFFSET($R$3,0,0,'Données projet'!$E$9+1,1))-AVERAGE(OFFSET($H$3,0,0,'Données projet'!$E$9+1,1))</f>
        <v>382.55387448074327</v>
      </c>
      <c r="T58" s="59">
        <f t="shared" si="34"/>
        <v>476.29465646955543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35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6.4587864285947267</v>
      </c>
      <c r="AA58" s="21">
        <f>EXP(-LN(2)/25)*AA57+(1-EXP(-LN(2)/25))/(LN(2)/25)*Calculateur!V58*Calculateur!X58*VLOOKUP('Données projet'!$B$9,Paramètres!$A$1:$I$89,3,0)*0.475*44/12</f>
        <v>9.3038325115206408</v>
      </c>
      <c r="AB58" s="21">
        <f>EXP(-LN(2)/2)*AB57+(1-EXP(-LN(2)/2))/(LN(2)/2)*V58*Y58*VLOOKUP('Données projet'!$B$9,Paramètres!$A$1:$I$89,3,0)*0.475*44/12</f>
        <v>1.5972450388799123E-3</v>
      </c>
      <c r="AC58" s="22">
        <f t="shared" si="3"/>
        <v>15.764216185154247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17.625</v>
      </c>
      <c r="AI58" s="13">
        <f>IF('Données projet'!$A$62&gt;35,AI57+AH58-AQ57,IF(A58&lt;'Données projet'!$A$62,$AF$205^A58,IF(A58='Données projet'!$A$62,'Données projet'!$B$62,AI57+AH58-AQ57)))</f>
        <v>387.12499999999994</v>
      </c>
      <c r="AJ58" s="13">
        <f>AI58*VLOOKUP('Données projet'!$B$10,Paramètres!$A$1:$I$89,3,0)*VLOOKUP('Données projet'!$B$10,Paramètres!$A$1:$I$89,5,0)</f>
        <v>231.50074999999998</v>
      </c>
      <c r="AK58" s="13">
        <f t="shared" si="35"/>
        <v>56.607055837426749</v>
      </c>
      <c r="AL58" s="20">
        <f t="shared" si="4"/>
        <v>501.78776183351812</v>
      </c>
      <c r="AM58" s="59">
        <f t="shared" si="5"/>
        <v>795.12109516685143</v>
      </c>
      <c r="AN58" s="59">
        <f ca="1">AVERAGE(OFFSET($AM$3,0,0,'Données projet'!$E$10+1,1))-AVERAGE(OFFSET($H$3,0,0,'Données projet'!$E$10+1,1))</f>
        <v>0</v>
      </c>
      <c r="AO58" s="59">
        <f t="shared" si="36"/>
        <v>0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4.5583891853460896</v>
      </c>
      <c r="AV58" s="21">
        <f>EXP(-LN(2)/25)*AV57+(1-EXP(-LN(2)/25))/(LN(2)/25)*Calculateur!AQ58*Calculateur!AS58*VLOOKUP('Données projet'!$B$10,Paramètres!$A$1:$I$89,3,0)*0.475*44/12</f>
        <v>3.3216143369444486</v>
      </c>
      <c r="AW58" s="21">
        <f>EXP(-LN(2)/2)*AW57+(1-EXP(-LN(2)/2))/(LN(2)/2)*AQ58*AT58*VLOOKUP('Données projet'!$B$10,Paramètres!$A$1:$I$89,3,0)*0.475*44/12</f>
        <v>1.3677464106629528E-3</v>
      </c>
      <c r="AX58" s="21">
        <f t="shared" si="6"/>
        <v>7.8813712687012014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10.199999999999999</v>
      </c>
      <c r="N59" s="13">
        <f>IF('Données projet'!$A$36&gt;35,N58+M59-V58,IF(A59&lt;'Données projet'!$A$36,$K$205^A59,IF(A59='Données projet'!$A$36,'Données projet'!$B$36,N58+M59-V58)))</f>
        <v>625.19999999999959</v>
      </c>
      <c r="O59" s="13">
        <f>N59*VLOOKUP('Données projet'!$B$9,Paramètres!$A$1:$I$89,3,0)*VLOOKUP('Données projet'!$B$9,Paramètres!$A$1:$I$89,5,0)</f>
        <v>349.48679999999979</v>
      </c>
      <c r="P59" s="13">
        <f t="shared" si="33"/>
        <v>81.45682900536228</v>
      </c>
      <c r="Q59" s="20">
        <f t="shared" si="53"/>
        <v>750.56015385100557</v>
      </c>
      <c r="R59" s="59">
        <f t="shared" si="0"/>
        <v>1043.8934871843389</v>
      </c>
      <c r="S59" s="59">
        <f ca="1">AVERAGE(OFFSET($R$3,0,0,'Données projet'!$E$9+1,1))-AVERAGE(OFFSET($H$3,0,0,'Données projet'!$E$9+1,1))</f>
        <v>382.55387448074327</v>
      </c>
      <c r="T59" s="59">
        <f t="shared" si="34"/>
        <v>476.29465646955543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6.3321335662007154</v>
      </c>
      <c r="AA59" s="21">
        <f>EXP(-LN(2)/25)*AA58+(1-EXP(-LN(2)/25))/(LN(2)/25)*Calculateur!V59*Calculateur!X59*VLOOKUP('Données projet'!$B$9,Paramètres!$A$1:$I$89,3,0)*0.475*44/12</f>
        <v>9.0494187222258216</v>
      </c>
      <c r="AB59" s="21">
        <f>EXP(-LN(2)/2)*AB58+(1-EXP(-LN(2)/2))/(LN(2)/2)*V59*Y59*VLOOKUP('Données projet'!$B$9,Paramètres!$A$1:$I$89,3,0)*0.475*44/12</f>
        <v>1.1294227982085567E-3</v>
      </c>
      <c r="AC59" s="22">
        <f t="shared" si="3"/>
        <v>15.382681711224745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17.625</v>
      </c>
      <c r="AI59" s="13">
        <f>IF('Données projet'!$A$62&gt;35,AI58+AH59-AQ58,IF(A59&lt;'Données projet'!$A$62,$AF$205^A59,IF(A59='Données projet'!$A$62,'Données projet'!$B$62,AI58+AH59-AQ58)))</f>
        <v>404.74999999999994</v>
      </c>
      <c r="AJ59" s="13">
        <f>AI59*VLOOKUP('Données projet'!$B$10,Paramètres!$A$1:$I$89,3,0)*VLOOKUP('Données projet'!$B$10,Paramètres!$A$1:$I$89,5,0)</f>
        <v>242.04049999999998</v>
      </c>
      <c r="AK59" s="13">
        <f t="shared" si="35"/>
        <v>58.878337443371535</v>
      </c>
      <c r="AL59" s="20">
        <f t="shared" si="4"/>
        <v>524.10030854720526</v>
      </c>
      <c r="AM59" s="59">
        <f t="shared" si="5"/>
        <v>817.43364188053852</v>
      </c>
      <c r="AN59" s="59">
        <f ca="1">AVERAGE(OFFSET($AM$3,0,0,'Données projet'!$E$10+1,1))-AVERAGE(OFFSET($H$3,0,0,'Données projet'!$E$10+1,1))</f>
        <v>0</v>
      </c>
      <c r="AO59" s="59">
        <f t="shared" si="36"/>
        <v>0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4.4690019537643195</v>
      </c>
      <c r="AV59" s="21">
        <f>EXP(-LN(2)/25)*AV58+(1-EXP(-LN(2)/25))/(LN(2)/25)*Calculateur!AQ59*Calculateur!AS59*VLOOKUP('Données projet'!$B$10,Paramètres!$A$1:$I$89,3,0)*0.475*44/12</f>
        <v>3.2307846182245963</v>
      </c>
      <c r="AW59" s="21">
        <f>EXP(-LN(2)/2)*AW58+(1-EXP(-LN(2)/2))/(LN(2)/2)*AQ59*AT59*VLOOKUP('Données projet'!$B$10,Paramètres!$A$1:$I$89,3,0)*0.475*44/12</f>
        <v>9.6714276192333447E-4</v>
      </c>
      <c r="AX59" s="21">
        <f t="shared" si="6"/>
        <v>7.7007537147508396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10.199999999999999</v>
      </c>
      <c r="N60" s="13">
        <f>IF('Données projet'!$A$36&gt;35,N59+M60-V59,IF(A60&lt;'Données projet'!$A$36,$K$205^A60,IF(A60='Données projet'!$A$36,'Données projet'!$B$36,N59+M60-V59)))</f>
        <v>635.39999999999964</v>
      </c>
      <c r="O60" s="13">
        <f>N60*VLOOKUP('Données projet'!$B$9,Paramètres!$A$1:$I$89,3,0)*VLOOKUP('Données projet'!$B$9,Paramètres!$A$1:$I$89,5,0)</f>
        <v>355.18859999999984</v>
      </c>
      <c r="P60" s="13">
        <f t="shared" si="33"/>
        <v>82.629981116726043</v>
      </c>
      <c r="Q60" s="20">
        <f t="shared" si="53"/>
        <v>762.53402877829774</v>
      </c>
      <c r="R60" s="59">
        <f t="shared" si="0"/>
        <v>1055.8673621116311</v>
      </c>
      <c r="S60" s="59">
        <f ca="1">AVERAGE(OFFSET($R$3,0,0,'Données projet'!$E$9+1,1))-AVERAGE(OFFSET($H$3,0,0,'Données projet'!$E$9+1,1))</f>
        <v>382.55387448074327</v>
      </c>
      <c r="T60" s="59">
        <f t="shared" si="34"/>
        <v>476.29465646955543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6.2079642891876325</v>
      </c>
      <c r="AA60" s="21">
        <f>EXP(-LN(2)/25)*AA59+(1-EXP(-LN(2)/25))/(LN(2)/25)*Calculateur!V60*Calculateur!X60*VLOOKUP('Données projet'!$B$9,Paramètres!$A$1:$I$89,3,0)*0.475*44/12</f>
        <v>8.8019618913783084</v>
      </c>
      <c r="AB60" s="21">
        <f>EXP(-LN(2)/2)*AB59+(1-EXP(-LN(2)/2))/(LN(2)/2)*V60*Y60*VLOOKUP('Données projet'!$B$9,Paramètres!$A$1:$I$89,3,0)*0.475*44/12</f>
        <v>7.9862251943995613E-4</v>
      </c>
      <c r="AC60" s="22">
        <f t="shared" si="3"/>
        <v>15.010724803085381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17.625</v>
      </c>
      <c r="AI60" s="13">
        <f>IF('Données projet'!$A$62&gt;35,AI59+AH60-AQ59,IF(A60&lt;'Données projet'!$A$62,$AF$205^A60,IF(A60='Données projet'!$A$62,'Données projet'!$B$62,AI59+AH60-AQ59)))</f>
        <v>422.37499999999994</v>
      </c>
      <c r="AJ60" s="13">
        <f>AI60*VLOOKUP('Données projet'!$B$10,Paramètres!$A$1:$I$89,3,0)*VLOOKUP('Données projet'!$B$10,Paramètres!$A$1:$I$89,5,0)</f>
        <v>252.58025000000001</v>
      </c>
      <c r="AK60" s="13">
        <f t="shared" si="35"/>
        <v>61.138131933251593</v>
      </c>
      <c r="AL60" s="20">
        <f t="shared" si="4"/>
        <v>546.39284853374647</v>
      </c>
      <c r="AM60" s="59">
        <f t="shared" si="5"/>
        <v>839.72618186707973</v>
      </c>
      <c r="AN60" s="59">
        <f ca="1">AVERAGE(OFFSET($AM$3,0,0,'Données projet'!$E$10+1,1))-AVERAGE(OFFSET($H$3,0,0,'Données projet'!$E$10+1,1))</f>
        <v>0</v>
      </c>
      <c r="AO60" s="59">
        <f t="shared" si="36"/>
        <v>0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4.3813675512730406</v>
      </c>
      <c r="AV60" s="21">
        <f>EXP(-LN(2)/25)*AV59+(1-EXP(-LN(2)/25))/(LN(2)/25)*Calculateur!AQ60*Calculateur!AS60*VLOOKUP('Données projet'!$B$10,Paramètres!$A$1:$I$89,3,0)*0.475*44/12</f>
        <v>3.1424386429396658</v>
      </c>
      <c r="AW60" s="21">
        <f>EXP(-LN(2)/2)*AW59+(1-EXP(-LN(2)/2))/(LN(2)/2)*AQ60*AT60*VLOOKUP('Données projet'!$B$10,Paramètres!$A$1:$I$89,3,0)*0.475*44/12</f>
        <v>6.8387320533147653E-4</v>
      </c>
      <c r="AX60" s="21">
        <f t="shared" si="6"/>
        <v>7.5244900674180384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10.199999999999999</v>
      </c>
      <c r="N61" s="13">
        <f>IF('Données projet'!$A$36&gt;35,N60+M61-V60,IF(A61&lt;'Données projet'!$A$36,$K$205^A61,IF(A61='Données projet'!$A$36,'Données projet'!$B$36,N60+M61-V60)))</f>
        <v>645.59999999999968</v>
      </c>
      <c r="O61" s="13">
        <f>N61*VLOOKUP('Données projet'!$B$9,Paramètres!$A$1:$I$89,3,0)*VLOOKUP('Données projet'!$B$9,Paramètres!$A$1:$I$89,5,0)</f>
        <v>360.89039999999977</v>
      </c>
      <c r="P61" s="13">
        <f t="shared" si="33"/>
        <v>83.800943075865291</v>
      </c>
      <c r="Q61" s="20">
        <f t="shared" si="53"/>
        <v>774.50408919046504</v>
      </c>
      <c r="R61" s="59">
        <f t="shared" si="0"/>
        <v>1067.8374225237983</v>
      </c>
      <c r="S61" s="59">
        <f ca="1">AVERAGE(OFFSET($R$3,0,0,'Données projet'!$E$9+1,1))-AVERAGE(OFFSET($H$3,0,0,'Données projet'!$E$9+1,1))</f>
        <v>382.55387448074327</v>
      </c>
      <c r="T61" s="59">
        <f t="shared" si="34"/>
        <v>476.29465646955543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6.0862298959609955</v>
      </c>
      <c r="AA61" s="21">
        <f>EXP(-LN(2)/25)*AA60+(1-EXP(-LN(2)/25))/(LN(2)/25)*Calculateur!V61*Calculateur!X61*VLOOKUP('Données projet'!$B$9,Paramètres!$A$1:$I$89,3,0)*0.475*44/12</f>
        <v>8.5612717805835103</v>
      </c>
      <c r="AB61" s="21">
        <f>EXP(-LN(2)/2)*AB60+(1-EXP(-LN(2)/2))/(LN(2)/2)*V61*Y61*VLOOKUP('Données projet'!$B$9,Paramètres!$A$1:$I$89,3,0)*0.475*44/12</f>
        <v>5.6471139910427835E-4</v>
      </c>
      <c r="AC61" s="22">
        <f t="shared" si="3"/>
        <v>14.64806638794361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440</v>
      </c>
      <c r="AG61" s="12">
        <f>VLOOKUP(A61,'Données projet'!$A$61:$I$81,9,0)</f>
        <v>17.625</v>
      </c>
      <c r="AH61" s="12">
        <f t="array" ref="AH61">INDEX(AG:AG,MIN(IF(ISNUMBER(AG61:AG257),ROW(AG61:AG257),"")))</f>
        <v>17.625</v>
      </c>
      <c r="AI61" s="13">
        <f>IF('Données projet'!$A$62&gt;35,AI60+AH61-AQ60,IF(A61&lt;'Données projet'!$A$62,$AF$205^A61,IF(A61='Données projet'!$A$62,'Données projet'!$B$62,AI60+AH61-AQ60)))</f>
        <v>439.99999999999994</v>
      </c>
      <c r="AJ61" s="13">
        <f>AI61*VLOOKUP('Données projet'!$B$10,Paramètres!$A$1:$I$89,3,0)*VLOOKUP('Données projet'!$B$10,Paramètres!$A$1:$I$89,5,0)</f>
        <v>263.12</v>
      </c>
      <c r="AK61" s="13">
        <f t="shared" si="35"/>
        <v>63.386973458752003</v>
      </c>
      <c r="AL61" s="20">
        <f t="shared" si="4"/>
        <v>568.66631210732646</v>
      </c>
      <c r="AM61" s="59">
        <f t="shared" si="5"/>
        <v>861.99964544065983</v>
      </c>
      <c r="AN61" s="59">
        <f ca="1">AVERAGE(OFFSET($AM$3,0,0,'Données projet'!$E$10+1,1))-AVERAGE(OFFSET($H$3,0,0,'Données projet'!$E$10+1,1))</f>
        <v>0</v>
      </c>
      <c r="AO61" s="59">
        <f t="shared" si="36"/>
        <v>0</v>
      </c>
      <c r="AP61" s="15">
        <f>IF(ISNA(VLOOKUP(A61,'Données projet'!$A$61:$I$81,3,0)),0,VLOOKUP(A61,'Données projet'!$A$61:$I$81,3,0))</f>
        <v>8</v>
      </c>
      <c r="AQ61" s="15">
        <f>IF(ISNA(VLOOKUP(A61,'Données projet'!$A$61:$I$81,4,0)),0,VLOOKUP(A61,'Données projet'!$A$61:$I$81,4,0))</f>
        <v>78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4.2954516059629082</v>
      </c>
      <c r="AV61" s="21">
        <f>EXP(-LN(2)/25)*AV60+(1-EXP(-LN(2)/25))/(LN(2)/25)*Calculateur!AQ61*Calculateur!AS61*VLOOKUP('Données projet'!$B$10,Paramètres!$A$1:$I$89,3,0)*0.475*44/12</f>
        <v>3.0565084929948148</v>
      </c>
      <c r="AW61" s="21">
        <f>EXP(-LN(2)/2)*AW60+(1-EXP(-LN(2)/2))/(LN(2)/2)*AQ61*AT61*VLOOKUP('Données projet'!$B$10,Paramètres!$A$1:$I$89,3,0)*0.475*44/12</f>
        <v>4.8357138096166729E-4</v>
      </c>
      <c r="AX61" s="21">
        <f t="shared" si="6"/>
        <v>7.3524436703386851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10.199999999999999</v>
      </c>
      <c r="N62" s="13">
        <f>IF('Données projet'!$A$36&gt;35,N61+M62-V61,IF(A62&lt;'Données projet'!$A$36,$K$205^A62,IF(A62='Données projet'!$A$36,'Données projet'!$B$36,N61+M62-V61)))</f>
        <v>655.79999999999973</v>
      </c>
      <c r="O62" s="13">
        <f>N62*VLOOKUP('Données projet'!$B$9,Paramètres!$A$1:$I$89,3,0)*VLOOKUP('Données projet'!$B$9,Paramètres!$A$1:$I$89,5,0)</f>
        <v>366.59219999999982</v>
      </c>
      <c r="P62" s="13">
        <f t="shared" si="33"/>
        <v>84.969753481055022</v>
      </c>
      <c r="Q62" s="20">
        <f t="shared" si="53"/>
        <v>786.47040231283711</v>
      </c>
      <c r="R62" s="59">
        <f t="shared" si="0"/>
        <v>1079.8037356461705</v>
      </c>
      <c r="S62" s="59">
        <f ca="1">AVERAGE(OFFSET($R$3,0,0,'Données projet'!$E$9+1,1))-AVERAGE(OFFSET($H$3,0,0,'Données projet'!$E$9+1,1))</f>
        <v>382.55387448074327</v>
      </c>
      <c r="T62" s="59">
        <f t="shared" si="34"/>
        <v>476.29465646955543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5.9668826399348847</v>
      </c>
      <c r="AA62" s="21">
        <f>EXP(-LN(2)/25)*AA61+(1-EXP(-LN(2)/25))/(LN(2)/25)*Calculateur!V62*Calculateur!X62*VLOOKUP('Données projet'!$B$9,Paramètres!$A$1:$I$89,3,0)*0.475*44/12</f>
        <v>8.327163353525739</v>
      </c>
      <c r="AB62" s="21">
        <f>EXP(-LN(2)/2)*AB61+(1-EXP(-LN(2)/2))/(LN(2)/2)*V62*Y62*VLOOKUP('Données projet'!$B$9,Paramètres!$A$1:$I$89,3,0)*0.475*44/12</f>
        <v>3.9931125971997807E-4</v>
      </c>
      <c r="AC62" s="22">
        <f t="shared" si="3"/>
        <v>14.294445304720345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16.625</v>
      </c>
      <c r="AI62" s="13">
        <f>IF('Données projet'!$A$62&gt;35,AI61+AH62-AQ61,IF(A62&lt;'Données projet'!$A$62,$AF$205^A62,IF(A62='Données projet'!$A$62,'Données projet'!$B$62,AI61+AH62-AQ61)))</f>
        <v>378.62499999999994</v>
      </c>
      <c r="AJ62" s="13">
        <f>AI62*VLOOKUP('Données projet'!$B$10,Paramètres!$A$1:$I$89,3,0)*VLOOKUP('Données projet'!$B$10,Paramètres!$A$1:$I$89,5,0)</f>
        <v>226.41774999999998</v>
      </c>
      <c r="AK62" s="13">
        <f t="shared" si="35"/>
        <v>55.507409107649494</v>
      </c>
      <c r="AL62" s="20">
        <f t="shared" si="4"/>
        <v>491.0196521124895</v>
      </c>
      <c r="AM62" s="59">
        <f t="shared" si="5"/>
        <v>784.35298544582281</v>
      </c>
      <c r="AN62" s="59">
        <f ca="1">AVERAGE(OFFSET($AM$3,0,0,'Données projet'!$E$10+1,1))-AVERAGE(OFFSET($H$3,0,0,'Données projet'!$E$10+1,1))</f>
        <v>0</v>
      </c>
      <c r="AO62" s="59">
        <f t="shared" si="36"/>
        <v>0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4.2112204199367547</v>
      </c>
      <c r="AV62" s="21">
        <f>EXP(-LN(2)/25)*AV61+(1-EXP(-LN(2)/25))/(LN(2)/25)*Calculateur!AQ62*Calculateur!AS62*VLOOKUP('Données projet'!$B$10,Paramètres!$A$1:$I$89,3,0)*0.475*44/12</f>
        <v>2.9729281075190754</v>
      </c>
      <c r="AW62" s="21">
        <f>EXP(-LN(2)/2)*AW61+(1-EXP(-LN(2)/2))/(LN(2)/2)*AQ62*AT62*VLOOKUP('Données projet'!$B$10,Paramètres!$A$1:$I$89,3,0)*0.475*44/12</f>
        <v>3.4193660266573832E-4</v>
      </c>
      <c r="AX62" s="21">
        <f t="shared" si="6"/>
        <v>7.1844904640584959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666</v>
      </c>
      <c r="L63" s="12">
        <f>VLOOKUP(A63,'Données projet'!$A$35:$I$55,9,0)</f>
        <v>10.199999999999999</v>
      </c>
      <c r="M63" s="12">
        <f t="array" ref="M63">INDEX(L:L,MIN(IF(ISNUMBER(L63:L259),ROW(L63:L259),"")))</f>
        <v>10.199999999999999</v>
      </c>
      <c r="N63" s="13">
        <f>IF('Données projet'!$A$36&gt;35,N62+M63-V62,IF(A63&lt;'Données projet'!$A$36,$K$205^A63,IF(A63='Données projet'!$A$36,'Données projet'!$B$36,N62+M63-V62)))</f>
        <v>665.99999999999977</v>
      </c>
      <c r="O63" s="13">
        <f>N63*VLOOKUP('Données projet'!$B$9,Paramètres!$A$1:$I$89,3,0)*VLOOKUP('Données projet'!$B$9,Paramètres!$A$1:$I$89,5,0)</f>
        <v>372.29399999999987</v>
      </c>
      <c r="P63" s="13">
        <f t="shared" si="33"/>
        <v>86.136449661008839</v>
      </c>
      <c r="Q63" s="20">
        <f t="shared" si="53"/>
        <v>798.43303315959008</v>
      </c>
      <c r="R63" s="59">
        <f t="shared" si="0"/>
        <v>1091.7663664929235</v>
      </c>
      <c r="S63" s="59">
        <f ca="1">AVERAGE(OFFSET($R$3,0,0,'Données projet'!$E$9+1,1))-AVERAGE(OFFSET($H$3,0,0,'Données projet'!$E$9+1,1))</f>
        <v>382.55387448074327</v>
      </c>
      <c r="T63" s="59">
        <f t="shared" si="34"/>
        <v>476.29465646955543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666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5.8498757108048069</v>
      </c>
      <c r="AA63" s="21">
        <f>EXP(-LN(2)/25)*AA62+(1-EXP(-LN(2)/25))/(LN(2)/25)*Calculateur!V63*Calculateur!X63*VLOOKUP('Données projet'!$B$9,Paramètres!$A$1:$I$89,3,0)*0.475*44/12</f>
        <v>8.0994566337170895</v>
      </c>
      <c r="AB63" s="21">
        <f>EXP(-LN(2)/2)*AB62+(1-EXP(-LN(2)/2))/(LN(2)/2)*V63*Y63*VLOOKUP('Données projet'!$B$9,Paramètres!$A$1:$I$89,3,0)*0.475*44/12</f>
        <v>2.8235569955213917E-4</v>
      </c>
      <c r="AC63" s="22">
        <f t="shared" si="3"/>
        <v>13.949614700221447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16.625</v>
      </c>
      <c r="AI63" s="13">
        <f>IF('Données projet'!$A$62&gt;35,AI62+AH63-AQ62,IF(A63&lt;'Données projet'!$A$62,$AF$205^A63,IF(A63='Données projet'!$A$62,'Données projet'!$B$62,AI62+AH63-AQ62)))</f>
        <v>395.24999999999994</v>
      </c>
      <c r="AJ63" s="13">
        <f>AI63*VLOOKUP('Données projet'!$B$10,Paramètres!$A$1:$I$89,3,0)*VLOOKUP('Données projet'!$B$10,Paramètres!$A$1:$I$89,5,0)</f>
        <v>236.35949999999997</v>
      </c>
      <c r="AK63" s="13">
        <f t="shared" si="35"/>
        <v>57.655563749416167</v>
      </c>
      <c r="AL63" s="20">
        <f t="shared" si="4"/>
        <v>512.07623603023308</v>
      </c>
      <c r="AM63" s="59">
        <f t="shared" si="5"/>
        <v>805.40956936356633</v>
      </c>
      <c r="AN63" s="59">
        <f ca="1">AVERAGE(OFFSET($AM$3,0,0,'Données projet'!$E$10+1,1))-AVERAGE(OFFSET($H$3,0,0,'Données projet'!$E$10+1,1))</f>
        <v>0</v>
      </c>
      <c r="AO63" s="59">
        <f t="shared" si="36"/>
        <v>0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4.1286409560926236</v>
      </c>
      <c r="AV63" s="21">
        <f>EXP(-LN(2)/25)*AV62+(1-EXP(-LN(2)/25))/(LN(2)/25)*Calculateur!AQ63*Calculateur!AS63*VLOOKUP('Données projet'!$B$10,Paramètres!$A$1:$I$89,3,0)*0.475*44/12</f>
        <v>2.8916332320794718</v>
      </c>
      <c r="AW63" s="21">
        <f>EXP(-LN(2)/2)*AW62+(1-EXP(-LN(2)/2))/(LN(2)/2)*AQ63*AT63*VLOOKUP('Données projet'!$B$10,Paramètres!$A$1:$I$89,3,0)*0.475*44/12</f>
        <v>2.4178569048083367E-4</v>
      </c>
      <c r="AX63" s="21">
        <f t="shared" si="6"/>
        <v>7.020515973862576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-1.2710188457276673E-13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382.55387448074327</v>
      </c>
      <c r="T64" s="59">
        <f t="shared" si="34"/>
        <v>476.29465646955543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5.7351632161877903</v>
      </c>
      <c r="AA64" s="21">
        <f>EXP(-LN(2)/25)*AA63+(1-EXP(-LN(2)/25))/(LN(2)/25)*Calculateur!V64*Calculateur!X64*VLOOKUP('Données projet'!$B$9,Paramètres!$A$1:$I$89,3,0)*0.475*44/12</f>
        <v>7.8779765661361827</v>
      </c>
      <c r="AB64" s="21">
        <f>EXP(-LN(2)/2)*AB63+(1-EXP(-LN(2)/2))/(LN(2)/2)*V64*Y64*VLOOKUP('Données projet'!$B$9,Paramètres!$A$1:$I$89,3,0)*0.475*44/12</f>
        <v>1.9965562985998903E-4</v>
      </c>
      <c r="AC64" s="22">
        <f t="shared" si="3"/>
        <v>13.613339437953833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16.625</v>
      </c>
      <c r="AI64" s="13">
        <f>IF('Données projet'!$A$62&gt;35,AI63+AH64-AQ63,IF(A64&lt;'Données projet'!$A$62,$AF$205^A64,IF(A64='Données projet'!$A$62,'Données projet'!$B$62,AI63+AH64-AQ63)))</f>
        <v>411.87499999999994</v>
      </c>
      <c r="AJ64" s="13">
        <f>AI64*VLOOKUP('Données projet'!$B$10,Paramètres!$A$1:$I$89,3,0)*VLOOKUP('Données projet'!$B$10,Paramètres!$A$1:$I$89,5,0)</f>
        <v>246.30124999999998</v>
      </c>
      <c r="AK64" s="13">
        <f t="shared" si="35"/>
        <v>59.793223430016852</v>
      </c>
      <c r="AL64" s="20">
        <f t="shared" si="4"/>
        <v>533.11454122394582</v>
      </c>
      <c r="AM64" s="59">
        <f t="shared" si="5"/>
        <v>826.44787455727919</v>
      </c>
      <c r="AN64" s="59">
        <f ca="1">AVERAGE(OFFSET($AM$3,0,0,'Données projet'!$E$10+1,1))-AVERAGE(OFFSET($H$3,0,0,'Données projet'!$E$10+1,1))</f>
        <v>0</v>
      </c>
      <c r="AO64" s="59">
        <f t="shared" si="36"/>
        <v>0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4.047680825165977</v>
      </c>
      <c r="AV64" s="21">
        <f>EXP(-LN(2)/25)*AV63+(1-EXP(-LN(2)/25))/(LN(2)/25)*Calculateur!AQ64*Calculateur!AS64*VLOOKUP('Données projet'!$B$10,Paramètres!$A$1:$I$89,3,0)*0.475*44/12</f>
        <v>2.812561369283876</v>
      </c>
      <c r="AW64" s="21">
        <f>EXP(-LN(2)/2)*AW63+(1-EXP(-LN(2)/2))/(LN(2)/2)*AQ64*AT64*VLOOKUP('Données projet'!$B$10,Paramètres!$A$1:$I$89,3,0)*0.475*44/12</f>
        <v>1.7096830133286919E-4</v>
      </c>
      <c r="AX64" s="21">
        <f t="shared" si="6"/>
        <v>6.8604131627511862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-1.2710188457276673E-13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382.55387448074327</v>
      </c>
      <c r="T65" s="59">
        <f t="shared" si="34"/>
        <v>476.29465646955543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5.6227001636225005</v>
      </c>
      <c r="AA65" s="21">
        <f>EXP(-LN(2)/25)*AA64+(1-EXP(-LN(2)/25))/(LN(2)/25)*Calculateur!V65*Calculateur!X65*VLOOKUP('Données projet'!$B$9,Paramètres!$A$1:$I$89,3,0)*0.475*44/12</f>
        <v>7.6625528826504068</v>
      </c>
      <c r="AB65" s="21">
        <f>EXP(-LN(2)/2)*AB64+(1-EXP(-LN(2)/2))/(LN(2)/2)*V65*Y65*VLOOKUP('Données projet'!$B$9,Paramètres!$A$1:$I$89,3,0)*0.475*44/12</f>
        <v>1.4117784977606959E-4</v>
      </c>
      <c r="AC65" s="22">
        <f t="shared" si="3"/>
        <v>13.285394224122683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16.625</v>
      </c>
      <c r="AI65" s="13">
        <f>IF('Données projet'!$A$62&gt;35,AI64+AH65-AQ64,IF(A65&lt;'Données projet'!$A$62,$AF$205^A65,IF(A65='Données projet'!$A$62,'Données projet'!$B$62,AI64+AH65-AQ64)))</f>
        <v>428.49999999999994</v>
      </c>
      <c r="AJ65" s="13">
        <f>AI65*VLOOKUP('Données projet'!$B$10,Paramètres!$A$1:$I$89,3,0)*VLOOKUP('Données projet'!$B$10,Paramètres!$A$1:$I$89,5,0)</f>
        <v>256.24299999999999</v>
      </c>
      <c r="AK65" s="13">
        <f t="shared" si="35"/>
        <v>61.920860231490025</v>
      </c>
      <c r="AL65" s="20">
        <f t="shared" si="4"/>
        <v>554.13538990317852</v>
      </c>
      <c r="AM65" s="59">
        <f t="shared" si="5"/>
        <v>847.46872323651178</v>
      </c>
      <c r="AN65" s="59">
        <f ca="1">AVERAGE(OFFSET($AM$3,0,0,'Données projet'!$E$10+1,1))-AVERAGE(OFFSET($H$3,0,0,'Données projet'!$E$10+1,1))</f>
        <v>0</v>
      </c>
      <c r="AO65" s="59">
        <f t="shared" si="36"/>
        <v>0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3.9683082730259978</v>
      </c>
      <c r="AV65" s="21">
        <f>EXP(-LN(2)/25)*AV64+(1-EXP(-LN(2)/25))/(LN(2)/25)*Calculateur!AQ65*Calculateur!AS65*VLOOKUP('Données projet'!$B$10,Paramètres!$A$1:$I$89,3,0)*0.475*44/12</f>
        <v>2.7356517307346344</v>
      </c>
      <c r="AW65" s="21">
        <f>EXP(-LN(2)/2)*AW64+(1-EXP(-LN(2)/2))/(LN(2)/2)*AQ65*AT65*VLOOKUP('Données projet'!$B$10,Paramètres!$A$1:$I$89,3,0)*0.475*44/12</f>
        <v>1.2089284524041686E-4</v>
      </c>
      <c r="AX65" s="21">
        <f t="shared" si="6"/>
        <v>6.7040808966058725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-1.2710188457276673E-13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382.55387448074327</v>
      </c>
      <c r="T66" s="59">
        <f t="shared" si="34"/>
        <v>476.29465646955543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5.5124424429223273</v>
      </c>
      <c r="AA66" s="21">
        <f>EXP(-LN(2)/25)*AA65+(1-EXP(-LN(2)/25))/(LN(2)/25)*Calculateur!V66*Calculateur!X66*VLOOKUP('Données projet'!$B$9,Paramètres!$A$1:$I$89,3,0)*0.475*44/12</f>
        <v>7.4530199711181879</v>
      </c>
      <c r="AB66" s="21">
        <f>EXP(-LN(2)/2)*AB65+(1-EXP(-LN(2)/2))/(LN(2)/2)*V66*Y66*VLOOKUP('Données projet'!$B$9,Paramètres!$A$1:$I$89,3,0)*0.475*44/12</f>
        <v>9.9827814929994517E-5</v>
      </c>
      <c r="AC66" s="22">
        <f t="shared" si="3"/>
        <v>12.965562241855446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16.625</v>
      </c>
      <c r="AI66" s="13">
        <f>IF('Données projet'!$A$62&gt;35,AI65+AH66-AQ65,IF(A66&lt;'Données projet'!$A$62,$AF$205^A66,IF(A66='Données projet'!$A$62,'Données projet'!$B$62,AI65+AH66-AQ65)))</f>
        <v>445.12499999999994</v>
      </c>
      <c r="AJ66" s="13">
        <f>AI66*VLOOKUP('Données projet'!$B$10,Paramètres!$A$1:$I$89,3,0)*VLOOKUP('Données projet'!$B$10,Paramètres!$A$1:$I$89,5,0)</f>
        <v>266.18475000000001</v>
      </c>
      <c r="AK66" s="13">
        <f t="shared" si="35"/>
        <v>64.038907529798962</v>
      </c>
      <c r="AL66" s="20">
        <f t="shared" si="4"/>
        <v>575.13953686439993</v>
      </c>
      <c r="AM66" s="59">
        <f t="shared" si="5"/>
        <v>868.4728701977333</v>
      </c>
      <c r="AN66" s="59">
        <f ca="1">AVERAGE(OFFSET($AM$3,0,0,'Données projet'!$E$10+1,1))-AVERAGE(OFFSET($H$3,0,0,'Données projet'!$E$10+1,1))</f>
        <v>0</v>
      </c>
      <c r="AO66" s="59">
        <f t="shared" si="36"/>
        <v>0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3.890492168221007</v>
      </c>
      <c r="AV66" s="21">
        <f>EXP(-LN(2)/25)*AV65+(1-EXP(-LN(2)/25))/(LN(2)/25)*Calculateur!AQ66*Calculateur!AS66*VLOOKUP('Données projet'!$B$10,Paramètres!$A$1:$I$89,3,0)*0.475*44/12</f>
        <v>2.6608451902960235</v>
      </c>
      <c r="AW66" s="21">
        <f>EXP(-LN(2)/2)*AW65+(1-EXP(-LN(2)/2))/(LN(2)/2)*AQ66*AT66*VLOOKUP('Données projet'!$B$10,Paramètres!$A$1:$I$89,3,0)*0.475*44/12</f>
        <v>8.5484150666434607E-5</v>
      </c>
      <c r="AX66" s="21">
        <f t="shared" si="6"/>
        <v>6.551422842667697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-1.2710188457276673E-13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382.55387448074327</v>
      </c>
      <c r="T67" s="59">
        <f t="shared" si="34"/>
        <v>476.29465646955543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5.4043468088745152</v>
      </c>
      <c r="AA67" s="21">
        <f>EXP(-LN(2)/25)*AA66+(1-EXP(-LN(2)/25))/(LN(2)/25)*Calculateur!V67*Calculateur!X67*VLOOKUP('Données projet'!$B$9,Paramètres!$A$1:$I$89,3,0)*0.475*44/12</f>
        <v>7.2492167480706753</v>
      </c>
      <c r="AB67" s="21">
        <f>EXP(-LN(2)/2)*AB66+(1-EXP(-LN(2)/2))/(LN(2)/2)*V67*Y67*VLOOKUP('Données projet'!$B$9,Paramètres!$A$1:$I$89,3,0)*0.475*44/12</f>
        <v>7.0588924888034793E-5</v>
      </c>
      <c r="AC67" s="22">
        <f t="shared" si="3"/>
        <v>12.653634145870079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16.625</v>
      </c>
      <c r="AI67" s="13">
        <f>IF('Données projet'!$A$62&gt;35,AI66+AH67-AQ66,IF(A67&lt;'Données projet'!$A$62,$AF$205^A67,IF(A67='Données projet'!$A$62,'Données projet'!$B$62,AI66+AH67-AQ66)))</f>
        <v>461.74999999999994</v>
      </c>
      <c r="AJ67" s="13">
        <f>AI67*VLOOKUP('Données projet'!$B$10,Paramètres!$A$1:$I$89,3,0)*VLOOKUP('Données projet'!$B$10,Paramètres!$A$1:$I$89,5,0)</f>
        <v>276.12649999999996</v>
      </c>
      <c r="AK67" s="13">
        <f t="shared" si="35"/>
        <v>66.147764494536574</v>
      </c>
      <c r="AL67" s="20">
        <f t="shared" si="4"/>
        <v>596.12767732798443</v>
      </c>
      <c r="AM67" s="59">
        <f t="shared" si="5"/>
        <v>889.46101066131769</v>
      </c>
      <c r="AN67" s="59">
        <f ca="1">AVERAGE(OFFSET($AM$3,0,0,'Données projet'!$E$10+1,1))-AVERAGE(OFFSET($H$3,0,0,'Données projet'!$E$10+1,1))</f>
        <v>0</v>
      </c>
      <c r="AO67" s="59">
        <f t="shared" si="36"/>
        <v>0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3.8142019897681045</v>
      </c>
      <c r="AV67" s="21">
        <f>EXP(-LN(2)/25)*AV66+(1-EXP(-LN(2)/25))/(LN(2)/25)*Calculateur!AQ67*Calculateur!AS67*VLOOKUP('Données projet'!$B$10,Paramètres!$A$1:$I$89,3,0)*0.475*44/12</f>
        <v>2.5880842386396115</v>
      </c>
      <c r="AW67" s="21">
        <f>EXP(-LN(2)/2)*AW66+(1-EXP(-LN(2)/2))/(LN(2)/2)*AQ67*AT67*VLOOKUP('Données projet'!$B$10,Paramètres!$A$1:$I$89,3,0)*0.475*44/12</f>
        <v>6.0446422620208439E-5</v>
      </c>
      <c r="AX67" s="21">
        <f t="shared" si="6"/>
        <v>6.4023466748303361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-1.2710188457276673E-13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382.55387448074327</v>
      </c>
      <c r="T68" s="59">
        <f t="shared" si="34"/>
        <v>476.29465646955543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5.2983708642785539</v>
      </c>
      <c r="AA68" s="21">
        <f>EXP(-LN(2)/25)*AA67+(1-EXP(-LN(2)/25))/(LN(2)/25)*Calculateur!V68*Calculateur!X68*VLOOKUP('Données projet'!$B$9,Paramètres!$A$1:$I$89,3,0)*0.475*44/12</f>
        <v>7.0509865348749425</v>
      </c>
      <c r="AB68" s="21">
        <f>EXP(-LN(2)/2)*AB67+(1-EXP(-LN(2)/2))/(LN(2)/2)*V68*Y68*VLOOKUP('Données projet'!$B$9,Paramètres!$A$1:$I$89,3,0)*0.475*44/12</f>
        <v>4.9913907464997258E-5</v>
      </c>
      <c r="AC68" s="22">
        <f t="shared" ref="AC68:AC131" si="57">SUM(Z68:AB68)</f>
        <v>12.349407313060961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16.625</v>
      </c>
      <c r="AI68" s="13">
        <f>IF('Données projet'!$A$62&gt;35,AI67+AH68-AQ67,IF(A68&lt;'Données projet'!$A$62,$AF$205^A68,IF(A68='Données projet'!$A$62,'Données projet'!$B$62,AI67+AH68-AQ67)))</f>
        <v>478.37499999999994</v>
      </c>
      <c r="AJ68" s="13">
        <f>AI68*VLOOKUP('Données projet'!$B$10,Paramètres!$A$1:$I$89,3,0)*VLOOKUP('Données projet'!$B$10,Paramètres!$A$1:$I$89,5,0)</f>
        <v>286.06824999999998</v>
      </c>
      <c r="AK68" s="13">
        <f t="shared" si="35"/>
        <v>68.247799922382825</v>
      </c>
      <c r="AL68" s="20">
        <f t="shared" ref="AL68:AL131" si="58">(AJ68+AK68)*0.475*44/12</f>
        <v>617.10045361481673</v>
      </c>
      <c r="AM68" s="59">
        <f t="shared" ref="AM68:AM131" si="59">AL68+(AD68+AE68)*44/12</f>
        <v>910.4337869481501</v>
      </c>
      <c r="AN68" s="59">
        <f ca="1">AVERAGE(OFFSET($AM$3,0,0,'Données projet'!$E$10+1,1))-AVERAGE(OFFSET($H$3,0,0,'Données projet'!$E$10+1,1))</f>
        <v>0</v>
      </c>
      <c r="AO68" s="59">
        <f t="shared" si="36"/>
        <v>0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3.7394078151822496</v>
      </c>
      <c r="AV68" s="21">
        <f>EXP(-LN(2)/25)*AV67+(1-EXP(-LN(2)/25))/(LN(2)/25)*Calculateur!AQ68*Calculateur!AS68*VLOOKUP('Données projet'!$B$10,Paramètres!$A$1:$I$89,3,0)*0.475*44/12</f>
        <v>2.5173129390325761</v>
      </c>
      <c r="AW68" s="21">
        <f>EXP(-LN(2)/2)*AW67+(1-EXP(-LN(2)/2))/(LN(2)/2)*AQ68*AT68*VLOOKUP('Données projet'!$B$10,Paramètres!$A$1:$I$89,3,0)*0.475*44/12</f>
        <v>4.274207533321731E-5</v>
      </c>
      <c r="AX68" s="21">
        <f t="shared" ref="AX68:AX131" si="60">SUM(AU68:AW68)</f>
        <v>6.2567634962901586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-1.2710188457276673E-13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382.55387448074327</v>
      </c>
      <c r="T69" s="59">
        <f t="shared" ref="T69:T132" si="88">$T$3</f>
        <v>476.29465646955543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5.194473043317176</v>
      </c>
      <c r="AA69" s="21">
        <f>EXP(-LN(2)/25)*AA68+(1-EXP(-LN(2)/25))/(LN(2)/25)*Calculateur!V69*Calculateur!X69*VLOOKUP('Données projet'!$B$9,Paramètres!$A$1:$I$89,3,0)*0.475*44/12</f>
        <v>6.8581769372835204</v>
      </c>
      <c r="AB69" s="21">
        <f>EXP(-LN(2)/2)*AB68+(1-EXP(-LN(2)/2))/(LN(2)/2)*V69*Y69*VLOOKUP('Données projet'!$B$9,Paramètres!$A$1:$I$89,3,0)*0.475*44/12</f>
        <v>3.5294462444017397E-5</v>
      </c>
      <c r="AC69" s="22">
        <f t="shared" si="57"/>
        <v>12.052685275063141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495</v>
      </c>
      <c r="AG69" s="12">
        <f>VLOOKUP(A69,'Données projet'!$A$61:$I$81,9,0)</f>
        <v>16.625</v>
      </c>
      <c r="AH69" s="12">
        <f t="array" ref="AH69">INDEX(AG:AG,MIN(IF(ISNUMBER(AG69:AG265),ROW(AG69:AG265),"")))</f>
        <v>16.625</v>
      </c>
      <c r="AI69" s="13">
        <f>IF('Données projet'!$A$62&gt;35,AI68+AH69-AQ68,IF(A69&lt;'Données projet'!$A$62,$AF$205^A69,IF(A69='Données projet'!$A$62,'Données projet'!$B$62,AI68+AH69-AQ68)))</f>
        <v>494.99999999999994</v>
      </c>
      <c r="AJ69" s="13">
        <f>AI69*VLOOKUP('Données projet'!$B$10,Paramètres!$A$1:$I$89,3,0)*VLOOKUP('Données projet'!$B$10,Paramètres!$A$1:$I$89,5,0)</f>
        <v>296.01</v>
      </c>
      <c r="AK69" s="13">
        <f t="shared" ref="AK69:AK132" si="89">EXP(-1.0587+0.8836*LN(AJ69)+0.284)</f>
        <v>70.339355522692159</v>
      </c>
      <c r="AL69" s="20">
        <f t="shared" si="58"/>
        <v>638.05846086868871</v>
      </c>
      <c r="AM69" s="59">
        <f t="shared" si="59"/>
        <v>931.39179420202208</v>
      </c>
      <c r="AN69" s="59">
        <f ca="1">AVERAGE(OFFSET($AM$3,0,0,'Données projet'!$E$10+1,1))-AVERAGE(OFFSET($H$3,0,0,'Données projet'!$E$10+1,1))</f>
        <v>0</v>
      </c>
      <c r="AO69" s="59">
        <f t="shared" ref="AO69:AO132" si="90">$AO$3</f>
        <v>0</v>
      </c>
      <c r="AP69" s="15">
        <f>IF(ISNA(VLOOKUP(A69,'Données projet'!$A$61:$I$81,3,0)),0,VLOOKUP(A69,'Données projet'!$A$61:$I$81,3,0))</f>
        <v>9</v>
      </c>
      <c r="AQ69" s="15">
        <f>IF(ISNA(VLOOKUP(A69,'Données projet'!$A$61:$I$81,4,0)),0,VLOOKUP(A69,'Données projet'!$A$61:$I$81,4,0))</f>
        <v>65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3.6660803087400815</v>
      </c>
      <c r="AV69" s="21">
        <f>EXP(-LN(2)/25)*AV68+(1-EXP(-LN(2)/25))/(LN(2)/25)*Calculateur!AQ69*Calculateur!AS69*VLOOKUP('Données projet'!$B$10,Paramètres!$A$1:$I$89,3,0)*0.475*44/12</f>
        <v>2.4484768843349962</v>
      </c>
      <c r="AW69" s="21">
        <f>EXP(-LN(2)/2)*AW68+(1-EXP(-LN(2)/2))/(LN(2)/2)*AQ69*AT69*VLOOKUP('Données projet'!$B$10,Paramètres!$A$1:$I$89,3,0)*0.475*44/12</f>
        <v>3.0223211310104226E-5</v>
      </c>
      <c r="AX69" s="21">
        <f t="shared" si="60"/>
        <v>6.1145874162863878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-1.2710188457276673E-13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382.55387448074327</v>
      </c>
      <c r="T70" s="59">
        <f t="shared" si="88"/>
        <v>476.29465646955543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5.0926125952534376</v>
      </c>
      <c r="AA70" s="21">
        <f>EXP(-LN(2)/25)*AA69+(1-EXP(-LN(2)/25))/(LN(2)/25)*Calculateur!V70*Calculateur!X70*VLOOKUP('Données projet'!$B$9,Paramètres!$A$1:$I$89,3,0)*0.475*44/12</f>
        <v>6.6706397282776519</v>
      </c>
      <c r="AB70" s="21">
        <f>EXP(-LN(2)/2)*AB69+(1-EXP(-LN(2)/2))/(LN(2)/2)*V70*Y70*VLOOKUP('Données projet'!$B$9,Paramètres!$A$1:$I$89,3,0)*0.475*44/12</f>
        <v>2.4956953732498629E-5</v>
      </c>
      <c r="AC70" s="22">
        <f t="shared" si="57"/>
        <v>11.763277280484822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12.875</v>
      </c>
      <c r="AI70" s="13">
        <f>IF('Données projet'!$A$62&gt;35,AI69+AH70-AQ69,IF(A70&lt;'Données projet'!$A$62,$AF$205^A70,IF(A70='Données projet'!$A$62,'Données projet'!$B$62,AI69+AH70-AQ69)))</f>
        <v>442.87499999999994</v>
      </c>
      <c r="AJ70" s="13">
        <f>AI70*VLOOKUP('Données projet'!$B$10,Paramètres!$A$1:$I$89,3,0)*VLOOKUP('Données projet'!$B$10,Paramètres!$A$1:$I$89,5,0)</f>
        <v>264.83924999999999</v>
      </c>
      <c r="AK70" s="13">
        <f t="shared" si="89"/>
        <v>63.752800756768096</v>
      </c>
      <c r="AL70" s="20">
        <f t="shared" si="58"/>
        <v>572.29782173470437</v>
      </c>
      <c r="AM70" s="59">
        <f t="shared" si="59"/>
        <v>865.63115506803774</v>
      </c>
      <c r="AN70" s="59">
        <f ca="1">AVERAGE(OFFSET($AM$3,0,0,'Données projet'!$E$10+1,1))-AVERAGE(OFFSET($H$3,0,0,'Données projet'!$E$10+1,1))</f>
        <v>0</v>
      </c>
      <c r="AO70" s="59">
        <f t="shared" si="90"/>
        <v>0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3.5941907099738817</v>
      </c>
      <c r="AV70" s="21">
        <f>EXP(-LN(2)/25)*AV69+(1-EXP(-LN(2)/25))/(LN(2)/25)*Calculateur!AQ70*Calculateur!AS70*VLOOKUP('Données projet'!$B$10,Paramètres!$A$1:$I$89,3,0)*0.475*44/12</f>
        <v>2.3815231551730527</v>
      </c>
      <c r="AW70" s="21">
        <f>EXP(-LN(2)/2)*AW69+(1-EXP(-LN(2)/2))/(LN(2)/2)*AQ70*AT70*VLOOKUP('Données projet'!$B$10,Paramètres!$A$1:$I$89,3,0)*0.475*44/12</f>
        <v>2.1371037666608658E-5</v>
      </c>
      <c r="AX70" s="21">
        <f t="shared" si="60"/>
        <v>5.975735236184601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-1.2710188457276673E-13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382.55387448074327</v>
      </c>
      <c r="T71" s="59">
        <f t="shared" si="88"/>
        <v>476.29465646955543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4.9927495684474898</v>
      </c>
      <c r="AA71" s="21">
        <f>EXP(-LN(2)/25)*AA70+(1-EXP(-LN(2)/25))/(LN(2)/25)*Calculateur!V71*Calculateur!X71*VLOOKUP('Données projet'!$B$9,Paramètres!$A$1:$I$89,3,0)*0.475*44/12</f>
        <v>6.488230734114202</v>
      </c>
      <c r="AB71" s="21">
        <f>EXP(-LN(2)/2)*AB70+(1-EXP(-LN(2)/2))/(LN(2)/2)*V71*Y71*VLOOKUP('Données projet'!$B$9,Paramètres!$A$1:$I$89,3,0)*0.475*44/12</f>
        <v>1.7647231222008698E-5</v>
      </c>
      <c r="AC71" s="22">
        <f t="shared" si="57"/>
        <v>11.480997949792913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12.875</v>
      </c>
      <c r="AI71" s="13">
        <f>IF('Données projet'!$A$62&gt;35,AI70+AH71-AQ70,IF(A71&lt;'Données projet'!$A$62,$AF$205^A71,IF(A71='Données projet'!$A$62,'Données projet'!$B$62,AI70+AH71-AQ70)))</f>
        <v>455.74999999999994</v>
      </c>
      <c r="AJ71" s="13">
        <f>AI71*VLOOKUP('Données projet'!$B$10,Paramètres!$A$1:$I$89,3,0)*VLOOKUP('Données projet'!$B$10,Paramètres!$A$1:$I$89,5,0)</f>
        <v>272.5385</v>
      </c>
      <c r="AK71" s="13">
        <f t="shared" si="89"/>
        <v>65.387709293034902</v>
      </c>
      <c r="AL71" s="20">
        <f t="shared" si="58"/>
        <v>588.55481451870241</v>
      </c>
      <c r="AM71" s="59">
        <f t="shared" si="59"/>
        <v>881.88814785203567</v>
      </c>
      <c r="AN71" s="59">
        <f ca="1">AVERAGE(OFFSET($AM$3,0,0,'Données projet'!$E$10+1,1))-AVERAGE(OFFSET($H$3,0,0,'Données projet'!$E$10+1,1))</f>
        <v>0</v>
      </c>
      <c r="AO71" s="59">
        <f t="shared" si="90"/>
        <v>0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3.5237108223911613</v>
      </c>
      <c r="AV71" s="21">
        <f>EXP(-LN(2)/25)*AV70+(1-EXP(-LN(2)/25))/(LN(2)/25)*Calculateur!AQ71*Calculateur!AS71*VLOOKUP('Données projet'!$B$10,Paramètres!$A$1:$I$89,3,0)*0.475*44/12</f>
        <v>2.3164002792559857</v>
      </c>
      <c r="AW71" s="21">
        <f>EXP(-LN(2)/2)*AW70+(1-EXP(-LN(2)/2))/(LN(2)/2)*AQ71*AT71*VLOOKUP('Données projet'!$B$10,Paramètres!$A$1:$I$89,3,0)*0.475*44/12</f>
        <v>1.5111605655052115E-5</v>
      </c>
      <c r="AX71" s="21">
        <f t="shared" si="60"/>
        <v>5.8401262132528018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-1.2710188457276673E-13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382.55387448074327</v>
      </c>
      <c r="T72" s="59">
        <f t="shared" si="88"/>
        <v>476.29465646955543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4.894844794686775</v>
      </c>
      <c r="AA72" s="21">
        <f>EXP(-LN(2)/25)*AA71+(1-EXP(-LN(2)/25))/(LN(2)/25)*Calculateur!V72*Calculateur!X72*VLOOKUP('Données projet'!$B$9,Paramètres!$A$1:$I$89,3,0)*0.475*44/12</f>
        <v>6.3108097234886236</v>
      </c>
      <c r="AB72" s="21">
        <f>EXP(-LN(2)/2)*AB71+(1-EXP(-LN(2)/2))/(LN(2)/2)*V72*Y72*VLOOKUP('Données projet'!$B$9,Paramètres!$A$1:$I$89,3,0)*0.475*44/12</f>
        <v>1.2478476866249315E-5</v>
      </c>
      <c r="AC72" s="22">
        <f t="shared" si="57"/>
        <v>11.205666996652266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12.875</v>
      </c>
      <c r="AI72" s="13">
        <f>IF('Données projet'!$A$62&gt;35,AI71+AH72-AQ71,IF(A72&lt;'Données projet'!$A$62,$AF$205^A72,IF(A72='Données projet'!$A$62,'Données projet'!$B$62,AI71+AH72-AQ71)))</f>
        <v>468.62499999999994</v>
      </c>
      <c r="AJ72" s="13">
        <f>AI72*VLOOKUP('Données projet'!$B$10,Paramètres!$A$1:$I$89,3,0)*VLOOKUP('Données projet'!$B$10,Paramètres!$A$1:$I$89,5,0)</f>
        <v>280.23775000000001</v>
      </c>
      <c r="AK72" s="13">
        <f t="shared" si="89"/>
        <v>67.017249808465152</v>
      </c>
      <c r="AL72" s="20">
        <f t="shared" si="58"/>
        <v>604.80245799974352</v>
      </c>
      <c r="AM72" s="59">
        <f t="shared" si="59"/>
        <v>898.1357913330769</v>
      </c>
      <c r="AN72" s="59">
        <f ca="1">AVERAGE(OFFSET($AM$3,0,0,'Données projet'!$E$10+1,1))-AVERAGE(OFFSET($H$3,0,0,'Données projet'!$E$10+1,1))</f>
        <v>0</v>
      </c>
      <c r="AO72" s="59">
        <f t="shared" si="90"/>
        <v>0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3.4546130024154516</v>
      </c>
      <c r="AV72" s="21">
        <f>EXP(-LN(2)/25)*AV71+(1-EXP(-LN(2)/25))/(LN(2)/25)*Calculateur!AQ72*Calculateur!AS72*VLOOKUP('Données projet'!$B$10,Paramètres!$A$1:$I$89,3,0)*0.475*44/12</f>
        <v>2.2530581918055343</v>
      </c>
      <c r="AW72" s="21">
        <f>EXP(-LN(2)/2)*AW71+(1-EXP(-LN(2)/2))/(LN(2)/2)*AQ72*AT72*VLOOKUP('Données projet'!$B$10,Paramètres!$A$1:$I$89,3,0)*0.475*44/12</f>
        <v>1.0685518833304331E-5</v>
      </c>
      <c r="AX72" s="21">
        <f t="shared" si="60"/>
        <v>5.7076818797398188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-1.2710188457276673E-13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382.55387448074327</v>
      </c>
      <c r="T73" s="59">
        <f t="shared" si="88"/>
        <v>476.29465646955543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4.7988598738234929</v>
      </c>
      <c r="AA73" s="21">
        <f>EXP(-LN(2)/25)*AA72+(1-EXP(-LN(2)/25))/(LN(2)/25)*Calculateur!V73*Calculateur!X73*VLOOKUP('Données projet'!$B$9,Paramètres!$A$1:$I$89,3,0)*0.475*44/12</f>
        <v>6.1382402997287677</v>
      </c>
      <c r="AB73" s="21">
        <f>EXP(-LN(2)/2)*AB72+(1-EXP(-LN(2)/2))/(LN(2)/2)*V73*Y73*VLOOKUP('Données projet'!$B$9,Paramètres!$A$1:$I$89,3,0)*0.475*44/12</f>
        <v>8.8236156110043492E-6</v>
      </c>
      <c r="AC73" s="22">
        <f t="shared" si="57"/>
        <v>10.93710899716787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12.875</v>
      </c>
      <c r="AI73" s="13">
        <f>IF('Données projet'!$A$62&gt;35,AI72+AH73-AQ72,IF(A73&lt;'Données projet'!$A$62,$AF$205^A73,IF(A73='Données projet'!$A$62,'Données projet'!$B$62,AI72+AH73-AQ72)))</f>
        <v>481.49999999999994</v>
      </c>
      <c r="AJ73" s="13">
        <f>AI73*VLOOKUP('Données projet'!$B$10,Paramètres!$A$1:$I$89,3,0)*VLOOKUP('Données projet'!$B$10,Paramètres!$A$1:$I$89,5,0)</f>
        <v>287.93700000000001</v>
      </c>
      <c r="AK73" s="13">
        <f t="shared" si="89"/>
        <v>68.641586729718156</v>
      </c>
      <c r="AL73" s="20">
        <f t="shared" si="58"/>
        <v>621.04103855425899</v>
      </c>
      <c r="AM73" s="59">
        <f t="shared" si="59"/>
        <v>914.37437188759236</v>
      </c>
      <c r="AN73" s="59">
        <f ca="1">AVERAGE(OFFSET($AM$3,0,0,'Données projet'!$E$10+1,1))-AVERAGE(OFFSET($H$3,0,0,'Données projet'!$E$10+1,1))</f>
        <v>0</v>
      </c>
      <c r="AO73" s="59">
        <f t="shared" si="90"/>
        <v>0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3.3868701485439567</v>
      </c>
      <c r="AV73" s="21">
        <f>EXP(-LN(2)/25)*AV72+(1-EXP(-LN(2)/25))/(LN(2)/25)*Calculateur!AQ73*Calculateur!AS73*VLOOKUP('Données projet'!$B$10,Paramètres!$A$1:$I$89,3,0)*0.475*44/12</f>
        <v>2.1914481970674311</v>
      </c>
      <c r="AW73" s="21">
        <f>EXP(-LN(2)/2)*AW72+(1-EXP(-LN(2)/2))/(LN(2)/2)*AQ73*AT73*VLOOKUP('Données projet'!$B$10,Paramètres!$A$1:$I$89,3,0)*0.475*44/12</f>
        <v>7.555802827526059E-6</v>
      </c>
      <c r="AX73" s="21">
        <f t="shared" si="60"/>
        <v>5.5783259014142157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-1.2710188457276673E-13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382.55387448074327</v>
      </c>
      <c r="T74" s="59">
        <f t="shared" si="88"/>
        <v>476.29465646955543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4.7047571587133188</v>
      </c>
      <c r="AA74" s="21">
        <f>EXP(-LN(2)/25)*AA73+(1-EXP(-LN(2)/25))/(LN(2)/25)*Calculateur!V74*Calculateur!X74*VLOOKUP('Données projet'!$B$9,Paramètres!$A$1:$I$89,3,0)*0.475*44/12</f>
        <v>5.9703897959366561</v>
      </c>
      <c r="AB74" s="21">
        <f>EXP(-LN(2)/2)*AB73+(1-EXP(-LN(2)/2))/(LN(2)/2)*V74*Y74*VLOOKUP('Données projet'!$B$9,Paramètres!$A$1:$I$89,3,0)*0.475*44/12</f>
        <v>6.2392384331246573E-6</v>
      </c>
      <c r="AC74" s="22">
        <f t="shared" si="57"/>
        <v>10.675153193888407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12.875</v>
      </c>
      <c r="AI74" s="13">
        <f>IF('Données projet'!$A$62&gt;35,AI73+AH74-AQ73,IF(A74&lt;'Données projet'!$A$62,$AF$205^A74,IF(A74='Données projet'!$A$62,'Données projet'!$B$62,AI73+AH74-AQ73)))</f>
        <v>494.37499999999994</v>
      </c>
      <c r="AJ74" s="13">
        <f>AI74*VLOOKUP('Données projet'!$B$10,Paramètres!$A$1:$I$89,3,0)*VLOOKUP('Données projet'!$B$10,Paramètres!$A$1:$I$89,5,0)</f>
        <v>295.63625000000002</v>
      </c>
      <c r="AK74" s="13">
        <f t="shared" si="89"/>
        <v>70.260875189476423</v>
      </c>
      <c r="AL74" s="20">
        <f t="shared" si="58"/>
        <v>637.27082637167155</v>
      </c>
      <c r="AM74" s="59">
        <f t="shared" si="59"/>
        <v>930.6041597050048</v>
      </c>
      <c r="AN74" s="59">
        <f ca="1">AVERAGE(OFFSET($AM$3,0,0,'Données projet'!$E$10+1,1))-AVERAGE(OFFSET($H$3,0,0,'Données projet'!$E$10+1,1))</f>
        <v>0</v>
      </c>
      <c r="AO74" s="59">
        <f t="shared" si="90"/>
        <v>0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3.3204556907178207</v>
      </c>
      <c r="AV74" s="21">
        <f>EXP(-LN(2)/25)*AV73+(1-EXP(-LN(2)/25))/(LN(2)/25)*Calculateur!AQ74*Calculateur!AS74*VLOOKUP('Données projet'!$B$10,Paramètres!$A$1:$I$89,3,0)*0.475*44/12</f>
        <v>2.13152293087537</v>
      </c>
      <c r="AW74" s="21">
        <f>EXP(-LN(2)/2)*AW73+(1-EXP(-LN(2)/2))/(LN(2)/2)*AQ74*AT74*VLOOKUP('Données projet'!$B$10,Paramètres!$A$1:$I$89,3,0)*0.475*44/12</f>
        <v>5.3427594166521663E-6</v>
      </c>
      <c r="AX74" s="21">
        <f t="shared" si="60"/>
        <v>5.4519839643526069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-1.2710188457276673E-13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382.55387448074327</v>
      </c>
      <c r="T75" s="59">
        <f t="shared" si="88"/>
        <v>476.29465646955543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4.6124997404494659</v>
      </c>
      <c r="AA75" s="21">
        <f>EXP(-LN(2)/25)*AA74+(1-EXP(-LN(2)/25))/(LN(2)/25)*Calculateur!V75*Calculateur!X75*VLOOKUP('Données projet'!$B$9,Paramètres!$A$1:$I$89,3,0)*0.475*44/12</f>
        <v>5.8071291729976142</v>
      </c>
      <c r="AB75" s="21">
        <f>EXP(-LN(2)/2)*AB74+(1-EXP(-LN(2)/2))/(LN(2)/2)*V75*Y75*VLOOKUP('Données projet'!$B$9,Paramètres!$A$1:$I$89,3,0)*0.475*44/12</f>
        <v>4.4118078055021746E-6</v>
      </c>
      <c r="AC75" s="22">
        <f t="shared" si="57"/>
        <v>10.419633325254887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12.875</v>
      </c>
      <c r="AI75" s="13">
        <f>IF('Données projet'!$A$62&gt;35,AI74+AH75-AQ74,IF(A75&lt;'Données projet'!$A$62,$AF$205^A75,IF(A75='Données projet'!$A$62,'Données projet'!$B$62,AI74+AH75-AQ74)))</f>
        <v>507.24999999999994</v>
      </c>
      <c r="AJ75" s="13">
        <f>AI75*VLOOKUP('Données projet'!$B$10,Paramètres!$A$1:$I$89,3,0)*VLOOKUP('Données projet'!$B$10,Paramètres!$A$1:$I$89,5,0)</f>
        <v>303.33549999999997</v>
      </c>
      <c r="AK75" s="13">
        <f t="shared" si="89"/>
        <v>71.875261779950591</v>
      </c>
      <c r="AL75" s="20">
        <f t="shared" si="58"/>
        <v>653.49207676674712</v>
      </c>
      <c r="AM75" s="59">
        <f t="shared" si="59"/>
        <v>946.82541010008049</v>
      </c>
      <c r="AN75" s="59">
        <f ca="1">AVERAGE(OFFSET($AM$3,0,0,'Données projet'!$E$10+1,1))-AVERAGE(OFFSET($H$3,0,0,'Données projet'!$E$10+1,1))</f>
        <v>0</v>
      </c>
      <c r="AO75" s="59">
        <f t="shared" si="90"/>
        <v>0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3.2553435799008361</v>
      </c>
      <c r="AV75" s="21">
        <f>EXP(-LN(2)/25)*AV74+(1-EXP(-LN(2)/25))/(LN(2)/25)*Calculateur!AQ75*Calculateur!AS75*VLOOKUP('Données projet'!$B$10,Paramètres!$A$1:$I$89,3,0)*0.475*44/12</f>
        <v>2.0732363242386636</v>
      </c>
      <c r="AW75" s="21">
        <f>EXP(-LN(2)/2)*AW74+(1-EXP(-LN(2)/2))/(LN(2)/2)*AQ75*AT75*VLOOKUP('Données projet'!$B$10,Paramètres!$A$1:$I$89,3,0)*0.475*44/12</f>
        <v>3.7779014137630299E-6</v>
      </c>
      <c r="AX75" s="21">
        <f t="shared" si="60"/>
        <v>5.3285836820409136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-1.2710188457276673E-13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382.55387448074327</v>
      </c>
      <c r="T76" s="59">
        <f t="shared" si="88"/>
        <v>476.29465646955543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4.5220514338862987</v>
      </c>
      <c r="AA76" s="21">
        <f>EXP(-LN(2)/25)*AA75+(1-EXP(-LN(2)/25))/(LN(2)/25)*Calculateur!V76*Calculateur!X76*VLOOKUP('Données projet'!$B$9,Paramètres!$A$1:$I$89,3,0)*0.475*44/12</f>
        <v>5.6483329203783432</v>
      </c>
      <c r="AB76" s="21">
        <f>EXP(-LN(2)/2)*AB75+(1-EXP(-LN(2)/2))/(LN(2)/2)*V76*Y76*VLOOKUP('Données projet'!$B$9,Paramètres!$A$1:$I$89,3,0)*0.475*44/12</f>
        <v>3.1196192165623286E-6</v>
      </c>
      <c r="AC76" s="22">
        <f t="shared" si="57"/>
        <v>10.170387473883858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12.875</v>
      </c>
      <c r="AI76" s="13">
        <f>IF('Données projet'!$A$62&gt;35,AI75+AH76-AQ75,IF(A76&lt;'Données projet'!$A$62,$AF$205^A76,IF(A76='Données projet'!$A$62,'Données projet'!$B$62,AI75+AH76-AQ75)))</f>
        <v>520.125</v>
      </c>
      <c r="AJ76" s="13">
        <f>AI76*VLOOKUP('Données projet'!$B$10,Paramètres!$A$1:$I$89,3,0)*VLOOKUP('Données projet'!$B$10,Paramètres!$A$1:$I$89,5,0)</f>
        <v>311.03475000000003</v>
      </c>
      <c r="AK76" s="13">
        <f t="shared" si="89"/>
        <v>73.484885227728896</v>
      </c>
      <c r="AL76" s="20">
        <f t="shared" si="58"/>
        <v>669.70503135496119</v>
      </c>
      <c r="AM76" s="59">
        <f t="shared" si="59"/>
        <v>963.03836468829445</v>
      </c>
      <c r="AN76" s="59">
        <f ca="1">AVERAGE(OFFSET($AM$3,0,0,'Données projet'!$E$10+1,1))-AVERAGE(OFFSET($H$3,0,0,'Données projet'!$E$10+1,1))</f>
        <v>0</v>
      </c>
      <c r="AO76" s="59">
        <f t="shared" si="90"/>
        <v>0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3.1915082778625061</v>
      </c>
      <c r="AV76" s="21">
        <f>EXP(-LN(2)/25)*AV75+(1-EXP(-LN(2)/25))/(LN(2)/25)*Calculateur!AQ76*Calculateur!AS76*VLOOKUP('Données projet'!$B$10,Paramètres!$A$1:$I$89,3,0)*0.475*44/12</f>
        <v>2.0165435679255976</v>
      </c>
      <c r="AW76" s="21">
        <f>EXP(-LN(2)/2)*AW75+(1-EXP(-LN(2)/2))/(LN(2)/2)*AQ76*AT76*VLOOKUP('Données projet'!$B$10,Paramètres!$A$1:$I$89,3,0)*0.475*44/12</f>
        <v>2.6713797083260836E-6</v>
      </c>
      <c r="AX76" s="21">
        <f t="shared" si="60"/>
        <v>5.2080545171678123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-1.2710188457276673E-13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382.55387448074327</v>
      </c>
      <c r="T77" s="59">
        <f t="shared" si="88"/>
        <v>476.29465646955543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4.4333767634468151</v>
      </c>
      <c r="AA77" s="21">
        <f>EXP(-LN(2)/25)*AA76+(1-EXP(-LN(2)/25))/(LN(2)/25)*Calculateur!V77*Calculateur!X77*VLOOKUP('Données projet'!$B$9,Paramètres!$A$1:$I$89,3,0)*0.475*44/12</f>
        <v>5.4938789596376782</v>
      </c>
      <c r="AB77" s="21">
        <f>EXP(-LN(2)/2)*AB76+(1-EXP(-LN(2)/2))/(LN(2)/2)*V77*Y77*VLOOKUP('Données projet'!$B$9,Paramètres!$A$1:$I$89,3,0)*0.475*44/12</f>
        <v>2.2059039027510873E-6</v>
      </c>
      <c r="AC77" s="22">
        <f t="shared" si="57"/>
        <v>9.9272579289883947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533</v>
      </c>
      <c r="AG77" s="12">
        <f>VLOOKUP(A77,'Données projet'!$A$61:$I$81,9,0)</f>
        <v>12.875</v>
      </c>
      <c r="AH77" s="12">
        <f t="array" ref="AH77">INDEX(AG:AG,MIN(IF(ISNUMBER(AG77:AG273),ROW(AG77:AG273),"")))</f>
        <v>12.875</v>
      </c>
      <c r="AI77" s="13">
        <f>IF('Données projet'!$A$62&gt;35,AI76+AH77-AQ76,IF(A77&lt;'Données projet'!$A$62,$AF$205^A77,IF(A77='Données projet'!$A$62,'Données projet'!$B$62,AI76+AH77-AQ76)))</f>
        <v>533</v>
      </c>
      <c r="AJ77" s="13">
        <f>AI77*VLOOKUP('Données projet'!$B$10,Paramètres!$A$1:$I$89,3,0)*VLOOKUP('Données projet'!$B$10,Paramètres!$A$1:$I$89,5,0)</f>
        <v>318.73400000000004</v>
      </c>
      <c r="AK77" s="13">
        <f t="shared" si="89"/>
        <v>75.089876999925679</v>
      </c>
      <c r="AL77" s="20">
        <f t="shared" si="58"/>
        <v>685.90991910820378</v>
      </c>
      <c r="AM77" s="59">
        <f t="shared" si="59"/>
        <v>979.24325244153715</v>
      </c>
      <c r="AN77" s="59">
        <f ca="1">AVERAGE(OFFSET($AM$3,0,0,'Données projet'!$E$10+1,1))-AVERAGE(OFFSET($H$3,0,0,'Données projet'!$E$10+1,1))</f>
        <v>0</v>
      </c>
      <c r="AO77" s="59">
        <f t="shared" si="90"/>
        <v>0</v>
      </c>
      <c r="AP77" s="15">
        <f>IF(ISNA(VLOOKUP(A77,'Données projet'!$A$61:$I$81,3,0)),0,VLOOKUP(A77,'Données projet'!$A$61:$I$81,3,0))</f>
        <v>10</v>
      </c>
      <c r="AQ77" s="15">
        <f>IF(ISNA(VLOOKUP(A77,'Données projet'!$A$61:$I$81,4,0)),0,VLOOKUP(A77,'Données projet'!$A$61:$I$81,4,0))</f>
        <v>37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3.1289247471614585</v>
      </c>
      <c r="AV77" s="21">
        <f>EXP(-LN(2)/25)*AV76+(1-EXP(-LN(2)/25))/(LN(2)/25)*Calculateur!AQ77*Calculateur!AS77*VLOOKUP('Données projet'!$B$10,Paramètres!$A$1:$I$89,3,0)*0.475*44/12</f>
        <v>1.9614010780152549</v>
      </c>
      <c r="AW77" s="21">
        <f>EXP(-LN(2)/2)*AW76+(1-EXP(-LN(2)/2))/(LN(2)/2)*AQ77*AT77*VLOOKUP('Données projet'!$B$10,Paramètres!$A$1:$I$89,3,0)*0.475*44/12</f>
        <v>1.8889507068815152E-6</v>
      </c>
      <c r="AX77" s="21">
        <f t="shared" si="60"/>
        <v>5.0903277141274206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-1.2710188457276673E-13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382.55387448074327</v>
      </c>
      <c r="T78" s="59">
        <f t="shared" si="88"/>
        <v>476.29465646955543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4.3464409492084419</v>
      </c>
      <c r="AA78" s="21">
        <f>EXP(-LN(2)/25)*AA77+(1-EXP(-LN(2)/25))/(LN(2)/25)*Calculateur!V78*Calculateur!X78*VLOOKUP('Données projet'!$B$9,Paramètres!$A$1:$I$89,3,0)*0.475*44/12</f>
        <v>5.343648550575848</v>
      </c>
      <c r="AB78" s="21">
        <f>EXP(-LN(2)/2)*AB77+(1-EXP(-LN(2)/2))/(LN(2)/2)*V78*Y78*VLOOKUP('Données projet'!$B$9,Paramètres!$A$1:$I$89,3,0)*0.475*44/12</f>
        <v>1.5598096082811643E-6</v>
      </c>
      <c r="AC78" s="22">
        <f t="shared" si="57"/>
        <v>9.6900910595938967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8.875</v>
      </c>
      <c r="AI78" s="13">
        <f>IF('Données projet'!$A$62&gt;35,AI77+AH78-AQ77,IF(A78&lt;'Données projet'!$A$62,$AF$205^A78,IF(A78='Données projet'!$A$62,'Données projet'!$B$62,AI77+AH78-AQ77)))</f>
        <v>504.875</v>
      </c>
      <c r="AJ78" s="13">
        <f>AI78*VLOOKUP('Données projet'!$B$10,Paramètres!$A$1:$I$89,3,0)*VLOOKUP('Données projet'!$B$10,Paramètres!$A$1:$I$89,5,0)</f>
        <v>301.91525000000001</v>
      </c>
      <c r="AK78" s="13">
        <f t="shared" si="89"/>
        <v>71.577824610045951</v>
      </c>
      <c r="AL78" s="20">
        <f t="shared" si="58"/>
        <v>650.50043827916329</v>
      </c>
      <c r="AM78" s="59">
        <f t="shared" si="59"/>
        <v>943.83377161249655</v>
      </c>
      <c r="AN78" s="59">
        <f ca="1">AVERAGE(OFFSET($AM$3,0,0,'Données projet'!$E$10+1,1))-AVERAGE(OFFSET($H$3,0,0,'Données projet'!$E$10+1,1))</f>
        <v>0</v>
      </c>
      <c r="AO78" s="59">
        <f t="shared" si="90"/>
        <v>0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3.0675684413252737</v>
      </c>
      <c r="AV78" s="21">
        <f>EXP(-LN(2)/25)*AV77+(1-EXP(-LN(2)/25))/(LN(2)/25)*Calculateur!AQ78*Calculateur!AS78*VLOOKUP('Données projet'!$B$10,Paramètres!$A$1:$I$89,3,0)*0.475*44/12</f>
        <v>1.907766462391328</v>
      </c>
      <c r="AW78" s="21">
        <f>EXP(-LN(2)/2)*AW77+(1-EXP(-LN(2)/2))/(LN(2)/2)*AQ78*AT78*VLOOKUP('Données projet'!$B$10,Paramètres!$A$1:$I$89,3,0)*0.475*44/12</f>
        <v>1.335689854163042E-6</v>
      </c>
      <c r="AX78" s="21">
        <f t="shared" si="60"/>
        <v>4.975336239406456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-1.2710188457276673E-13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382.55387448074327</v>
      </c>
      <c r="T79" s="59">
        <f t="shared" si="88"/>
        <v>476.29465646955543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4.2612098932616727</v>
      </c>
      <c r="AA79" s="21">
        <f>EXP(-LN(2)/25)*AA78+(1-EXP(-LN(2)/25))/(LN(2)/25)*Calculateur!V79*Calculateur!X79*VLOOKUP('Données projet'!$B$9,Paramètres!$A$1:$I$89,3,0)*0.475*44/12</f>
        <v>5.1975261999500875</v>
      </c>
      <c r="AB79" s="21">
        <f>EXP(-LN(2)/2)*AB78+(1-EXP(-LN(2)/2))/(LN(2)/2)*V79*Y79*VLOOKUP('Données projet'!$B$9,Paramètres!$A$1:$I$89,3,0)*0.475*44/12</f>
        <v>1.1029519513755436E-6</v>
      </c>
      <c r="AC79" s="22">
        <f t="shared" si="57"/>
        <v>9.4587371961637121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8.875</v>
      </c>
      <c r="AI79" s="13">
        <f>IF('Données projet'!$A$62&gt;35,AI78+AH79-AQ78,IF(A79&lt;'Données projet'!$A$62,$AF$205^A79,IF(A79='Données projet'!$A$62,'Données projet'!$B$62,AI78+AH79-AQ78)))</f>
        <v>513.75</v>
      </c>
      <c r="AJ79" s="13">
        <f>AI79*VLOOKUP('Données projet'!$B$10,Paramètres!$A$1:$I$89,3,0)*VLOOKUP('Données projet'!$B$10,Paramètres!$A$1:$I$89,5,0)</f>
        <v>307.22250000000003</v>
      </c>
      <c r="AK79" s="13">
        <f t="shared" si="89"/>
        <v>72.68847414066191</v>
      </c>
      <c r="AL79" s="20">
        <f t="shared" si="58"/>
        <v>661.67827996165295</v>
      </c>
      <c r="AM79" s="59">
        <f t="shared" si="59"/>
        <v>955.01161329498632</v>
      </c>
      <c r="AN79" s="59">
        <f ca="1">AVERAGE(OFFSET($AM$3,0,0,'Données projet'!$E$10+1,1))-AVERAGE(OFFSET($H$3,0,0,'Données projet'!$E$10+1,1))</f>
        <v>0</v>
      </c>
      <c r="AO79" s="59">
        <f t="shared" si="90"/>
        <v>0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3.0074152952228852</v>
      </c>
      <c r="AV79" s="21">
        <f>EXP(-LN(2)/25)*AV78+(1-EXP(-LN(2)/25))/(LN(2)/25)*Calculateur!AQ79*Calculateur!AS79*VLOOKUP('Données projet'!$B$10,Paramètres!$A$1:$I$89,3,0)*0.475*44/12</f>
        <v>1.855598488152159</v>
      </c>
      <c r="AW79" s="21">
        <f>EXP(-LN(2)/2)*AW78+(1-EXP(-LN(2)/2))/(LN(2)/2)*AQ79*AT79*VLOOKUP('Données projet'!$B$10,Paramètres!$A$1:$I$89,3,0)*0.475*44/12</f>
        <v>9.444753534407578E-7</v>
      </c>
      <c r="AX79" s="21">
        <f t="shared" si="60"/>
        <v>4.8630147278503975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-1.2710188457276673E-13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382.55387448074327</v>
      </c>
      <c r="T80" s="59">
        <f t="shared" si="88"/>
        <v>476.29465646955543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4.1776501663362078</v>
      </c>
      <c r="AA80" s="21">
        <f>EXP(-LN(2)/25)*AA79+(1-EXP(-LN(2)/25))/(LN(2)/25)*Calculateur!V80*Calculateur!X80*VLOOKUP('Données projet'!$B$9,Paramètres!$A$1:$I$89,3,0)*0.475*44/12</f>
        <v>5.0553995726864285</v>
      </c>
      <c r="AB80" s="21">
        <f>EXP(-LN(2)/2)*AB79+(1-EXP(-LN(2)/2))/(LN(2)/2)*V80*Y80*VLOOKUP('Données projet'!$B$9,Paramètres!$A$1:$I$89,3,0)*0.475*44/12</f>
        <v>7.7990480414058216E-7</v>
      </c>
      <c r="AC80" s="22">
        <f t="shared" si="57"/>
        <v>9.2330505189274401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8.875</v>
      </c>
      <c r="AI80" s="13">
        <f>IF('Données projet'!$A$62&gt;35,AI79+AH80-AQ79,IF(A80&lt;'Données projet'!$A$62,$AF$205^A80,IF(A80='Données projet'!$A$62,'Données projet'!$B$62,AI79+AH80-AQ79)))</f>
        <v>522.625</v>
      </c>
      <c r="AJ80" s="13">
        <f>AI80*VLOOKUP('Données projet'!$B$10,Paramètres!$A$1:$I$89,3,0)*VLOOKUP('Données projet'!$B$10,Paramètres!$A$1:$I$89,5,0)</f>
        <v>312.52975000000004</v>
      </c>
      <c r="AK80" s="13">
        <f t="shared" si="89"/>
        <v>73.796892500493684</v>
      </c>
      <c r="AL80" s="20">
        <f t="shared" si="58"/>
        <v>672.85223568835988</v>
      </c>
      <c r="AM80" s="59">
        <f t="shared" si="59"/>
        <v>966.18556902169325</v>
      </c>
      <c r="AN80" s="59">
        <f ca="1">AVERAGE(OFFSET($AM$3,0,0,'Données projet'!$E$10+1,1))-AVERAGE(OFFSET($H$3,0,0,'Données projet'!$E$10+1,1))</f>
        <v>0</v>
      </c>
      <c r="AO80" s="59">
        <f t="shared" si="90"/>
        <v>0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2.9484417156257683</v>
      </c>
      <c r="AV80" s="21">
        <f>EXP(-LN(2)/25)*AV79+(1-EXP(-LN(2)/25))/(LN(2)/25)*Calculateur!AQ80*Calculateur!AS80*VLOOKUP('Données projet'!$B$10,Paramètres!$A$1:$I$89,3,0)*0.475*44/12</f>
        <v>1.8048570499119547</v>
      </c>
      <c r="AW80" s="21">
        <f>EXP(-LN(2)/2)*AW79+(1-EXP(-LN(2)/2))/(LN(2)/2)*AQ80*AT80*VLOOKUP('Données projet'!$B$10,Paramètres!$A$1:$I$89,3,0)*0.475*44/12</f>
        <v>6.6784492708152111E-7</v>
      </c>
      <c r="AX80" s="21">
        <f t="shared" si="60"/>
        <v>4.7532994333826499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-1.2710188457276673E-13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382.55387448074327</v>
      </c>
      <c r="T81" s="59">
        <f t="shared" si="88"/>
        <v>476.29465646955543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4.0957289946893507</v>
      </c>
      <c r="AA81" s="21">
        <f>EXP(-LN(2)/25)*AA80+(1-EXP(-LN(2)/25))/(LN(2)/25)*Calculateur!V81*Calculateur!X81*VLOOKUP('Données projet'!$B$9,Paramètres!$A$1:$I$89,3,0)*0.475*44/12</f>
        <v>4.917159405519409</v>
      </c>
      <c r="AB81" s="21">
        <f>EXP(-LN(2)/2)*AB80+(1-EXP(-LN(2)/2))/(LN(2)/2)*V81*Y81*VLOOKUP('Données projet'!$B$9,Paramètres!$A$1:$I$89,3,0)*0.475*44/12</f>
        <v>5.5147597568777182E-7</v>
      </c>
      <c r="AC81" s="22">
        <f t="shared" si="57"/>
        <v>9.0128889516847348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8.875</v>
      </c>
      <c r="AI81" s="13">
        <f>IF('Données projet'!$A$62&gt;35,AI80+AH81-AQ80,IF(A81&lt;'Données projet'!$A$62,$AF$205^A81,IF(A81='Données projet'!$A$62,'Données projet'!$B$62,AI80+AH81-AQ80)))</f>
        <v>531.5</v>
      </c>
      <c r="AJ81" s="13">
        <f>AI81*VLOOKUP('Données projet'!$B$10,Paramètres!$A$1:$I$89,3,0)*VLOOKUP('Données projet'!$B$10,Paramètres!$A$1:$I$89,5,0)</f>
        <v>317.83700000000005</v>
      </c>
      <c r="AK81" s="13">
        <f t="shared" si="89"/>
        <v>74.903121950927684</v>
      </c>
      <c r="AL81" s="20">
        <f t="shared" si="58"/>
        <v>684.0223790645324</v>
      </c>
      <c r="AM81" s="59">
        <f t="shared" si="59"/>
        <v>977.35571239786577</v>
      </c>
      <c r="AN81" s="59">
        <f ca="1">AVERAGE(OFFSET($AM$3,0,0,'Données projet'!$E$10+1,1))-AVERAGE(OFFSET($H$3,0,0,'Données projet'!$E$10+1,1))</f>
        <v>0</v>
      </c>
      <c r="AO81" s="59">
        <f t="shared" si="90"/>
        <v>0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2.890624571954219</v>
      </c>
      <c r="AV81" s="21">
        <f>EXP(-LN(2)/25)*AV80+(1-EXP(-LN(2)/25))/(LN(2)/25)*Calculateur!AQ81*Calculateur!AS81*VLOOKUP('Données projet'!$B$10,Paramètres!$A$1:$I$89,3,0)*0.475*44/12</f>
        <v>1.7555031389688052</v>
      </c>
      <c r="AW81" s="21">
        <f>EXP(-LN(2)/2)*AW80+(1-EXP(-LN(2)/2))/(LN(2)/2)*AQ81*AT81*VLOOKUP('Données projet'!$B$10,Paramètres!$A$1:$I$89,3,0)*0.475*44/12</f>
        <v>4.7223767672037896E-7</v>
      </c>
      <c r="AX81" s="21">
        <f t="shared" si="60"/>
        <v>4.6461281831607009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-1.2710188457276673E-13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382.55387448074327</v>
      </c>
      <c r="T82" s="59">
        <f t="shared" si="88"/>
        <v>476.29465646955543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4.015414247251508</v>
      </c>
      <c r="AA82" s="21">
        <f>EXP(-LN(2)/25)*AA81+(1-EXP(-LN(2)/25))/(LN(2)/25)*Calculateur!V82*Calculateur!X82*VLOOKUP('Données projet'!$B$9,Paramètres!$A$1:$I$89,3,0)*0.475*44/12</f>
        <v>4.7826994229933062</v>
      </c>
      <c r="AB82" s="21">
        <f>EXP(-LN(2)/2)*AB81+(1-EXP(-LN(2)/2))/(LN(2)/2)*V82*Y82*VLOOKUP('Données projet'!$B$9,Paramètres!$A$1:$I$89,3,0)*0.475*44/12</f>
        <v>3.8995240207029108E-7</v>
      </c>
      <c r="AC82" s="22">
        <f t="shared" si="57"/>
        <v>8.7981140601972161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8.875</v>
      </c>
      <c r="AI82" s="13">
        <f>IF('Données projet'!$A$62&gt;35,AI81+AH82-AQ81,IF(A82&lt;'Données projet'!$A$62,$AF$205^A82,IF(A82='Données projet'!$A$62,'Données projet'!$B$62,AI81+AH82-AQ81)))</f>
        <v>540.375</v>
      </c>
      <c r="AJ82" s="13">
        <f>AI82*VLOOKUP('Données projet'!$B$10,Paramètres!$A$1:$I$89,3,0)*VLOOKUP('Données projet'!$B$10,Paramètres!$A$1:$I$89,5,0)</f>
        <v>323.14425000000006</v>
      </c>
      <c r="AK82" s="13">
        <f t="shared" si="89"/>
        <v>76.007203261088534</v>
      </c>
      <c r="AL82" s="20">
        <f t="shared" si="58"/>
        <v>695.18878109639593</v>
      </c>
      <c r="AM82" s="59">
        <f t="shared" si="59"/>
        <v>988.5221144297293</v>
      </c>
      <c r="AN82" s="59">
        <f ca="1">AVERAGE(OFFSET($AM$3,0,0,'Données projet'!$E$10+1,1))-AVERAGE(OFFSET($H$3,0,0,'Données projet'!$E$10+1,1))</f>
        <v>0</v>
      </c>
      <c r="AO82" s="59">
        <f t="shared" si="90"/>
        <v>0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2.8339411872050935</v>
      </c>
      <c r="AV82" s="21">
        <f>EXP(-LN(2)/25)*AV81+(1-EXP(-LN(2)/25))/(LN(2)/25)*Calculateur!AQ82*Calculateur!AS82*VLOOKUP('Données projet'!$B$10,Paramètres!$A$1:$I$89,3,0)*0.475*44/12</f>
        <v>1.7074988133158053</v>
      </c>
      <c r="AW82" s="21">
        <f>EXP(-LN(2)/2)*AW81+(1-EXP(-LN(2)/2))/(LN(2)/2)*AQ82*AT82*VLOOKUP('Données projet'!$B$10,Paramètres!$A$1:$I$89,3,0)*0.475*44/12</f>
        <v>3.3392246354076061E-7</v>
      </c>
      <c r="AX82" s="21">
        <f t="shared" si="60"/>
        <v>4.5414403344433625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-1.2710188457276673E-13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382.55387448074327</v>
      </c>
      <c r="T83" s="59">
        <f t="shared" si="88"/>
        <v>476.29465646955543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3.9366744230237622</v>
      </c>
      <c r="AA83" s="21">
        <f>EXP(-LN(2)/25)*AA82+(1-EXP(-LN(2)/25))/(LN(2)/25)*Calculateur!V83*Calculateur!X83*VLOOKUP('Données projet'!$B$9,Paramètres!$A$1:$I$89,3,0)*0.475*44/12</f>
        <v>4.6519162557603222</v>
      </c>
      <c r="AB83" s="21">
        <f>EXP(-LN(2)/2)*AB82+(1-EXP(-LN(2)/2))/(LN(2)/2)*V83*Y83*VLOOKUP('Données projet'!$B$9,Paramètres!$A$1:$I$89,3,0)*0.475*44/12</f>
        <v>2.7573798784388591E-7</v>
      </c>
      <c r="AC83" s="22">
        <f t="shared" si="57"/>
        <v>8.588590954522072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8.875</v>
      </c>
      <c r="AI83" s="13">
        <f>IF('Données projet'!$A$62&gt;35,AI82+AH83-AQ82,IF(A83&lt;'Données projet'!$A$62,$AF$205^A83,IF(A83='Données projet'!$A$62,'Données projet'!$B$62,AI82+AH83-AQ82)))</f>
        <v>549.25</v>
      </c>
      <c r="AJ83" s="13">
        <f>AI83*VLOOKUP('Données projet'!$B$10,Paramètres!$A$1:$I$89,3,0)*VLOOKUP('Données projet'!$B$10,Paramètres!$A$1:$I$89,5,0)</f>
        <v>328.45150000000001</v>
      </c>
      <c r="AK83" s="13">
        <f t="shared" si="89"/>
        <v>77.109175784158708</v>
      </c>
      <c r="AL83" s="20">
        <f t="shared" si="58"/>
        <v>706.35151032407646</v>
      </c>
      <c r="AM83" s="59">
        <f t="shared" si="59"/>
        <v>999.68484365740983</v>
      </c>
      <c r="AN83" s="59">
        <f ca="1">AVERAGE(OFFSET($AM$3,0,0,'Données projet'!$E$10+1,1))-AVERAGE(OFFSET($H$3,0,0,'Données projet'!$E$10+1,1))</f>
        <v>0</v>
      </c>
      <c r="AO83" s="59">
        <f t="shared" si="90"/>
        <v>0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2.7783693290574472</v>
      </c>
      <c r="AV83" s="21">
        <f>EXP(-LN(2)/25)*AV82+(1-EXP(-LN(2)/25))/(LN(2)/25)*Calculateur!AQ83*Calculateur!AS83*VLOOKUP('Données projet'!$B$10,Paramètres!$A$1:$I$89,3,0)*0.475*44/12</f>
        <v>1.6608071684722245</v>
      </c>
      <c r="AW83" s="21">
        <f>EXP(-LN(2)/2)*AW82+(1-EXP(-LN(2)/2))/(LN(2)/2)*AQ83*AT83*VLOOKUP('Données projet'!$B$10,Paramètres!$A$1:$I$89,3,0)*0.475*44/12</f>
        <v>2.3611883836018953E-7</v>
      </c>
      <c r="AX83" s="21">
        <f t="shared" si="60"/>
        <v>4.4391767336485097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-1.2710188457276673E-13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382.55387448074327</v>
      </c>
      <c r="T84" s="59">
        <f t="shared" si="88"/>
        <v>476.29465646955543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3.8594786387225719</v>
      </c>
      <c r="AA84" s="21">
        <f>EXP(-LN(2)/25)*AA83+(1-EXP(-LN(2)/25))/(LN(2)/25)*Calculateur!V84*Calculateur!X84*VLOOKUP('Données projet'!$B$9,Paramètres!$A$1:$I$89,3,0)*0.475*44/12</f>
        <v>4.5247093611129126</v>
      </c>
      <c r="AB84" s="21">
        <f>EXP(-LN(2)/2)*AB83+(1-EXP(-LN(2)/2))/(LN(2)/2)*V84*Y84*VLOOKUP('Données projet'!$B$9,Paramètres!$A$1:$I$89,3,0)*0.475*44/12</f>
        <v>1.9497620103514554E-7</v>
      </c>
      <c r="AC84" s="22">
        <f t="shared" si="57"/>
        <v>8.384188194811685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8.875</v>
      </c>
      <c r="AI84" s="13">
        <f>IF('Données projet'!$A$62&gt;35,AI83+AH84-AQ83,IF(A84&lt;'Données projet'!$A$62,$AF$205^A84,IF(A84='Données projet'!$A$62,'Données projet'!$B$62,AI83+AH84-AQ83)))</f>
        <v>558.125</v>
      </c>
      <c r="AJ84" s="13">
        <f>AI84*VLOOKUP('Données projet'!$B$10,Paramètres!$A$1:$I$89,3,0)*VLOOKUP('Données projet'!$B$10,Paramètres!$A$1:$I$89,5,0)</f>
        <v>333.75875000000002</v>
      </c>
      <c r="AK84" s="13">
        <f t="shared" si="89"/>
        <v>78.209077528625059</v>
      </c>
      <c r="AL84" s="20">
        <f t="shared" si="58"/>
        <v>717.5106329456886</v>
      </c>
      <c r="AM84" s="59">
        <f t="shared" si="59"/>
        <v>1010.843966279022</v>
      </c>
      <c r="AN84" s="59">
        <f ca="1">AVERAGE(OFFSET($AM$3,0,0,'Données projet'!$E$10+1,1))-AVERAGE(OFFSET($H$3,0,0,'Données projet'!$E$10+1,1))</f>
        <v>0</v>
      </c>
      <c r="AO84" s="59">
        <f t="shared" si="90"/>
        <v>0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2.7238872011525896</v>
      </c>
      <c r="AV84" s="21">
        <f>EXP(-LN(2)/25)*AV83+(1-EXP(-LN(2)/25))/(LN(2)/25)*Calculateur!AQ84*Calculateur!AS84*VLOOKUP('Données projet'!$B$10,Paramètres!$A$1:$I$89,3,0)*0.475*44/12</f>
        <v>1.6153923091122984</v>
      </c>
      <c r="AW84" s="21">
        <f>EXP(-LN(2)/2)*AW83+(1-EXP(-LN(2)/2))/(LN(2)/2)*AQ84*AT84*VLOOKUP('Données projet'!$B$10,Paramètres!$A$1:$I$89,3,0)*0.475*44/12</f>
        <v>1.6696123177038033E-7</v>
      </c>
      <c r="AX84" s="21">
        <f t="shared" si="60"/>
        <v>4.3392796772261191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-1.2710188457276673E-13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382.55387448074327</v>
      </c>
      <c r="T85" s="59">
        <f t="shared" si="88"/>
        <v>476.29465646955543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3.7837966166667489</v>
      </c>
      <c r="AA85" s="21">
        <f>EXP(-LN(2)/25)*AA84+(1-EXP(-LN(2)/25))/(LN(2)/25)*Calculateur!V85*Calculateur!X85*VLOOKUP('Données projet'!$B$9,Paramètres!$A$1:$I$89,3,0)*0.475*44/12</f>
        <v>4.400980945689156</v>
      </c>
      <c r="AB85" s="21">
        <f>EXP(-LN(2)/2)*AB84+(1-EXP(-LN(2)/2))/(LN(2)/2)*V85*Y85*VLOOKUP('Données projet'!$B$9,Paramètres!$A$1:$I$89,3,0)*0.475*44/12</f>
        <v>1.3786899392194296E-7</v>
      </c>
      <c r="AC85" s="22">
        <f t="shared" si="57"/>
        <v>8.1847777002248989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>
        <f>VLOOKUP(A85,'Données projet'!$A$61:$I$81,2,0)</f>
        <v>567</v>
      </c>
      <c r="AG85" s="12">
        <f>VLOOKUP(A85,'Données projet'!$A$61:$I$81,9,0)</f>
        <v>8.875</v>
      </c>
      <c r="AH85" s="12">
        <f t="array" ref="AH85">INDEX(AG:AG,MIN(IF(ISNUMBER(AG85:AG281),ROW(AG85:AG281),"")))</f>
        <v>8.875</v>
      </c>
      <c r="AI85" s="13">
        <f>IF('Données projet'!$A$62&gt;35,AI84+AH85-AQ84,IF(A85&lt;'Données projet'!$A$62,$AF$205^A85,IF(A85='Données projet'!$A$62,'Données projet'!$B$62,AI84+AH85-AQ84)))</f>
        <v>567</v>
      </c>
      <c r="AJ85" s="13">
        <f>AI85*VLOOKUP('Données projet'!$B$10,Paramètres!$A$1:$I$89,3,0)*VLOOKUP('Données projet'!$B$10,Paramètres!$A$1:$I$89,5,0)</f>
        <v>339.06600000000003</v>
      </c>
      <c r="AK85" s="13">
        <f t="shared" si="89"/>
        <v>79.30694522486489</v>
      </c>
      <c r="AL85" s="20">
        <f t="shared" si="58"/>
        <v>728.66621293330627</v>
      </c>
      <c r="AM85" s="59">
        <f t="shared" si="59"/>
        <v>1021.9995462666395</v>
      </c>
      <c r="AN85" s="59">
        <f ca="1">AVERAGE(OFFSET($AM$3,0,0,'Données projet'!$E$10+1,1))-AVERAGE(OFFSET($H$3,0,0,'Données projet'!$E$10+1,1))</f>
        <v>0</v>
      </c>
      <c r="AO85" s="59">
        <f t="shared" si="90"/>
        <v>0</v>
      </c>
      <c r="AP85" s="15">
        <f>IF(ISNA(VLOOKUP(A85,'Données projet'!$A$61:$I$81,3,0)),0,VLOOKUP(A85,'Données projet'!$A$61:$I$81,3,0))</f>
        <v>11</v>
      </c>
      <c r="AQ85" s="15">
        <f>IF(ISNA(VLOOKUP(A85,'Données projet'!$A$61:$I$81,4,0)),0,VLOOKUP(A85,'Données projet'!$A$61:$I$81,4,0))</f>
        <v>567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2.6704734345451295</v>
      </c>
      <c r="AV85" s="21">
        <f>EXP(-LN(2)/25)*AV84+(1-EXP(-LN(2)/25))/(LN(2)/25)*Calculateur!AQ85*Calculateur!AS85*VLOOKUP('Données projet'!$B$10,Paramètres!$A$1:$I$89,3,0)*0.475*44/12</f>
        <v>1.5712193214698331</v>
      </c>
      <c r="AW85" s="21">
        <f>EXP(-LN(2)/2)*AW84+(1-EXP(-LN(2)/2))/(LN(2)/2)*AQ85*AT85*VLOOKUP('Données projet'!$B$10,Paramètres!$A$1:$I$89,3,0)*0.475*44/12</f>
        <v>1.1805941918009478E-7</v>
      </c>
      <c r="AX85" s="21">
        <f t="shared" si="60"/>
        <v>4.2416928740743822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-1.2710188457276673E-13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382.55387448074327</v>
      </c>
      <c r="T86" s="59">
        <f t="shared" si="88"/>
        <v>476.29465646955543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3.709598672901965</v>
      </c>
      <c r="AA86" s="21">
        <f>EXP(-LN(2)/25)*AA85+(1-EXP(-LN(2)/25))/(LN(2)/25)*Calculateur!V86*Calculateur!X86*VLOOKUP('Données projet'!$B$9,Paramètres!$A$1:$I$89,3,0)*0.475*44/12</f>
        <v>4.280635890291757</v>
      </c>
      <c r="AB86" s="21">
        <f>EXP(-LN(2)/2)*AB85+(1-EXP(-LN(2)/2))/(LN(2)/2)*V86*Y86*VLOOKUP('Données projet'!$B$9,Paramètres!$A$1:$I$89,3,0)*0.475*44/12</f>
        <v>9.748810051757277E-8</v>
      </c>
      <c r="AC86" s="22">
        <f t="shared" si="57"/>
        <v>7.9902346606818222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0</v>
      </c>
      <c r="AO86" s="59">
        <f t="shared" si="90"/>
        <v>0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2.6181070793216614</v>
      </c>
      <c r="AV86" s="21">
        <f>EXP(-LN(2)/25)*AV85+(1-EXP(-LN(2)/25))/(LN(2)/25)*Calculateur!AQ86*Calculateur!AS86*VLOOKUP('Données projet'!$B$10,Paramètres!$A$1:$I$89,3,0)*0.475*44/12</f>
        <v>1.5282542464974074</v>
      </c>
      <c r="AW86" s="21">
        <f>EXP(-LN(2)/2)*AW85+(1-EXP(-LN(2)/2))/(LN(2)/2)*AQ86*AT86*VLOOKUP('Données projet'!$B$10,Paramètres!$A$1:$I$89,3,0)*0.475*44/12</f>
        <v>8.3480615885190178E-8</v>
      </c>
      <c r="AX86" s="21">
        <f t="shared" si="60"/>
        <v>4.1463614092996846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-1.2710188457276673E-13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382.55387448074327</v>
      </c>
      <c r="T87" s="59">
        <f t="shared" si="88"/>
        <v>476.29465646955543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3.6368557055581316</v>
      </c>
      <c r="AA87" s="21">
        <f>EXP(-LN(2)/25)*AA86+(1-EXP(-LN(2)/25))/(LN(2)/25)*Calculateur!V87*Calculateur!X87*VLOOKUP('Données projet'!$B$9,Paramètres!$A$1:$I$89,3,0)*0.475*44/12</f>
        <v>4.1635816767628713</v>
      </c>
      <c r="AB87" s="21">
        <f>EXP(-LN(2)/2)*AB86+(1-EXP(-LN(2)/2))/(LN(2)/2)*V87*Y87*VLOOKUP('Données projet'!$B$9,Paramètres!$A$1:$I$89,3,0)*0.475*44/12</f>
        <v>6.8934496960971478E-8</v>
      </c>
      <c r="AC87" s="22">
        <f t="shared" si="57"/>
        <v>7.8004374512555001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0</v>
      </c>
      <c r="AO87" s="59">
        <f t="shared" si="90"/>
        <v>0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2.5667675963838024</v>
      </c>
      <c r="AV87" s="21">
        <f>EXP(-LN(2)/25)*AV86+(1-EXP(-LN(2)/25))/(LN(2)/25)*Calculateur!AQ87*Calculateur!AS87*VLOOKUP('Données projet'!$B$10,Paramètres!$A$1:$I$89,3,0)*0.475*44/12</f>
        <v>1.4864640537595377</v>
      </c>
      <c r="AW87" s="21">
        <f>EXP(-LN(2)/2)*AW86+(1-EXP(-LN(2)/2))/(LN(2)/2)*AQ87*AT87*VLOOKUP('Données projet'!$B$10,Paramètres!$A$1:$I$89,3,0)*0.475*44/12</f>
        <v>5.9029709590047396E-8</v>
      </c>
      <c r="AX87" s="21">
        <f t="shared" si="60"/>
        <v>4.0532317091730503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-1.2710188457276673E-13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382.55387448074327</v>
      </c>
      <c r="T88" s="59">
        <f t="shared" si="88"/>
        <v>476.29465646955543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3.5655391834350816</v>
      </c>
      <c r="AA88" s="21">
        <f>EXP(-LN(2)/25)*AA87+(1-EXP(-LN(2)/25))/(LN(2)/25)*Calculateur!V88*Calculateur!X88*VLOOKUP('Données projet'!$B$9,Paramètres!$A$1:$I$89,3,0)*0.475*44/12</f>
        <v>4.0497283168585465</v>
      </c>
      <c r="AB88" s="21">
        <f>EXP(-LN(2)/2)*AB87+(1-EXP(-LN(2)/2))/(LN(2)/2)*V88*Y88*VLOOKUP('Données projet'!$B$9,Paramètres!$A$1:$I$89,3,0)*0.475*44/12</f>
        <v>4.8744050258786385E-8</v>
      </c>
      <c r="AC88" s="22">
        <f t="shared" si="57"/>
        <v>7.6152675490376787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0</v>
      </c>
      <c r="AO88" s="59">
        <f t="shared" si="90"/>
        <v>0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2.5164348493923621</v>
      </c>
      <c r="AV88" s="21">
        <f>EXP(-LN(2)/25)*AV87+(1-EXP(-LN(2)/25))/(LN(2)/25)*Calculateur!AQ88*Calculateur!AS88*VLOOKUP('Données projet'!$B$10,Paramètres!$A$1:$I$89,3,0)*0.475*44/12</f>
        <v>1.4458166160397359</v>
      </c>
      <c r="AW88" s="21">
        <f>EXP(-LN(2)/2)*AW87+(1-EXP(-LN(2)/2))/(LN(2)/2)*AQ88*AT88*VLOOKUP('Données projet'!$B$10,Paramètres!$A$1:$I$89,3,0)*0.475*44/12</f>
        <v>4.1740307942595096E-8</v>
      </c>
      <c r="AX88" s="21">
        <f t="shared" si="60"/>
        <v>3.962251507172406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-1.2710188457276673E-13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382.55387448074327</v>
      </c>
      <c r="T89" s="59">
        <f t="shared" si="88"/>
        <v>476.29465646955543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3.4956211348120814</v>
      </c>
      <c r="AA89" s="21">
        <f>EXP(-LN(2)/25)*AA88+(1-EXP(-LN(2)/25))/(LN(2)/25)*Calculateur!V89*Calculateur!X89*VLOOKUP('Données projet'!$B$9,Paramètres!$A$1:$I$89,3,0)*0.475*44/12</f>
        <v>3.9389882830680931</v>
      </c>
      <c r="AB89" s="21">
        <f>EXP(-LN(2)/2)*AB88+(1-EXP(-LN(2)/2))/(LN(2)/2)*V89*Y89*VLOOKUP('Données projet'!$B$9,Paramètres!$A$1:$I$89,3,0)*0.475*44/12</f>
        <v>3.4467248480485739E-8</v>
      </c>
      <c r="AC89" s="22">
        <f t="shared" si="57"/>
        <v>7.4346094523474235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0</v>
      </c>
      <c r="AO89" s="59">
        <f t="shared" si="90"/>
        <v>0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2.4670890968694796</v>
      </c>
      <c r="AV89" s="21">
        <f>EXP(-LN(2)/25)*AV88+(1-EXP(-LN(2)/25))/(LN(2)/25)*Calculateur!AQ89*Calculateur!AS89*VLOOKUP('Données projet'!$B$10,Paramètres!$A$1:$I$89,3,0)*0.475*44/12</f>
        <v>1.406280684641938</v>
      </c>
      <c r="AW89" s="21">
        <f>EXP(-LN(2)/2)*AW88+(1-EXP(-LN(2)/2))/(LN(2)/2)*AQ89*AT89*VLOOKUP('Données projet'!$B$10,Paramètres!$A$1:$I$89,3,0)*0.475*44/12</f>
        <v>2.9514854795023705E-8</v>
      </c>
      <c r="AX89" s="21">
        <f t="shared" si="60"/>
        <v>3.8733698110262726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-1.2710188457276673E-13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382.55387448074327</v>
      </c>
      <c r="T90" s="59">
        <f t="shared" si="88"/>
        <v>476.29465646955543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3.4270741364767794</v>
      </c>
      <c r="AA90" s="21">
        <f>EXP(-LN(2)/25)*AA89+(1-EXP(-LN(2)/25))/(LN(2)/25)*Calculateur!V90*Calculateur!X90*VLOOKUP('Données projet'!$B$9,Paramètres!$A$1:$I$89,3,0)*0.475*44/12</f>
        <v>3.8312764413252052</v>
      </c>
      <c r="AB90" s="21">
        <f>EXP(-LN(2)/2)*AB89+(1-EXP(-LN(2)/2))/(LN(2)/2)*V90*Y90*VLOOKUP('Données projet'!$B$9,Paramètres!$A$1:$I$89,3,0)*0.475*44/12</f>
        <v>2.4372025129393193E-8</v>
      </c>
      <c r="AC90" s="22">
        <f t="shared" si="57"/>
        <v>7.2583506021740094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0</v>
      </c>
      <c r="AO90" s="59">
        <f t="shared" si="90"/>
        <v>0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2.4187109844556338</v>
      </c>
      <c r="AV90" s="21">
        <f>EXP(-LN(2)/25)*AV89+(1-EXP(-LN(2)/25))/(LN(2)/25)*Calculateur!AQ90*Calculateur!AS90*VLOOKUP('Données projet'!$B$10,Paramètres!$A$1:$I$89,3,0)*0.475*44/12</f>
        <v>1.3678258653673172</v>
      </c>
      <c r="AW90" s="21">
        <f>EXP(-LN(2)/2)*AW89+(1-EXP(-LN(2)/2))/(LN(2)/2)*AQ90*AT90*VLOOKUP('Données projet'!$B$10,Paramètres!$A$1:$I$89,3,0)*0.475*44/12</f>
        <v>2.0870153971297551E-8</v>
      </c>
      <c r="AX90" s="21">
        <f t="shared" si="60"/>
        <v>3.7865368706931051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-1.2710188457276673E-13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382.55387448074327</v>
      </c>
      <c r="T91" s="59">
        <f t="shared" si="88"/>
        <v>476.29465646955543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3.3598713029692919</v>
      </c>
      <c r="AA91" s="21">
        <f>EXP(-LN(2)/25)*AA90+(1-EXP(-LN(2)/25))/(LN(2)/25)*Calculateur!V91*Calculateur!X91*VLOOKUP('Données projet'!$B$9,Paramètres!$A$1:$I$89,3,0)*0.475*44/12</f>
        <v>3.7265099855590957</v>
      </c>
      <c r="AB91" s="21">
        <f>EXP(-LN(2)/2)*AB90+(1-EXP(-LN(2)/2))/(LN(2)/2)*V91*Y91*VLOOKUP('Données projet'!$B$9,Paramètres!$A$1:$I$89,3,0)*0.475*44/12</f>
        <v>1.7233624240242869E-8</v>
      </c>
      <c r="AC91" s="22">
        <f t="shared" si="57"/>
        <v>7.0863813057620124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0</v>
      </c>
      <c r="AO91" s="59">
        <f t="shared" si="90"/>
        <v>0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2.3712815373184886</v>
      </c>
      <c r="AV91" s="21">
        <f>EXP(-LN(2)/25)*AV90+(1-EXP(-LN(2)/25))/(LN(2)/25)*Calculateur!AQ91*Calculateur!AS91*VLOOKUP('Données projet'!$B$10,Paramètres!$A$1:$I$89,3,0)*0.475*44/12</f>
        <v>1.3304225951480118</v>
      </c>
      <c r="AW91" s="21">
        <f>EXP(-LN(2)/2)*AW90+(1-EXP(-LN(2)/2))/(LN(2)/2)*AQ91*AT91*VLOOKUP('Données projet'!$B$10,Paramètres!$A$1:$I$89,3,0)*0.475*44/12</f>
        <v>1.4757427397511854E-8</v>
      </c>
      <c r="AX91" s="21">
        <f t="shared" si="60"/>
        <v>3.7017041472239276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-1.2710188457276673E-13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382.55387448074327</v>
      </c>
      <c r="T92" s="59">
        <f t="shared" si="88"/>
        <v>476.29465646955543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3.2939862760372054</v>
      </c>
      <c r="AA92" s="21">
        <f>EXP(-LN(2)/25)*AA91+(1-EXP(-LN(2)/25))/(LN(2)/25)*Calculateur!V92*Calculateur!X92*VLOOKUP('Données projet'!$B$9,Paramètres!$A$1:$I$89,3,0)*0.475*44/12</f>
        <v>3.624608374035339</v>
      </c>
      <c r="AB92" s="21">
        <f>EXP(-LN(2)/2)*AB91+(1-EXP(-LN(2)/2))/(LN(2)/2)*V92*Y92*VLOOKUP('Données projet'!$B$9,Paramètres!$A$1:$I$89,3,0)*0.475*44/12</f>
        <v>1.2186012564696596E-8</v>
      </c>
      <c r="AC92" s="22">
        <f t="shared" si="57"/>
        <v>6.9185946622585561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0</v>
      </c>
      <c r="AO92" s="59">
        <f t="shared" si="90"/>
        <v>0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2.3247821527105965</v>
      </c>
      <c r="AV92" s="21">
        <f>EXP(-LN(2)/25)*AV91+(1-EXP(-LN(2)/25))/(LN(2)/25)*Calculateur!AQ92*Calculateur!AS92*VLOOKUP('Données projet'!$B$10,Paramètres!$A$1:$I$89,3,0)*0.475*44/12</f>
        <v>1.2940421193198057</v>
      </c>
      <c r="AW92" s="21">
        <f>EXP(-LN(2)/2)*AW91+(1-EXP(-LN(2)/2))/(LN(2)/2)*AQ92*AT92*VLOOKUP('Données projet'!$B$10,Paramètres!$A$1:$I$89,3,0)*0.475*44/12</f>
        <v>1.0435076985648777E-8</v>
      </c>
      <c r="AX92" s="21">
        <f t="shared" si="60"/>
        <v>3.618824282465479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-1.2710188457276673E-13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382.55387448074327</v>
      </c>
      <c r="T93" s="59">
        <f t="shared" si="88"/>
        <v>476.29465646955543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3.2293932142973589</v>
      </c>
      <c r="AA93" s="21">
        <f>EXP(-LN(2)/25)*AA92+(1-EXP(-LN(2)/25))/(LN(2)/25)*Calculateur!V93*Calculateur!X93*VLOOKUP('Données projet'!$B$9,Paramètres!$A$1:$I$89,3,0)*0.475*44/12</f>
        <v>3.5254932674374726</v>
      </c>
      <c r="AB93" s="21">
        <f>EXP(-LN(2)/2)*AB92+(1-EXP(-LN(2)/2))/(LN(2)/2)*V93*Y93*VLOOKUP('Données projet'!$B$9,Paramètres!$A$1:$I$89,3,0)*0.475*44/12</f>
        <v>8.6168121201214347E-9</v>
      </c>
      <c r="AC93" s="22">
        <f t="shared" si="57"/>
        <v>6.7548864903516437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0</v>
      </c>
      <c r="AO93" s="59">
        <f t="shared" si="90"/>
        <v>0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2.2791945926730413</v>
      </c>
      <c r="AV93" s="21">
        <f>EXP(-LN(2)/25)*AV92+(1-EXP(-LN(2)/25))/(LN(2)/25)*Calculateur!AQ93*Calculateur!AS93*VLOOKUP('Données projet'!$B$10,Paramètres!$A$1:$I$89,3,0)*0.475*44/12</f>
        <v>1.2586564695162881</v>
      </c>
      <c r="AW93" s="21">
        <f>EXP(-LN(2)/2)*AW92+(1-EXP(-LN(2)/2))/(LN(2)/2)*AQ93*AT93*VLOOKUP('Données projet'!$B$10,Paramètres!$A$1:$I$89,3,0)*0.475*44/12</f>
        <v>7.3787136987559286E-9</v>
      </c>
      <c r="AX93" s="21">
        <f t="shared" si="60"/>
        <v>3.5378510695680427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-1.2710188457276673E-13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382.55387448074327</v>
      </c>
      <c r="T94" s="59">
        <f t="shared" si="88"/>
        <v>476.29465646955543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3.1660667831003533</v>
      </c>
      <c r="AA94" s="21">
        <f>EXP(-LN(2)/25)*AA93+(1-EXP(-LN(2)/25))/(LN(2)/25)*Calculateur!V94*Calculateur!X94*VLOOKUP('Données projet'!$B$9,Paramètres!$A$1:$I$89,3,0)*0.475*44/12</f>
        <v>3.4290884686417615</v>
      </c>
      <c r="AB94" s="21">
        <f>EXP(-LN(2)/2)*AB93+(1-EXP(-LN(2)/2))/(LN(2)/2)*V94*Y94*VLOOKUP('Données projet'!$B$9,Paramètres!$A$1:$I$89,3,0)*0.475*44/12</f>
        <v>6.0930062823482981E-9</v>
      </c>
      <c r="AC94" s="22">
        <f t="shared" si="57"/>
        <v>6.5951552578351214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0</v>
      </c>
      <c r="AO94" s="59">
        <f t="shared" si="90"/>
        <v>0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2.2345009768821562</v>
      </c>
      <c r="AV94" s="21">
        <f>EXP(-LN(2)/25)*AV93+(1-EXP(-LN(2)/25))/(LN(2)/25)*Calculateur!AQ94*Calculateur!AS94*VLOOKUP('Données projet'!$B$10,Paramètres!$A$1:$I$89,3,0)*0.475*44/12</f>
        <v>1.2242384421674981</v>
      </c>
      <c r="AW94" s="21">
        <f>EXP(-LN(2)/2)*AW93+(1-EXP(-LN(2)/2))/(LN(2)/2)*AQ94*AT94*VLOOKUP('Données projet'!$B$10,Paramètres!$A$1:$I$89,3,0)*0.475*44/12</f>
        <v>5.2175384928243894E-9</v>
      </c>
      <c r="AX94" s="21">
        <f t="shared" si="60"/>
        <v>3.4587394242671925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-1.2710188457276673E-13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382.55387448074327</v>
      </c>
      <c r="T95" s="59">
        <f t="shared" si="88"/>
        <v>476.29465646955543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3.1039821445938118</v>
      </c>
      <c r="AA95" s="21">
        <f>EXP(-LN(2)/25)*AA94+(1-EXP(-LN(2)/25))/(LN(2)/25)*Calculateur!V95*Calculateur!X95*VLOOKUP('Données projet'!$B$9,Paramètres!$A$1:$I$89,3,0)*0.475*44/12</f>
        <v>3.3353198641388273</v>
      </c>
      <c r="AB95" s="21">
        <f>EXP(-LN(2)/2)*AB94+(1-EXP(-LN(2)/2))/(LN(2)/2)*V95*Y95*VLOOKUP('Données projet'!$B$9,Paramètres!$A$1:$I$89,3,0)*0.475*44/12</f>
        <v>4.3084060600607174E-9</v>
      </c>
      <c r="AC95" s="22">
        <f t="shared" si="57"/>
        <v>6.4393020130410452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0</v>
      </c>
      <c r="AO95" s="59">
        <f t="shared" si="90"/>
        <v>0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2.1906837756365167</v>
      </c>
      <c r="AV95" s="21">
        <f>EXP(-LN(2)/25)*AV94+(1-EXP(-LN(2)/25))/(LN(2)/25)*Calculateur!AQ95*Calculateur!AS95*VLOOKUP('Données projet'!$B$10,Paramètres!$A$1:$I$89,3,0)*0.475*44/12</f>
        <v>1.1907615775865263</v>
      </c>
      <c r="AW95" s="21">
        <f>EXP(-LN(2)/2)*AW94+(1-EXP(-LN(2)/2))/(LN(2)/2)*AQ95*AT95*VLOOKUP('Données projet'!$B$10,Paramètres!$A$1:$I$89,3,0)*0.475*44/12</f>
        <v>3.6893568493779647E-9</v>
      </c>
      <c r="AX95" s="21">
        <f t="shared" si="60"/>
        <v>3.3814453569123999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-1.2710188457276673E-13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382.55387448074327</v>
      </c>
      <c r="T96" s="59">
        <f t="shared" si="88"/>
        <v>476.29465646955543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3.0431149479804933</v>
      </c>
      <c r="AA96" s="21">
        <f>EXP(-LN(2)/25)*AA95+(1-EXP(-LN(2)/25))/(LN(2)/25)*Calculateur!V96*Calculateur!X96*VLOOKUP('Données projet'!$B$9,Paramètres!$A$1:$I$89,3,0)*0.475*44/12</f>
        <v>3.2441153670571024</v>
      </c>
      <c r="AB96" s="21">
        <f>EXP(-LN(2)/2)*AB95+(1-EXP(-LN(2)/2))/(LN(2)/2)*V96*Y96*VLOOKUP('Données projet'!$B$9,Paramètres!$A$1:$I$89,3,0)*0.475*44/12</f>
        <v>3.0465031411741491E-9</v>
      </c>
      <c r="AC96" s="22">
        <f t="shared" si="57"/>
        <v>6.2872303180840987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0</v>
      </c>
      <c r="AO96" s="59">
        <f t="shared" si="90"/>
        <v>0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2.1477258029814505</v>
      </c>
      <c r="AV96" s="21">
        <f>EXP(-LN(2)/25)*AV95+(1-EXP(-LN(2)/25))/(LN(2)/25)*Calculateur!AQ96*Calculateur!AS96*VLOOKUP('Données projet'!$B$10,Paramètres!$A$1:$I$89,3,0)*0.475*44/12</f>
        <v>1.1582001396279928</v>
      </c>
      <c r="AW96" s="21">
        <f>EXP(-LN(2)/2)*AW95+(1-EXP(-LN(2)/2))/(LN(2)/2)*AQ96*AT96*VLOOKUP('Données projet'!$B$10,Paramètres!$A$1:$I$89,3,0)*0.475*44/12</f>
        <v>2.6087692464121951E-9</v>
      </c>
      <c r="AX96" s="21">
        <f t="shared" si="60"/>
        <v>3.3059259452182124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-1.2710188457276673E-13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382.55387448074327</v>
      </c>
      <c r="T97" s="59">
        <f t="shared" si="88"/>
        <v>476.29465646955543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2.9834413199674379</v>
      </c>
      <c r="AA97" s="21">
        <f>EXP(-LN(2)/25)*AA96+(1-EXP(-LN(2)/25))/(LN(2)/25)*Calculateur!V97*Calculateur!X97*VLOOKUP('Données projet'!$B$9,Paramètres!$A$1:$I$89,3,0)*0.475*44/12</f>
        <v>3.1554048617443131</v>
      </c>
      <c r="AB97" s="21">
        <f>EXP(-LN(2)/2)*AB96+(1-EXP(-LN(2)/2))/(LN(2)/2)*V97*Y97*VLOOKUP('Données projet'!$B$9,Paramètres!$A$1:$I$89,3,0)*0.475*44/12</f>
        <v>2.1542030300303587E-9</v>
      </c>
      <c r="AC97" s="22">
        <f t="shared" si="57"/>
        <v>6.1388461838659536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0</v>
      </c>
      <c r="AO97" s="59">
        <f t="shared" si="90"/>
        <v>0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2.1056102099683742</v>
      </c>
      <c r="AV97" s="21">
        <f>EXP(-LN(2)/25)*AV96+(1-EXP(-LN(2)/25))/(LN(2)/25)*Calculateur!AQ97*Calculateur!AS97*VLOOKUP('Données projet'!$B$10,Paramètres!$A$1:$I$89,3,0)*0.475*44/12</f>
        <v>1.1265290959027672</v>
      </c>
      <c r="AW97" s="21">
        <f>EXP(-LN(2)/2)*AW96+(1-EXP(-LN(2)/2))/(LN(2)/2)*AQ97*AT97*VLOOKUP('Données projet'!$B$10,Paramètres!$A$1:$I$89,3,0)*0.475*44/12</f>
        <v>1.8446784246889826E-9</v>
      </c>
      <c r="AX97" s="21">
        <f t="shared" si="60"/>
        <v>3.23213930771582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-1.2710188457276673E-13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382.55387448074327</v>
      </c>
      <c r="T98" s="59">
        <f t="shared" si="88"/>
        <v>476.29465646955543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2.924937855402399</v>
      </c>
      <c r="AA98" s="21">
        <f>EXP(-LN(2)/25)*AA97+(1-EXP(-LN(2)/25))/(LN(2)/25)*Calculateur!V98*Calculateur!X98*VLOOKUP('Données projet'!$B$9,Paramètres!$A$1:$I$89,3,0)*0.475*44/12</f>
        <v>3.0691201498643848</v>
      </c>
      <c r="AB98" s="21">
        <f>EXP(-LN(2)/2)*AB97+(1-EXP(-LN(2)/2))/(LN(2)/2)*V98*Y98*VLOOKUP('Données projet'!$B$9,Paramètres!$A$1:$I$89,3,0)*0.475*44/12</f>
        <v>1.5232515705870745E-9</v>
      </c>
      <c r="AC98" s="22">
        <f t="shared" si="57"/>
        <v>5.9940580067900351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0</v>
      </c>
      <c r="AO98" s="59">
        <f t="shared" si="90"/>
        <v>0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2.0643204780463087</v>
      </c>
      <c r="AV98" s="21">
        <f>EXP(-LN(2)/25)*AV97+(1-EXP(-LN(2)/25))/(LN(2)/25)*Calculateur!AQ98*Calculateur!AS98*VLOOKUP('Données projet'!$B$10,Paramètres!$A$1:$I$89,3,0)*0.475*44/12</f>
        <v>1.0957240985337156</v>
      </c>
      <c r="AW98" s="21">
        <f>EXP(-LN(2)/2)*AW97+(1-EXP(-LN(2)/2))/(LN(2)/2)*AQ98*AT98*VLOOKUP('Données projet'!$B$10,Paramètres!$A$1:$I$89,3,0)*0.475*44/12</f>
        <v>1.3043846232060978E-9</v>
      </c>
      <c r="AX98" s="21">
        <f t="shared" si="60"/>
        <v>3.1600445778844088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-1.2710188457276673E-13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382.55387448074327</v>
      </c>
      <c r="T99" s="59">
        <f t="shared" si="88"/>
        <v>476.29465646955543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2.8675816080938907</v>
      </c>
      <c r="AA99" s="21">
        <f>EXP(-LN(2)/25)*AA98+(1-EXP(-LN(2)/25))/(LN(2)/25)*Calculateur!V99*Calculateur!X99*VLOOKUP('Données projet'!$B$9,Paramètres!$A$1:$I$89,3,0)*0.475*44/12</f>
        <v>2.9851948979683289</v>
      </c>
      <c r="AB99" s="21">
        <f>EXP(-LN(2)/2)*AB98+(1-EXP(-LN(2)/2))/(LN(2)/2)*V99*Y99*VLOOKUP('Données projet'!$B$9,Paramètres!$A$1:$I$89,3,0)*0.475*44/12</f>
        <v>1.0771015150151793E-9</v>
      </c>
      <c r="AC99" s="22">
        <f t="shared" si="57"/>
        <v>5.8527765071393212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0</v>
      </c>
      <c r="AO99" s="59">
        <f t="shared" si="90"/>
        <v>0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2.0238404125829854</v>
      </c>
      <c r="AV99" s="21">
        <f>EXP(-LN(2)/25)*AV98+(1-EXP(-LN(2)/25))/(LN(2)/25)*Calculateur!AQ99*Calculateur!AS99*VLOOKUP('Données projet'!$B$10,Paramètres!$A$1:$I$89,3,0)*0.475*44/12</f>
        <v>1.065761465437685</v>
      </c>
      <c r="AW99" s="21">
        <f>EXP(-LN(2)/2)*AW98+(1-EXP(-LN(2)/2))/(LN(2)/2)*AQ99*AT99*VLOOKUP('Données projet'!$B$10,Paramètres!$A$1:$I$89,3,0)*0.475*44/12</f>
        <v>9.2233921234449149E-10</v>
      </c>
      <c r="AX99" s="21">
        <f t="shared" si="60"/>
        <v>3.0896018789430095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-1.2710188457276673E-13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382.55387448074327</v>
      </c>
      <c r="T100" s="59">
        <f t="shared" si="88"/>
        <v>476.29465646955543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2.8113500818112458</v>
      </c>
      <c r="AA100" s="21">
        <f>EXP(-LN(2)/25)*AA99+(1-EXP(-LN(2)/25))/(LN(2)/25)*Calculateur!V100*Calculateur!X100*VLOOKUP('Données projet'!$B$9,Paramètres!$A$1:$I$89,3,0)*0.475*44/12</f>
        <v>2.903564586498808</v>
      </c>
      <c r="AB100" s="21">
        <f>EXP(-LN(2)/2)*AB99+(1-EXP(-LN(2)/2))/(LN(2)/2)*V100*Y100*VLOOKUP('Données projet'!$B$9,Paramètres!$A$1:$I$89,3,0)*0.475*44/12</f>
        <v>7.6162578529353727E-10</v>
      </c>
      <c r="AC100" s="22">
        <f t="shared" si="57"/>
        <v>5.7149146690716792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0</v>
      </c>
      <c r="AO100" s="59">
        <f t="shared" si="90"/>
        <v>0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1.9841541365129958</v>
      </c>
      <c r="AV100" s="21">
        <f>EXP(-LN(2)/25)*AV99+(1-EXP(-LN(2)/25))/(LN(2)/25)*Calculateur!AQ100*Calculateur!AS100*VLOOKUP('Données projet'!$B$10,Paramètres!$A$1:$I$89,3,0)*0.475*44/12</f>
        <v>1.0366181621193318</v>
      </c>
      <c r="AW100" s="21">
        <f>EXP(-LN(2)/2)*AW99+(1-EXP(-LN(2)/2))/(LN(2)/2)*AQ100*AT100*VLOOKUP('Données projet'!$B$10,Paramètres!$A$1:$I$89,3,0)*0.475*44/12</f>
        <v>6.5219231160304899E-10</v>
      </c>
      <c r="AX100" s="21">
        <f t="shared" si="60"/>
        <v>3.0207722992845203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-1.2710188457276673E-13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382.55387448074327</v>
      </c>
      <c r="T101" s="59">
        <f t="shared" si="88"/>
        <v>476.29465646955543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2.7562212214611592</v>
      </c>
      <c r="AA101" s="21">
        <f>EXP(-LN(2)/25)*AA100+(1-EXP(-LN(2)/25))/(LN(2)/25)*Calculateur!V101*Calculateur!X101*VLOOKUP('Données projet'!$B$9,Paramètres!$A$1:$I$89,3,0)*0.475*44/12</f>
        <v>2.8241664601891725</v>
      </c>
      <c r="AB101" s="21">
        <f>EXP(-LN(2)/2)*AB100+(1-EXP(-LN(2)/2))/(LN(2)/2)*V101*Y101*VLOOKUP('Données projet'!$B$9,Paramètres!$A$1:$I$89,3,0)*0.475*44/12</f>
        <v>5.3855075750758967E-10</v>
      </c>
      <c r="AC101" s="22">
        <f t="shared" si="57"/>
        <v>5.5803876821888823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0</v>
      </c>
      <c r="AO101" s="59">
        <f t="shared" si="90"/>
        <v>0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1.9452460841105004</v>
      </c>
      <c r="AV101" s="21">
        <f>EXP(-LN(2)/25)*AV100+(1-EXP(-LN(2)/25))/(LN(2)/25)*Calculateur!AQ101*Calculateur!AS101*VLOOKUP('Données projet'!$B$10,Paramètres!$A$1:$I$89,3,0)*0.475*44/12</f>
        <v>1.0082717839627988</v>
      </c>
      <c r="AW101" s="21">
        <f>EXP(-LN(2)/2)*AW100+(1-EXP(-LN(2)/2))/(LN(2)/2)*AQ101*AT101*VLOOKUP('Données projet'!$B$10,Paramètres!$A$1:$I$89,3,0)*0.475*44/12</f>
        <v>4.611696061722458E-10</v>
      </c>
      <c r="AX101" s="21">
        <f t="shared" si="60"/>
        <v>2.953517868534469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-1.2710188457276673E-13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382.55387448074327</v>
      </c>
      <c r="T102" s="59">
        <f t="shared" si="88"/>
        <v>476.29465646955543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2.7021734044372532</v>
      </c>
      <c r="AA102" s="21">
        <f>EXP(-LN(2)/25)*AA101+(1-EXP(-LN(2)/25))/(LN(2)/25)*Calculateur!V102*Calculateur!X102*VLOOKUP('Données projet'!$B$9,Paramètres!$A$1:$I$89,3,0)*0.475*44/12</f>
        <v>2.74693947981884</v>
      </c>
      <c r="AB102" s="21">
        <f>EXP(-LN(2)/2)*AB101+(1-EXP(-LN(2)/2))/(LN(2)/2)*V102*Y102*VLOOKUP('Données projet'!$B$9,Paramètres!$A$1:$I$89,3,0)*0.475*44/12</f>
        <v>3.8081289264676863E-10</v>
      </c>
      <c r="AC102" s="22">
        <f t="shared" si="57"/>
        <v>5.4491128846369064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0</v>
      </c>
      <c r="AO102" s="59">
        <f t="shared" si="90"/>
        <v>0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1.9071009948840494</v>
      </c>
      <c r="AV102" s="21">
        <f>EXP(-LN(2)/25)*AV101+(1-EXP(-LN(2)/25))/(LN(2)/25)*Calculateur!AQ102*Calculateur!AS102*VLOOKUP('Données projet'!$B$10,Paramètres!$A$1:$I$89,3,0)*0.475*44/12</f>
        <v>0.98070053900762744</v>
      </c>
      <c r="AW102" s="21">
        <f>EXP(-LN(2)/2)*AW101+(1-EXP(-LN(2)/2))/(LN(2)/2)*AQ102*AT102*VLOOKUP('Données projet'!$B$10,Paramètres!$A$1:$I$89,3,0)*0.475*44/12</f>
        <v>3.2609615580152455E-10</v>
      </c>
      <c r="AX102" s="21">
        <f t="shared" si="60"/>
        <v>2.8878015342177727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-1.2710188457276673E-13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382.55387448074327</v>
      </c>
      <c r="T103" s="59">
        <f t="shared" si="88"/>
        <v>476.29465646955543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2.6491854321392729</v>
      </c>
      <c r="AA103" s="21">
        <f>EXP(-LN(2)/25)*AA102+(1-EXP(-LN(2)/25))/(LN(2)/25)*Calculateur!V103*Calculateur!X103*VLOOKUP('Données projet'!$B$9,Paramètres!$A$1:$I$89,3,0)*0.475*44/12</f>
        <v>2.6718242752879249</v>
      </c>
      <c r="AB103" s="21">
        <f>EXP(-LN(2)/2)*AB102+(1-EXP(-LN(2)/2))/(LN(2)/2)*V103*Y103*VLOOKUP('Données projet'!$B$9,Paramètres!$A$1:$I$89,3,0)*0.475*44/12</f>
        <v>2.6927537875379484E-10</v>
      </c>
      <c r="AC103" s="22">
        <f t="shared" si="57"/>
        <v>5.3210097076964731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0</v>
      </c>
      <c r="AO103" s="59">
        <f t="shared" si="90"/>
        <v>0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1.8697039075911219</v>
      </c>
      <c r="AV103" s="21">
        <f>EXP(-LN(2)/25)*AV102+(1-EXP(-LN(2)/25))/(LN(2)/25)*Calculateur!AQ103*Calculateur!AS103*VLOOKUP('Données projet'!$B$10,Paramètres!$A$1:$I$89,3,0)*0.475*44/12</f>
        <v>0.95388323119566398</v>
      </c>
      <c r="AW103" s="21">
        <f>EXP(-LN(2)/2)*AW102+(1-EXP(-LN(2)/2))/(LN(2)/2)*AQ103*AT103*VLOOKUP('Données projet'!$B$10,Paramètres!$A$1:$I$89,3,0)*0.475*44/12</f>
        <v>2.3058480308612295E-10</v>
      </c>
      <c r="AX103" s="21">
        <f t="shared" si="60"/>
        <v>2.8235871390173708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-1.2710188457276673E-13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382.55387448074327</v>
      </c>
      <c r="T104" s="59">
        <f t="shared" si="88"/>
        <v>476.29465646955543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2.597236521658584</v>
      </c>
      <c r="AA104" s="21">
        <f>EXP(-LN(2)/25)*AA103+(1-EXP(-LN(2)/25))/(LN(2)/25)*Calculateur!V104*Calculateur!X104*VLOOKUP('Données projet'!$B$9,Paramètres!$A$1:$I$89,3,0)*0.475*44/12</f>
        <v>2.5987630999750446</v>
      </c>
      <c r="AB104" s="21">
        <f>EXP(-LN(2)/2)*AB103+(1-EXP(-LN(2)/2))/(LN(2)/2)*V104*Y104*VLOOKUP('Données projet'!$B$9,Paramètres!$A$1:$I$89,3,0)*0.475*44/12</f>
        <v>1.9040644632338432E-10</v>
      </c>
      <c r="AC104" s="22">
        <f t="shared" si="57"/>
        <v>5.1959996218240354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0</v>
      </c>
      <c r="AO104" s="59">
        <f t="shared" si="90"/>
        <v>0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1.8330401543700379</v>
      </c>
      <c r="AV104" s="21">
        <f>EXP(-LN(2)/25)*AV103+(1-EXP(-LN(2)/25))/(LN(2)/25)*Calculateur!AQ104*Calculateur!AS104*VLOOKUP('Données projet'!$B$10,Paramètres!$A$1:$I$89,3,0)*0.475*44/12</f>
        <v>0.9277992440760795</v>
      </c>
      <c r="AW104" s="21">
        <f>EXP(-LN(2)/2)*AW103+(1-EXP(-LN(2)/2))/(LN(2)/2)*AQ104*AT104*VLOOKUP('Données projet'!$B$10,Paramètres!$A$1:$I$89,3,0)*0.475*44/12</f>
        <v>1.630480779007623E-10</v>
      </c>
      <c r="AX104" s="21">
        <f t="shared" si="60"/>
        <v>2.7608393986091655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-1.2710188457276673E-13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382.55387448074327</v>
      </c>
      <c r="T105" s="59">
        <f t="shared" si="88"/>
        <v>476.29465646955543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2.5463062976267148</v>
      </c>
      <c r="AA105" s="21">
        <f>EXP(-LN(2)/25)*AA104+(1-EXP(-LN(2)/25))/(LN(2)/25)*Calculateur!V105*Calculateur!X105*VLOOKUP('Données projet'!$B$9,Paramètres!$A$1:$I$89,3,0)*0.475*44/12</f>
        <v>2.5276997863432151</v>
      </c>
      <c r="AB105" s="21">
        <f>EXP(-LN(2)/2)*AB104+(1-EXP(-LN(2)/2))/(LN(2)/2)*V105*Y105*VLOOKUP('Données projet'!$B$9,Paramètres!$A$1:$I$89,3,0)*0.475*44/12</f>
        <v>1.3463768937689742E-10</v>
      </c>
      <c r="AC105" s="22">
        <f t="shared" si="57"/>
        <v>5.0740060841045684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0</v>
      </c>
      <c r="AO105" s="59">
        <f t="shared" si="90"/>
        <v>0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1.797095354986938</v>
      </c>
      <c r="AV105" s="21">
        <f>EXP(-LN(2)/25)*AV104+(1-EXP(-LN(2)/25))/(LN(2)/25)*Calculateur!AQ105*Calculateur!AS105*VLOOKUP('Données projet'!$B$10,Paramètres!$A$1:$I$89,3,0)*0.475*44/12</f>
        <v>0.90242852495597736</v>
      </c>
      <c r="AW105" s="21">
        <f>EXP(-LN(2)/2)*AW104+(1-EXP(-LN(2)/2))/(LN(2)/2)*AQ105*AT105*VLOOKUP('Données projet'!$B$10,Paramètres!$A$1:$I$89,3,0)*0.475*44/12</f>
        <v>1.1529240154306149E-10</v>
      </c>
      <c r="AX105" s="21">
        <f t="shared" si="60"/>
        <v>2.6995238800582073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-1.2710188457276673E-13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382.55387448074327</v>
      </c>
      <c r="T106" s="59">
        <f t="shared" si="88"/>
        <v>476.29465646955543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2.4963747842237414</v>
      </c>
      <c r="AA106" s="21">
        <f>EXP(-LN(2)/25)*AA105+(1-EXP(-LN(2)/25))/(LN(2)/25)*Calculateur!V106*Calculateur!X106*VLOOKUP('Données projet'!$B$9,Paramètres!$A$1:$I$89,3,0)*0.475*44/12</f>
        <v>2.4585797027597054</v>
      </c>
      <c r="AB106" s="21">
        <f>EXP(-LN(2)/2)*AB105+(1-EXP(-LN(2)/2))/(LN(2)/2)*V106*Y106*VLOOKUP('Données projet'!$B$9,Paramètres!$A$1:$I$89,3,0)*0.475*44/12</f>
        <v>9.5203223161692159E-11</v>
      </c>
      <c r="AC106" s="22">
        <f t="shared" si="57"/>
        <v>4.9549544870786493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0</v>
      </c>
      <c r="AO106" s="59">
        <f t="shared" si="90"/>
        <v>0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1.7618554111955778</v>
      </c>
      <c r="AV106" s="21">
        <f>EXP(-LN(2)/25)*AV105+(1-EXP(-LN(2)/25))/(LN(2)/25)*Calculateur!AQ106*Calculateur!AS106*VLOOKUP('Données projet'!$B$10,Paramètres!$A$1:$I$89,3,0)*0.475*44/12</f>
        <v>0.87775156948440258</v>
      </c>
      <c r="AW106" s="21">
        <f>EXP(-LN(2)/2)*AW105+(1-EXP(-LN(2)/2))/(LN(2)/2)*AQ106*AT106*VLOOKUP('Données projet'!$B$10,Paramètres!$A$1:$I$89,3,0)*0.475*44/12</f>
        <v>8.1524038950381162E-11</v>
      </c>
      <c r="AX106" s="21">
        <f t="shared" si="60"/>
        <v>2.6396069807615046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-1.2710188457276673E-13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382.55387448074327</v>
      </c>
      <c r="T107" s="59">
        <f t="shared" si="88"/>
        <v>476.29465646955543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2.447422397343384</v>
      </c>
      <c r="AA107" s="21">
        <f>EXP(-LN(2)/25)*AA106+(1-EXP(-LN(2)/25))/(LN(2)/25)*Calculateur!V107*Calculateur!X107*VLOOKUP('Données projet'!$B$9,Paramètres!$A$1:$I$89,3,0)*0.475*44/12</f>
        <v>2.391349711496654</v>
      </c>
      <c r="AB107" s="21">
        <f>EXP(-LN(2)/2)*AB106+(1-EXP(-LN(2)/2))/(LN(2)/2)*V107*Y107*VLOOKUP('Données projet'!$B$9,Paramètres!$A$1:$I$89,3,0)*0.475*44/12</f>
        <v>6.7318844688448709E-11</v>
      </c>
      <c r="AC107" s="22">
        <f t="shared" si="57"/>
        <v>4.8387721089073565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0</v>
      </c>
      <c r="AO107" s="59">
        <f t="shared" si="90"/>
        <v>0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1.7273065012077229</v>
      </c>
      <c r="AV107" s="21">
        <f>EXP(-LN(2)/25)*AV106+(1-EXP(-LN(2)/25))/(LN(2)/25)*Calculateur!AQ107*Calculateur!AS107*VLOOKUP('Données projet'!$B$10,Paramètres!$A$1:$I$89,3,0)*0.475*44/12</f>
        <v>0.85374940665790267</v>
      </c>
      <c r="AW107" s="21">
        <f>EXP(-LN(2)/2)*AW106+(1-EXP(-LN(2)/2))/(LN(2)/2)*AQ107*AT107*VLOOKUP('Données projet'!$B$10,Paramètres!$A$1:$I$89,3,0)*0.475*44/12</f>
        <v>5.7646200771530757E-11</v>
      </c>
      <c r="AX107" s="21">
        <f t="shared" si="60"/>
        <v>2.5810559079232718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-1.2710188457276673E-13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382.55387448074327</v>
      </c>
      <c r="T108" s="59">
        <f t="shared" si="88"/>
        <v>476.29465646955543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2.3994299369117429</v>
      </c>
      <c r="AA108" s="21">
        <f>EXP(-LN(2)/25)*AA107+(1-EXP(-LN(2)/25))/(LN(2)/25)*Calculateur!V108*Calculateur!X108*VLOOKUP('Données projet'!$B$9,Paramètres!$A$1:$I$89,3,0)*0.475*44/12</f>
        <v>2.325958127880162</v>
      </c>
      <c r="AB108" s="21">
        <f>EXP(-LN(2)/2)*AB107+(1-EXP(-LN(2)/2))/(LN(2)/2)*V108*Y108*VLOOKUP('Données projet'!$B$9,Paramètres!$A$1:$I$89,3,0)*0.475*44/12</f>
        <v>4.7601611580846079E-11</v>
      </c>
      <c r="AC108" s="22">
        <f t="shared" si="57"/>
        <v>4.7253880648395068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0</v>
      </c>
      <c r="AO108" s="59">
        <f t="shared" si="90"/>
        <v>0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1.6934350742719755</v>
      </c>
      <c r="AV108" s="21">
        <f>EXP(-LN(2)/25)*AV107+(1-EXP(-LN(2)/25))/(LN(2)/25)*Calculateur!AQ108*Calculateur!AS108*VLOOKUP('Données projet'!$B$10,Paramètres!$A$1:$I$89,3,0)*0.475*44/12</f>
        <v>0.83040358423611227</v>
      </c>
      <c r="AW108" s="21">
        <f>EXP(-LN(2)/2)*AW107+(1-EXP(-LN(2)/2))/(LN(2)/2)*AQ108*AT108*VLOOKUP('Données projet'!$B$10,Paramètres!$A$1:$I$89,3,0)*0.475*44/12</f>
        <v>4.0762019475190588E-11</v>
      </c>
      <c r="AX108" s="21">
        <f t="shared" si="60"/>
        <v>2.5238386585488497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-1.2710188457276673E-13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382.55387448074327</v>
      </c>
      <c r="T109" s="59">
        <f t="shared" si="88"/>
        <v>476.29465646955543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2.3523785793566558</v>
      </c>
      <c r="AA109" s="21">
        <f>EXP(-LN(2)/25)*AA108+(1-EXP(-LN(2)/25))/(LN(2)/25)*Calculateur!V109*Calculateur!X109*VLOOKUP('Données projet'!$B$9,Paramètres!$A$1:$I$89,3,0)*0.475*44/12</f>
        <v>2.2623546805564572</v>
      </c>
      <c r="AB109" s="21">
        <f>EXP(-LN(2)/2)*AB108+(1-EXP(-LN(2)/2))/(LN(2)/2)*V109*Y109*VLOOKUP('Données projet'!$B$9,Paramètres!$A$1:$I$89,3,0)*0.475*44/12</f>
        <v>3.3659422344224354E-11</v>
      </c>
      <c r="AC109" s="22">
        <f t="shared" si="57"/>
        <v>4.6147332599467719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0</v>
      </c>
      <c r="AO109" s="59">
        <f t="shared" si="90"/>
        <v>0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1.6602278453589077</v>
      </c>
      <c r="AV109" s="21">
        <f>EXP(-LN(2)/25)*AV108+(1-EXP(-LN(2)/25))/(LN(2)/25)*Calculateur!AQ109*Calculateur!AS109*VLOOKUP('Données projet'!$B$10,Paramètres!$A$1:$I$89,3,0)*0.475*44/12</f>
        <v>0.80769615455614918</v>
      </c>
      <c r="AW109" s="21">
        <f>EXP(-LN(2)/2)*AW108+(1-EXP(-LN(2)/2))/(LN(2)/2)*AQ109*AT109*VLOOKUP('Données projet'!$B$10,Paramètres!$A$1:$I$89,3,0)*0.475*44/12</f>
        <v>2.8823100385765382E-11</v>
      </c>
      <c r="AX109" s="21">
        <f t="shared" si="60"/>
        <v>2.46792399994388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-1.2710188457276673E-13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382.55387448074327</v>
      </c>
      <c r="T110" s="59">
        <f t="shared" si="88"/>
        <v>476.29465646955543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2.3062498702247294</v>
      </c>
      <c r="AA110" s="21">
        <f>EXP(-LN(2)/25)*AA109+(1-EXP(-LN(2)/25))/(LN(2)/25)*Calculateur!V110*Calculateur!X110*VLOOKUP('Données projet'!$B$9,Paramètres!$A$1:$I$89,3,0)*0.475*44/12</f>
        <v>2.2004904728445789</v>
      </c>
      <c r="AB110" s="21">
        <f>EXP(-LN(2)/2)*AB109+(1-EXP(-LN(2)/2))/(LN(2)/2)*V110*Y110*VLOOKUP('Données projet'!$B$9,Paramètres!$A$1:$I$89,3,0)*0.475*44/12</f>
        <v>2.380080579042304E-11</v>
      </c>
      <c r="AC110" s="22">
        <f t="shared" si="57"/>
        <v>4.5067403430931092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0</v>
      </c>
      <c r="AO110" s="59">
        <f t="shared" si="90"/>
        <v>0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1.6276717899504154</v>
      </c>
      <c r="AV110" s="21">
        <f>EXP(-LN(2)/25)*AV109+(1-EXP(-LN(2)/25))/(LN(2)/25)*Calculateur!AQ110*Calculateur!AS110*VLOOKUP('Données projet'!$B$10,Paramètres!$A$1:$I$89,3,0)*0.475*44/12</f>
        <v>0.78560966073491656</v>
      </c>
      <c r="AW110" s="21">
        <f>EXP(-LN(2)/2)*AW109+(1-EXP(-LN(2)/2))/(LN(2)/2)*AQ110*AT110*VLOOKUP('Données projet'!$B$10,Paramètres!$A$1:$I$89,3,0)*0.475*44/12</f>
        <v>2.0381009737595297E-11</v>
      </c>
      <c r="AX110" s="21">
        <f t="shared" si="60"/>
        <v>2.4132814507057132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-1.2710188457276673E-13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382.55387448074327</v>
      </c>
      <c r="T111" s="59">
        <f t="shared" si="88"/>
        <v>476.29465646955543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2.2610257169431458</v>
      </c>
      <c r="AA111" s="21">
        <f>EXP(-LN(2)/25)*AA110+(1-EXP(-LN(2)/25))/(LN(2)/25)*Calculateur!V111*Calculateur!X111*VLOOKUP('Données projet'!$B$9,Paramètres!$A$1:$I$89,3,0)*0.475*44/12</f>
        <v>2.1403179451458794</v>
      </c>
      <c r="AB111" s="21">
        <f>EXP(-LN(2)/2)*AB110+(1-EXP(-LN(2)/2))/(LN(2)/2)*V111*Y111*VLOOKUP('Données projet'!$B$9,Paramètres!$A$1:$I$89,3,0)*0.475*44/12</f>
        <v>1.6829711172112177E-11</v>
      </c>
      <c r="AC111" s="22">
        <f t="shared" si="57"/>
        <v>4.4013436621058553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0</v>
      </c>
      <c r="AO111" s="59">
        <f t="shared" si="90"/>
        <v>0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1.5957541389312506</v>
      </c>
      <c r="AV111" s="21">
        <f>EXP(-LN(2)/25)*AV110+(1-EXP(-LN(2)/25))/(LN(2)/25)*Calculateur!AQ111*Calculateur!AS111*VLOOKUP('Données projet'!$B$10,Paramètres!$A$1:$I$89,3,0)*0.475*44/12</f>
        <v>0.76412712324870369</v>
      </c>
      <c r="AW111" s="21">
        <f>EXP(-LN(2)/2)*AW110+(1-EXP(-LN(2)/2))/(LN(2)/2)*AQ111*AT111*VLOOKUP('Données projet'!$B$10,Paramètres!$A$1:$I$89,3,0)*0.475*44/12</f>
        <v>1.4411550192882692E-11</v>
      </c>
      <c r="AX111" s="21">
        <f t="shared" si="60"/>
        <v>2.3598812621943659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-1.2710188457276673E-13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382.55387448074327</v>
      </c>
      <c r="T112" s="59">
        <f t="shared" si="88"/>
        <v>476.29465646955543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2.2166883817234044</v>
      </c>
      <c r="AA112" s="21">
        <f>EXP(-LN(2)/25)*AA111+(1-EXP(-LN(2)/25))/(LN(2)/25)*Calculateur!V112*Calculateur!X112*VLOOKUP('Données projet'!$B$9,Paramètres!$A$1:$I$89,3,0)*0.475*44/12</f>
        <v>2.0817908383814365</v>
      </c>
      <c r="AB112" s="21">
        <f>EXP(-LN(2)/2)*AB111+(1-EXP(-LN(2)/2))/(LN(2)/2)*V112*Y112*VLOOKUP('Données projet'!$B$9,Paramètres!$A$1:$I$89,3,0)*0.475*44/12</f>
        <v>1.190040289521152E-11</v>
      </c>
      <c r="AC112" s="22">
        <f t="shared" si="57"/>
        <v>4.2984792201167421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0</v>
      </c>
      <c r="AO112" s="59">
        <f t="shared" si="90"/>
        <v>0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1.5644623735807268</v>
      </c>
      <c r="AV112" s="21">
        <f>EXP(-LN(2)/25)*AV111+(1-EXP(-LN(2)/25))/(LN(2)/25)*Calculateur!AQ112*Calculateur!AS112*VLOOKUP('Données projet'!$B$10,Paramètres!$A$1:$I$89,3,0)*0.475*44/12</f>
        <v>0.74323202687976886</v>
      </c>
      <c r="AW112" s="21">
        <f>EXP(-LN(2)/2)*AW111+(1-EXP(-LN(2)/2))/(LN(2)/2)*AQ112*AT112*VLOOKUP('Données projet'!$B$10,Paramètres!$A$1:$I$89,3,0)*0.475*44/12</f>
        <v>1.019050486879765E-11</v>
      </c>
      <c r="AX112" s="21">
        <f t="shared" si="60"/>
        <v>2.3076944004706861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-1.2710188457276673E-13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382.55387448074327</v>
      </c>
      <c r="T113" s="59">
        <f t="shared" si="88"/>
        <v>476.29465646955543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2.1732204746042179</v>
      </c>
      <c r="AA113" s="21">
        <f>EXP(-LN(2)/25)*AA112+(1-EXP(-LN(2)/25))/(LN(2)/25)*Calculateur!V113*Calculateur!X113*VLOOKUP('Données projet'!$B$9,Paramètres!$A$1:$I$89,3,0)*0.475*44/12</f>
        <v>2.0248641584292741</v>
      </c>
      <c r="AB113" s="21">
        <f>EXP(-LN(2)/2)*AB112+(1-EXP(-LN(2)/2))/(LN(2)/2)*V113*Y113*VLOOKUP('Données projet'!$B$9,Paramètres!$A$1:$I$89,3,0)*0.475*44/12</f>
        <v>8.4148555860560886E-12</v>
      </c>
      <c r="AC113" s="22">
        <f t="shared" si="57"/>
        <v>4.1980846330419066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0</v>
      </c>
      <c r="AO113" s="59">
        <f t="shared" si="90"/>
        <v>0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1.5337842206626344</v>
      </c>
      <c r="AV113" s="21">
        <f>EXP(-LN(2)/25)*AV112+(1-EXP(-LN(2)/25))/(LN(2)/25)*Calculateur!AQ113*Calculateur!AS113*VLOOKUP('Données projet'!$B$10,Paramètres!$A$1:$I$89,3,0)*0.475*44/12</f>
        <v>0.72290830801986794</v>
      </c>
      <c r="AW113" s="21">
        <f>EXP(-LN(2)/2)*AW112+(1-EXP(-LN(2)/2))/(LN(2)/2)*AQ113*AT113*VLOOKUP('Données projet'!$B$10,Paramètres!$A$1:$I$89,3,0)*0.475*44/12</f>
        <v>7.2057750964413479E-12</v>
      </c>
      <c r="AX113" s="21">
        <f t="shared" si="60"/>
        <v>2.2566925286897082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-1.2710188457276673E-13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382.55387448074327</v>
      </c>
      <c r="T114" s="59">
        <f t="shared" si="88"/>
        <v>476.29465646955543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2.1306049466308332</v>
      </c>
      <c r="AA114" s="21">
        <f>EXP(-LN(2)/25)*AA113+(1-EXP(-LN(2)/25))/(LN(2)/25)*Calculateur!V114*Calculateur!X114*VLOOKUP('Données projet'!$B$9,Paramètres!$A$1:$I$89,3,0)*0.475*44/12</f>
        <v>1.9694941415340474</v>
      </c>
      <c r="AB114" s="21">
        <f>EXP(-LN(2)/2)*AB113+(1-EXP(-LN(2)/2))/(LN(2)/2)*V114*Y114*VLOOKUP('Données projet'!$B$9,Paramètres!$A$1:$I$89,3,0)*0.475*44/12</f>
        <v>5.9502014476057599E-12</v>
      </c>
      <c r="AC114" s="22">
        <f t="shared" si="57"/>
        <v>4.1000990881708308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0</v>
      </c>
      <c r="AO114" s="59">
        <f t="shared" si="90"/>
        <v>0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1.5037076476114402</v>
      </c>
      <c r="AV114" s="21">
        <f>EXP(-LN(2)/25)*AV113+(1-EXP(-LN(2)/25))/(LN(2)/25)*Calculateur!AQ114*Calculateur!AS114*VLOOKUP('Données projet'!$B$10,Paramètres!$A$1:$I$89,3,0)*0.475*44/12</f>
        <v>0.703140342320969</v>
      </c>
      <c r="AW114" s="21">
        <f>EXP(-LN(2)/2)*AW113+(1-EXP(-LN(2)/2))/(LN(2)/2)*AQ114*AT114*VLOOKUP('Données projet'!$B$10,Paramètres!$A$1:$I$89,3,0)*0.475*44/12</f>
        <v>5.0952524343988259E-12</v>
      </c>
      <c r="AX114" s="21">
        <f t="shared" si="60"/>
        <v>2.2068479899375042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-1.2710188457276673E-13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382.55387448074327</v>
      </c>
      <c r="T115" s="59">
        <f t="shared" si="88"/>
        <v>476.29465646955543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2.0888250831681012</v>
      </c>
      <c r="AA115" s="21">
        <f>EXP(-LN(2)/25)*AA114+(1-EXP(-LN(2)/25))/(LN(2)/25)*Calculateur!V115*Calculateur!X115*VLOOKUP('Données projet'!$B$9,Paramètres!$A$1:$I$89,3,0)*0.475*44/12</f>
        <v>1.9156382206626033</v>
      </c>
      <c r="AB115" s="21">
        <f>EXP(-LN(2)/2)*AB114+(1-EXP(-LN(2)/2))/(LN(2)/2)*V115*Y115*VLOOKUP('Données projet'!$B$9,Paramètres!$A$1:$I$89,3,0)*0.475*44/12</f>
        <v>4.2074277930280443E-12</v>
      </c>
      <c r="AC115" s="22">
        <f t="shared" si="57"/>
        <v>4.0044633038349113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0</v>
      </c>
      <c r="AO115" s="59">
        <f t="shared" si="90"/>
        <v>0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1.4742208578128817</v>
      </c>
      <c r="AV115" s="21">
        <f>EXP(-LN(2)/25)*AV114+(1-EXP(-LN(2)/25))/(LN(2)/25)*Calculateur!AQ115*Calculateur!AS115*VLOOKUP('Données projet'!$B$10,Paramètres!$A$1:$I$89,3,0)*0.475*44/12</f>
        <v>0.6839129326836586</v>
      </c>
      <c r="AW115" s="21">
        <f>EXP(-LN(2)/2)*AW114+(1-EXP(-LN(2)/2))/(LN(2)/2)*AQ115*AT115*VLOOKUP('Données projet'!$B$10,Paramètres!$A$1:$I$89,3,0)*0.475*44/12</f>
        <v>3.6028875482206743E-12</v>
      </c>
      <c r="AX115" s="21">
        <f t="shared" si="60"/>
        <v>2.1581337905001434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-1.2710188457276673E-13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382.55387448074327</v>
      </c>
      <c r="T116" s="59">
        <f t="shared" si="88"/>
        <v>476.29465646955543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2.0478644973446727</v>
      </c>
      <c r="AA116" s="21">
        <f>EXP(-LN(2)/25)*AA115+(1-EXP(-LN(2)/25))/(LN(2)/25)*Calculateur!V116*Calculateur!X116*VLOOKUP('Données projet'!$B$9,Paramètres!$A$1:$I$89,3,0)*0.475*44/12</f>
        <v>1.8632549927795485</v>
      </c>
      <c r="AB116" s="21">
        <f>EXP(-LN(2)/2)*AB115+(1-EXP(-LN(2)/2))/(LN(2)/2)*V116*Y116*VLOOKUP('Données projet'!$B$9,Paramètres!$A$1:$I$89,3,0)*0.475*44/12</f>
        <v>2.97510072380288E-12</v>
      </c>
      <c r="AC116" s="22">
        <f t="shared" si="57"/>
        <v>3.9111194901271964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0</v>
      </c>
      <c r="AO116" s="59">
        <f t="shared" si="90"/>
        <v>0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1.445312285977107</v>
      </c>
      <c r="AV116" s="21">
        <f>EXP(-LN(2)/25)*AV115+(1-EXP(-LN(2)/25))/(LN(2)/25)*Calculateur!AQ116*Calculateur!AS116*VLOOKUP('Données projet'!$B$10,Paramètres!$A$1:$I$89,3,0)*0.475*44/12</f>
        <v>0.66521129757400588</v>
      </c>
      <c r="AW116" s="21">
        <f>EXP(-LN(2)/2)*AW115+(1-EXP(-LN(2)/2))/(LN(2)/2)*AQ116*AT116*VLOOKUP('Données projet'!$B$10,Paramètres!$A$1:$I$89,3,0)*0.475*44/12</f>
        <v>2.5476262171994133E-12</v>
      </c>
      <c r="AX116" s="21">
        <f t="shared" si="60"/>
        <v>2.1105235835536607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-1.2710188457276673E-13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382.55387448074327</v>
      </c>
      <c r="T117" s="59">
        <f t="shared" si="88"/>
        <v>476.29465646955543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2.0077071236257513</v>
      </c>
      <c r="AA117" s="21">
        <f>EXP(-LN(2)/25)*AA116+(1-EXP(-LN(2)/25))/(LN(2)/25)*Calculateur!V117*Calculateur!X117*VLOOKUP('Données projet'!$B$9,Paramètres!$A$1:$I$89,3,0)*0.475*44/12</f>
        <v>1.8123041870176702</v>
      </c>
      <c r="AB117" s="21">
        <f>EXP(-LN(2)/2)*AB116+(1-EXP(-LN(2)/2))/(LN(2)/2)*V117*Y117*VLOOKUP('Données projet'!$B$9,Paramètres!$A$1:$I$89,3,0)*0.475*44/12</f>
        <v>2.1037138965140222E-12</v>
      </c>
      <c r="AC117" s="22">
        <f t="shared" si="57"/>
        <v>3.8200113106455249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0</v>
      </c>
      <c r="AO117" s="59">
        <f t="shared" si="90"/>
        <v>0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1.4169705936025443</v>
      </c>
      <c r="AV117" s="21">
        <f>EXP(-LN(2)/25)*AV116+(1-EXP(-LN(2)/25))/(LN(2)/25)*Calculateur!AQ117*Calculateur!AS117*VLOOKUP('Données projet'!$B$10,Paramètres!$A$1:$I$89,3,0)*0.475*44/12</f>
        <v>0.64702105965990286</v>
      </c>
      <c r="AW117" s="21">
        <f>EXP(-LN(2)/2)*AW116+(1-EXP(-LN(2)/2))/(LN(2)/2)*AQ117*AT117*VLOOKUP('Données projet'!$B$10,Paramètres!$A$1:$I$89,3,0)*0.475*44/12</f>
        <v>1.8014437741103376E-12</v>
      </c>
      <c r="AX117" s="21">
        <f t="shared" si="60"/>
        <v>2.0639916532642486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-1.2710188457276673E-13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382.55387448074327</v>
      </c>
      <c r="T118" s="59">
        <f t="shared" si="88"/>
        <v>476.29465646955543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1.9683372115118785</v>
      </c>
      <c r="AA118" s="21">
        <f>EXP(-LN(2)/25)*AA117+(1-EXP(-LN(2)/25))/(LN(2)/25)*Calculateur!V118*Calculateur!X118*VLOOKUP('Données projet'!$B$9,Paramètres!$A$1:$I$89,3,0)*0.475*44/12</f>
        <v>1.7627466337187367</v>
      </c>
      <c r="AB118" s="21">
        <f>EXP(-LN(2)/2)*AB117+(1-EXP(-LN(2)/2))/(LN(2)/2)*V118*Y118*VLOOKUP('Données projet'!$B$9,Paramètres!$A$1:$I$89,3,0)*0.475*44/12</f>
        <v>1.48755036190144E-12</v>
      </c>
      <c r="AC118" s="22">
        <f t="shared" si="57"/>
        <v>3.7310838452321029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0</v>
      </c>
      <c r="AO118" s="59">
        <f t="shared" si="90"/>
        <v>0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1.3891846645287211</v>
      </c>
      <c r="AV118" s="21">
        <f>EXP(-LN(2)/25)*AV117+(1-EXP(-LN(2)/25))/(LN(2)/25)*Calculateur!AQ118*Calculateur!AS118*VLOOKUP('Données projet'!$B$10,Paramètres!$A$1:$I$89,3,0)*0.475*44/12</f>
        <v>0.62932823475814403</v>
      </c>
      <c r="AW118" s="21">
        <f>EXP(-LN(2)/2)*AW117+(1-EXP(-LN(2)/2))/(LN(2)/2)*AQ118*AT118*VLOOKUP('Données projet'!$B$10,Paramètres!$A$1:$I$89,3,0)*0.475*44/12</f>
        <v>1.2738131085997069E-12</v>
      </c>
      <c r="AX118" s="21">
        <f t="shared" si="60"/>
        <v>2.0185128992881389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-1.2710188457276673E-13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382.55387448074327</v>
      </c>
      <c r="T119" s="59">
        <f t="shared" si="88"/>
        <v>476.29465646955543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1.9297393193612833</v>
      </c>
      <c r="AA119" s="21">
        <f>EXP(-LN(2)/25)*AA118+(1-EXP(-LN(2)/25))/(LN(2)/25)*Calculateur!V119*Calculateur!X119*VLOOKUP('Données projet'!$B$9,Paramètres!$A$1:$I$89,3,0)*0.475*44/12</f>
        <v>1.7145442343208812</v>
      </c>
      <c r="AB119" s="21">
        <f>EXP(-LN(2)/2)*AB118+(1-EXP(-LN(2)/2))/(LN(2)/2)*V119*Y119*VLOOKUP('Données projet'!$B$9,Paramètres!$A$1:$I$89,3,0)*0.475*44/12</f>
        <v>1.0518569482570111E-12</v>
      </c>
      <c r="AC119" s="22">
        <f t="shared" si="57"/>
        <v>3.6442835536832168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0</v>
      </c>
      <c r="AO119" s="59">
        <f t="shared" si="90"/>
        <v>0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1.3619436005762924</v>
      </c>
      <c r="AV119" s="21">
        <f>EXP(-LN(2)/25)*AV118+(1-EXP(-LN(2)/25))/(LN(2)/25)*Calculateur!AQ119*Calculateur!AS119*VLOOKUP('Données projet'!$B$10,Paramètres!$A$1:$I$89,3,0)*0.475*44/12</f>
        <v>0.61211922108374905</v>
      </c>
      <c r="AW119" s="21">
        <f>EXP(-LN(2)/2)*AW118+(1-EXP(-LN(2)/2))/(LN(2)/2)*AQ119*AT119*VLOOKUP('Données projet'!$B$10,Paramètres!$A$1:$I$89,3,0)*0.475*44/12</f>
        <v>9.0072188705516889E-13</v>
      </c>
      <c r="AX119" s="21">
        <f t="shared" si="60"/>
        <v>1.9740628216609419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-1.2710188457276673E-13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382.55387448074327</v>
      </c>
      <c r="T120" s="59">
        <f t="shared" si="88"/>
        <v>476.29465646955543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1.8918983083333718</v>
      </c>
      <c r="AA120" s="21">
        <f>EXP(-LN(2)/25)*AA119+(1-EXP(-LN(2)/25))/(LN(2)/25)*Calculateur!V120*Calculateur!X120*VLOOKUP('Données projet'!$B$9,Paramètres!$A$1:$I$89,3,0)*0.475*44/12</f>
        <v>1.6676599320694141</v>
      </c>
      <c r="AB120" s="21">
        <f>EXP(-LN(2)/2)*AB119+(1-EXP(-LN(2)/2))/(LN(2)/2)*V120*Y120*VLOOKUP('Données projet'!$B$9,Paramètres!$A$1:$I$89,3,0)*0.475*44/12</f>
        <v>7.4377518095071999E-13</v>
      </c>
      <c r="AC120" s="22">
        <f t="shared" si="57"/>
        <v>3.5595582404035295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0</v>
      </c>
      <c r="AO120" s="59">
        <f t="shared" si="90"/>
        <v>0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1.3352367172725625</v>
      </c>
      <c r="AV120" s="21">
        <f>EXP(-LN(2)/25)*AV119+(1-EXP(-LN(2)/25))/(LN(2)/25)*Calculateur!AQ120*Calculateur!AS120*VLOOKUP('Données projet'!$B$10,Paramètres!$A$1:$I$89,3,0)*0.475*44/12</f>
        <v>0.59538078879326317</v>
      </c>
      <c r="AW120" s="21">
        <f>EXP(-LN(2)/2)*AW119+(1-EXP(-LN(2)/2))/(LN(2)/2)*AQ120*AT120*VLOOKUP('Données projet'!$B$10,Paramètres!$A$1:$I$89,3,0)*0.475*44/12</f>
        <v>6.3690655429985354E-13</v>
      </c>
      <c r="AX120" s="21">
        <f t="shared" si="60"/>
        <v>1.9306175060664625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-1.2710188457276673E-13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382.55387448074327</v>
      </c>
      <c r="T121" s="59">
        <f t="shared" si="88"/>
        <v>476.29465646955543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1.8547993364509801</v>
      </c>
      <c r="AA121" s="21">
        <f>EXP(-LN(2)/25)*AA120+(1-EXP(-LN(2)/25))/(LN(2)/25)*Calculateur!V121*Calculateur!X121*VLOOKUP('Données projet'!$B$9,Paramètres!$A$1:$I$89,3,0)*0.475*44/12</f>
        <v>1.6220576835285516</v>
      </c>
      <c r="AB121" s="21">
        <f>EXP(-LN(2)/2)*AB120+(1-EXP(-LN(2)/2))/(LN(2)/2)*V121*Y121*VLOOKUP('Données projet'!$B$9,Paramètres!$A$1:$I$89,3,0)*0.475*44/12</f>
        <v>5.2592847412850554E-13</v>
      </c>
      <c r="AC121" s="22">
        <f t="shared" si="57"/>
        <v>3.4768570199800575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0</v>
      </c>
      <c r="AO121" s="59">
        <f t="shared" si="90"/>
        <v>0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1.3090535396608285</v>
      </c>
      <c r="AV121" s="21">
        <f>EXP(-LN(2)/25)*AV120+(1-EXP(-LN(2)/25))/(LN(2)/25)*Calculateur!AQ121*Calculateur!AS121*VLOOKUP('Données projet'!$B$10,Paramètres!$A$1:$I$89,3,0)*0.475*44/12</f>
        <v>0.57910006981399642</v>
      </c>
      <c r="AW121" s="21">
        <f>EXP(-LN(2)/2)*AW120+(1-EXP(-LN(2)/2))/(LN(2)/2)*AQ121*AT121*VLOOKUP('Données projet'!$B$10,Paramètres!$A$1:$I$89,3,0)*0.475*44/12</f>
        <v>4.5036094352758449E-13</v>
      </c>
      <c r="AX121" s="21">
        <f t="shared" si="60"/>
        <v>1.8881536094752751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-1.2710188457276673E-13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382.55387448074327</v>
      </c>
      <c r="T122" s="59">
        <f t="shared" si="88"/>
        <v>476.29465646955543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1.8184278527790634</v>
      </c>
      <c r="AA122" s="21">
        <f>EXP(-LN(2)/25)*AA121+(1-EXP(-LN(2)/25))/(LN(2)/25)*Calculateur!V122*Calculateur!X122*VLOOKUP('Données projet'!$B$9,Paramètres!$A$1:$I$89,3,0)*0.475*44/12</f>
        <v>1.577702430872157</v>
      </c>
      <c r="AB122" s="21">
        <f>EXP(-LN(2)/2)*AB121+(1-EXP(-LN(2)/2))/(LN(2)/2)*V122*Y122*VLOOKUP('Données projet'!$B$9,Paramètres!$A$1:$I$89,3,0)*0.475*44/12</f>
        <v>3.7188759047535999E-13</v>
      </c>
      <c r="AC122" s="22">
        <f t="shared" si="57"/>
        <v>3.3961302836515919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0</v>
      </c>
      <c r="AO122" s="59">
        <f t="shared" si="90"/>
        <v>0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1.283383798191899</v>
      </c>
      <c r="AV122" s="21">
        <f>EXP(-LN(2)/25)*AV121+(1-EXP(-LN(2)/25))/(LN(2)/25)*Calculateur!AQ122*Calculateur!AS122*VLOOKUP('Données projet'!$B$10,Paramètres!$A$1:$I$89,3,0)*0.475*44/12</f>
        <v>0.56326454795138359</v>
      </c>
      <c r="AW122" s="21">
        <f>EXP(-LN(2)/2)*AW121+(1-EXP(-LN(2)/2))/(LN(2)/2)*AQ122*AT122*VLOOKUP('Données projet'!$B$10,Paramètres!$A$1:$I$89,3,0)*0.475*44/12</f>
        <v>3.1845327714992682E-13</v>
      </c>
      <c r="AX122" s="21">
        <f t="shared" si="60"/>
        <v>1.846648346143601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-1.2710188457276673E-13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382.55387448074327</v>
      </c>
      <c r="T123" s="59">
        <f t="shared" si="88"/>
        <v>476.29465646955543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1.7827695917175386</v>
      </c>
      <c r="AA123" s="21">
        <f>EXP(-LN(2)/25)*AA122+(1-EXP(-LN(2)/25))/(LN(2)/25)*Calculateur!V123*Calculateur!X123*VLOOKUP('Données projet'!$B$9,Paramètres!$A$1:$I$89,3,0)*0.475*44/12</f>
        <v>1.5345600749321928</v>
      </c>
      <c r="AB123" s="21">
        <f>EXP(-LN(2)/2)*AB122+(1-EXP(-LN(2)/2))/(LN(2)/2)*V123*Y123*VLOOKUP('Données projet'!$B$9,Paramètres!$A$1:$I$89,3,0)*0.475*44/12</f>
        <v>2.6296423706425277E-13</v>
      </c>
      <c r="AC123" s="22">
        <f t="shared" si="57"/>
        <v>3.3173296666499943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0</v>
      </c>
      <c r="AO123" s="59">
        <f t="shared" si="90"/>
        <v>0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1.258217424696179</v>
      </c>
      <c r="AV123" s="21">
        <f>EXP(-LN(2)/25)*AV122+(1-EXP(-LN(2)/25))/(LN(2)/25)*Calculateur!AQ123*Calculateur!AS123*VLOOKUP('Données projet'!$B$10,Paramètres!$A$1:$I$89,3,0)*0.475*44/12</f>
        <v>0.54786204926685778</v>
      </c>
      <c r="AW123" s="21">
        <f>EXP(-LN(2)/2)*AW122+(1-EXP(-LN(2)/2))/(LN(2)/2)*AQ123*AT123*VLOOKUP('Données projet'!$B$10,Paramètres!$A$1:$I$89,3,0)*0.475*44/12</f>
        <v>2.251804717637923E-13</v>
      </c>
      <c r="AX123" s="21">
        <f t="shared" si="60"/>
        <v>1.806079473963262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-1.2710188457276673E-13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382.55387448074327</v>
      </c>
      <c r="T124" s="59">
        <f t="shared" si="88"/>
        <v>476.29465646955543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1.7478105674060385</v>
      </c>
      <c r="AA124" s="21">
        <f>EXP(-LN(2)/25)*AA123+(1-EXP(-LN(2)/25))/(LN(2)/25)*Calculateur!V124*Calculateur!X124*VLOOKUP('Données projet'!$B$9,Paramètres!$A$1:$I$89,3,0)*0.475*44/12</f>
        <v>1.4925974489841649</v>
      </c>
      <c r="AB124" s="21">
        <f>EXP(-LN(2)/2)*AB123+(1-EXP(-LN(2)/2))/(LN(2)/2)*V124*Y124*VLOOKUP('Données projet'!$B$9,Paramètres!$A$1:$I$89,3,0)*0.475*44/12</f>
        <v>1.8594379523768E-13</v>
      </c>
      <c r="AC124" s="22">
        <f t="shared" si="57"/>
        <v>3.2404080163903894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0</v>
      </c>
      <c r="AO124" s="59">
        <f t="shared" si="90"/>
        <v>0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1.233544548434738</v>
      </c>
      <c r="AV124" s="21">
        <f>EXP(-LN(2)/25)*AV123+(1-EXP(-LN(2)/25))/(LN(2)/25)*Calculateur!AQ124*Calculateur!AS124*VLOOKUP('Données projet'!$B$10,Paramètres!$A$1:$I$89,3,0)*0.475*44/12</f>
        <v>0.53288073271884251</v>
      </c>
      <c r="AW124" s="21">
        <f>EXP(-LN(2)/2)*AW123+(1-EXP(-LN(2)/2))/(LN(2)/2)*AQ124*AT124*VLOOKUP('Données projet'!$B$10,Paramètres!$A$1:$I$89,3,0)*0.475*44/12</f>
        <v>1.5922663857496344E-13</v>
      </c>
      <c r="AX124" s="21">
        <f t="shared" si="60"/>
        <v>1.7664252811537398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-1.2710188457276673E-13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382.55387448074327</v>
      </c>
      <c r="T125" s="59">
        <f t="shared" si="88"/>
        <v>476.29465646955543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1.7135370682383875</v>
      </c>
      <c r="AA125" s="21">
        <f>EXP(-LN(2)/25)*AA124+(1-EXP(-LN(2)/25))/(LN(2)/25)*Calculateur!V125*Calculateur!X125*VLOOKUP('Données projet'!$B$9,Paramètres!$A$1:$I$89,3,0)*0.475*44/12</f>
        <v>1.4517822932494044</v>
      </c>
      <c r="AB125" s="21">
        <f>EXP(-LN(2)/2)*AB124+(1-EXP(-LN(2)/2))/(LN(2)/2)*V125*Y125*VLOOKUP('Données projet'!$B$9,Paramètres!$A$1:$I$89,3,0)*0.475*44/12</f>
        <v>1.3148211853212638E-13</v>
      </c>
      <c r="AC125" s="22">
        <f t="shared" si="57"/>
        <v>3.1653193614879234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0</v>
      </c>
      <c r="AO125" s="59">
        <f t="shared" si="90"/>
        <v>0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1.2093554922278151</v>
      </c>
      <c r="AV125" s="21">
        <f>EXP(-LN(2)/25)*AV124+(1-EXP(-LN(2)/25))/(LN(2)/25)*Calculateur!AQ125*Calculateur!AS125*VLOOKUP('Données projet'!$B$10,Paramètres!$A$1:$I$89,3,0)*0.475*44/12</f>
        <v>0.51830908105966589</v>
      </c>
      <c r="AW125" s="21">
        <f>EXP(-LN(2)/2)*AW124+(1-EXP(-LN(2)/2))/(LN(2)/2)*AQ125*AT125*VLOOKUP('Données projet'!$B$10,Paramètres!$A$1:$I$89,3,0)*0.475*44/12</f>
        <v>1.1259023588189616E-13</v>
      </c>
      <c r="AX125" s="21">
        <f t="shared" si="60"/>
        <v>1.7276645732875935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-1.2710188457276673E-13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382.55387448074327</v>
      </c>
      <c r="T126" s="59">
        <f t="shared" si="88"/>
        <v>476.29465646955543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1.679935651484644</v>
      </c>
      <c r="AA126" s="21">
        <f>EXP(-LN(2)/25)*AA125+(1-EXP(-LN(2)/25))/(LN(2)/25)*Calculateur!V126*Calculateur!X126*VLOOKUP('Données projet'!$B$9,Paramètres!$A$1:$I$89,3,0)*0.475*44/12</f>
        <v>1.4120832300945867</v>
      </c>
      <c r="AB126" s="21">
        <f>EXP(-LN(2)/2)*AB125+(1-EXP(-LN(2)/2))/(LN(2)/2)*V126*Y126*VLOOKUP('Données projet'!$B$9,Paramètres!$A$1:$I$89,3,0)*0.475*44/12</f>
        <v>9.2971897618839999E-14</v>
      </c>
      <c r="AC126" s="22">
        <f t="shared" si="57"/>
        <v>3.0920188815793233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0</v>
      </c>
      <c r="AO126" s="59">
        <f t="shared" si="90"/>
        <v>0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1.1856407686592427</v>
      </c>
      <c r="AV126" s="21">
        <f>EXP(-LN(2)/25)*AV125+(1-EXP(-LN(2)/25))/(LN(2)/25)*Calculateur!AQ126*Calculateur!AS126*VLOOKUP('Données projet'!$B$10,Paramètres!$A$1:$I$89,3,0)*0.475*44/12</f>
        <v>0.50413589198139941</v>
      </c>
      <c r="AW126" s="21">
        <f>EXP(-LN(2)/2)*AW125+(1-EXP(-LN(2)/2))/(LN(2)/2)*AQ126*AT126*VLOOKUP('Données projet'!$B$10,Paramètres!$A$1:$I$89,3,0)*0.475*44/12</f>
        <v>7.961331928748173E-14</v>
      </c>
      <c r="AX126" s="21">
        <f t="shared" si="60"/>
        <v>1.6897766606407219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-1.2710188457276673E-13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382.55387448074327</v>
      </c>
      <c r="T127" s="59">
        <f t="shared" si="88"/>
        <v>476.29465646955543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1.6469931380186007</v>
      </c>
      <c r="AA127" s="21">
        <f>EXP(-LN(2)/25)*AA126+(1-EXP(-LN(2)/25))/(LN(2)/25)*Calculateur!V127*Calculateur!X127*VLOOKUP('Données projet'!$B$9,Paramètres!$A$1:$I$89,3,0)*0.475*44/12</f>
        <v>1.3734697399094205</v>
      </c>
      <c r="AB127" s="21">
        <f>EXP(-LN(2)/2)*AB126+(1-EXP(-LN(2)/2))/(LN(2)/2)*V127*Y127*VLOOKUP('Données projet'!$B$9,Paramètres!$A$1:$I$89,3,0)*0.475*44/12</f>
        <v>6.5741059266063192E-14</v>
      </c>
      <c r="AC127" s="22">
        <f t="shared" si="57"/>
        <v>3.0204628779280869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0</v>
      </c>
      <c r="AO127" s="59">
        <f t="shared" si="90"/>
        <v>0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1.1623910763552967</v>
      </c>
      <c r="AV127" s="21">
        <f>EXP(-LN(2)/25)*AV126+(1-EXP(-LN(2)/25))/(LN(2)/25)*Calculateur!AQ127*Calculateur!AS127*VLOOKUP('Données projet'!$B$10,Paramètres!$A$1:$I$89,3,0)*0.475*44/12</f>
        <v>0.49035026950381372</v>
      </c>
      <c r="AW127" s="21">
        <f>EXP(-LN(2)/2)*AW126+(1-EXP(-LN(2)/2))/(LN(2)/2)*AQ127*AT127*VLOOKUP('Données projet'!$B$10,Paramètres!$A$1:$I$89,3,0)*0.475*44/12</f>
        <v>5.6295117940948093E-14</v>
      </c>
      <c r="AX127" s="21">
        <f t="shared" si="60"/>
        <v>1.6527413458591669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-1.2710188457276673E-13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382.55387448074327</v>
      </c>
      <c r="T128" s="59">
        <f t="shared" si="88"/>
        <v>476.29465646955543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1.6146966071486775</v>
      </c>
      <c r="AA128" s="21">
        <f>EXP(-LN(2)/25)*AA127+(1-EXP(-LN(2)/25))/(LN(2)/25)*Calculateur!V128*Calculateur!X128*VLOOKUP('Données projet'!$B$9,Paramètres!$A$1:$I$89,3,0)*0.475*44/12</f>
        <v>1.3359121376439629</v>
      </c>
      <c r="AB128" s="21">
        <f>EXP(-LN(2)/2)*AB127+(1-EXP(-LN(2)/2))/(LN(2)/2)*V128*Y128*VLOOKUP('Données projet'!$B$9,Paramètres!$A$1:$I$89,3,0)*0.475*44/12</f>
        <v>4.6485948809419999E-14</v>
      </c>
      <c r="AC128" s="22">
        <f t="shared" si="57"/>
        <v>2.950608744792687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0</v>
      </c>
      <c r="AO128" s="59">
        <f t="shared" si="90"/>
        <v>0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1.1395972963365191</v>
      </c>
      <c r="AV128" s="21">
        <f>EXP(-LN(2)/25)*AV127+(1-EXP(-LN(2)/25))/(LN(2)/25)*Calculateur!AQ128*Calculateur!AS128*VLOOKUP('Données projet'!$B$10,Paramètres!$A$1:$I$89,3,0)*0.475*44/12</f>
        <v>0.47694161559783199</v>
      </c>
      <c r="AW128" s="21">
        <f>EXP(-LN(2)/2)*AW127+(1-EXP(-LN(2)/2))/(LN(2)/2)*AQ128*AT128*VLOOKUP('Données projet'!$B$10,Paramètres!$A$1:$I$89,3,0)*0.475*44/12</f>
        <v>3.9806659643740871E-14</v>
      </c>
      <c r="AX128" s="21">
        <f t="shared" si="60"/>
        <v>1.6165389119343907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-1.2710188457276673E-13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382.55387448074327</v>
      </c>
      <c r="T129" s="59">
        <f t="shared" si="88"/>
        <v>476.29465646955543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1.5830333915501746</v>
      </c>
      <c r="AA129" s="21">
        <f>EXP(-LN(2)/25)*AA128+(1-EXP(-LN(2)/25))/(LN(2)/25)*Calculateur!V129*Calculateur!X129*VLOOKUP('Données projet'!$B$9,Paramètres!$A$1:$I$89,3,0)*0.475*44/12</f>
        <v>1.2993815499875228</v>
      </c>
      <c r="AB129" s="21">
        <f>EXP(-LN(2)/2)*AB128+(1-EXP(-LN(2)/2))/(LN(2)/2)*V129*Y129*VLOOKUP('Données projet'!$B$9,Paramètres!$A$1:$I$89,3,0)*0.475*44/12</f>
        <v>3.2870529633031596E-14</v>
      </c>
      <c r="AC129" s="22">
        <f t="shared" si="57"/>
        <v>2.8824149415377303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0</v>
      </c>
      <c r="AO129" s="59">
        <f t="shared" si="90"/>
        <v>0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1.1172504884410768</v>
      </c>
      <c r="AV129" s="21">
        <f>EXP(-LN(2)/25)*AV128+(1-EXP(-LN(2)/25))/(LN(2)/25)*Calculateur!AQ129*Calculateur!AS129*VLOOKUP('Données projet'!$B$10,Paramètres!$A$1:$I$89,3,0)*0.475*44/12</f>
        <v>0.46389962203803975</v>
      </c>
      <c r="AW129" s="21">
        <f>EXP(-LN(2)/2)*AW128+(1-EXP(-LN(2)/2))/(LN(2)/2)*AQ129*AT129*VLOOKUP('Données projet'!$B$10,Paramètres!$A$1:$I$89,3,0)*0.475*44/12</f>
        <v>2.814755897047405E-14</v>
      </c>
      <c r="AX129" s="21">
        <f t="shared" si="60"/>
        <v>1.5811501104791448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-1.2710188457276673E-13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382.55387448074327</v>
      </c>
      <c r="T130" s="59">
        <f t="shared" si="88"/>
        <v>476.29465646955543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1.5519910722969039</v>
      </c>
      <c r="AA130" s="21">
        <f>EXP(-LN(2)/25)*AA129+(1-EXP(-LN(2)/25))/(LN(2)/25)*Calculateur!V130*Calculateur!X130*VLOOKUP('Données projet'!$B$9,Paramètres!$A$1:$I$89,3,0)*0.475*44/12</f>
        <v>1.263849893171608</v>
      </c>
      <c r="AB130" s="21">
        <f>EXP(-LN(2)/2)*AB129+(1-EXP(-LN(2)/2))/(LN(2)/2)*V130*Y130*VLOOKUP('Données projet'!$B$9,Paramètres!$A$1:$I$89,3,0)*0.475*44/12</f>
        <v>2.324297440471E-14</v>
      </c>
      <c r="AC130" s="22">
        <f t="shared" si="57"/>
        <v>2.815840965468535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0</v>
      </c>
      <c r="AO130" s="59">
        <f t="shared" si="90"/>
        <v>0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1.095341887818257</v>
      </c>
      <c r="AV130" s="21">
        <f>EXP(-LN(2)/25)*AV129+(1-EXP(-LN(2)/25))/(LN(2)/25)*Calculateur!AQ130*Calculateur!AS130*VLOOKUP('Données projet'!$B$10,Paramètres!$A$1:$I$89,3,0)*0.475*44/12</f>
        <v>0.45121426247798868</v>
      </c>
      <c r="AW130" s="21">
        <f>EXP(-LN(2)/2)*AW129+(1-EXP(-LN(2)/2))/(LN(2)/2)*AQ130*AT130*VLOOKUP('Données projet'!$B$10,Paramètres!$A$1:$I$89,3,0)*0.475*44/12</f>
        <v>1.9903329821870439E-14</v>
      </c>
      <c r="AX130" s="21">
        <f t="shared" si="60"/>
        <v>1.5465561502962657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-1.2710188457276673E-13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382.55387448074327</v>
      </c>
      <c r="T131" s="59">
        <f t="shared" si="88"/>
        <v>476.29465646955543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1.5215574739902447</v>
      </c>
      <c r="AA131" s="21">
        <f>EXP(-LN(2)/25)*AA130+(1-EXP(-LN(2)/25))/(LN(2)/25)*Calculateur!V131*Calculateur!X131*VLOOKUP('Données projet'!$B$9,Paramètres!$A$1:$I$89,3,0)*0.475*44/12</f>
        <v>1.2292898513798531</v>
      </c>
      <c r="AB131" s="21">
        <f>EXP(-LN(2)/2)*AB130+(1-EXP(-LN(2)/2))/(LN(2)/2)*V131*Y131*VLOOKUP('Données projet'!$B$9,Paramètres!$A$1:$I$89,3,0)*0.475*44/12</f>
        <v>1.6435264816515798E-14</v>
      </c>
      <c r="AC131" s="22">
        <f t="shared" si="57"/>
        <v>2.7508473253701142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0</v>
      </c>
      <c r="AO131" s="59">
        <f t="shared" si="90"/>
        <v>0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1.0738629014907239</v>
      </c>
      <c r="AV131" s="21">
        <f>EXP(-LN(2)/25)*AV130+(1-EXP(-LN(2)/25))/(LN(2)/25)*Calculateur!AQ131*Calculateur!AS131*VLOOKUP('Données projet'!$B$10,Paramètres!$A$1:$I$89,3,0)*0.475*44/12</f>
        <v>0.43887578474220129</v>
      </c>
      <c r="AW131" s="21">
        <f>EXP(-LN(2)/2)*AW130+(1-EXP(-LN(2)/2))/(LN(2)/2)*AQ131*AT131*VLOOKUP('Données projet'!$B$10,Paramètres!$A$1:$I$89,3,0)*0.475*44/12</f>
        <v>1.4073779485237028E-14</v>
      </c>
      <c r="AX131" s="21">
        <f t="shared" si="60"/>
        <v>1.5127386862329393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-1.2710188457276673E-13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382.55387448074327</v>
      </c>
      <c r="T132" s="59">
        <f t="shared" si="88"/>
        <v>476.29465646955543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1.4917206599837169</v>
      </c>
      <c r="AA132" s="21">
        <f>EXP(-LN(2)/25)*AA131+(1-EXP(-LN(2)/25))/(LN(2)/25)*Calculateur!V132*Calculateur!X132*VLOOKUP('Données projet'!$B$9,Paramètres!$A$1:$I$89,3,0)*0.475*44/12</f>
        <v>1.1956748557483274</v>
      </c>
      <c r="AB132" s="21">
        <f>EXP(-LN(2)/2)*AB131+(1-EXP(-LN(2)/2))/(LN(2)/2)*V132*Y132*VLOOKUP('Données projet'!$B$9,Paramètres!$A$1:$I$89,3,0)*0.475*44/12</f>
        <v>1.1621487202355E-14</v>
      </c>
      <c r="AC132" s="22">
        <f t="shared" ref="AC132:AC153" si="111">SUM(Z132:AB132)</f>
        <v>2.6873955157320557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0</v>
      </c>
      <c r="AO132" s="59">
        <f t="shared" si="90"/>
        <v>0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1.0528051049841858</v>
      </c>
      <c r="AV132" s="21">
        <f>EXP(-LN(2)/25)*AV131+(1-EXP(-LN(2)/25))/(LN(2)/25)*Calculateur!AQ132*Calculateur!AS132*VLOOKUP('Données projet'!$B$10,Paramètres!$A$1:$I$89,3,0)*0.475*44/12</f>
        <v>0.42687470332895133</v>
      </c>
      <c r="AW132" s="21">
        <f>EXP(-LN(2)/2)*AW131+(1-EXP(-LN(2)/2))/(LN(2)/2)*AQ132*AT132*VLOOKUP('Données projet'!$B$10,Paramètres!$A$1:$I$89,3,0)*0.475*44/12</f>
        <v>9.951664910935221E-15</v>
      </c>
      <c r="AX132" s="21">
        <f t="shared" ref="AX132:AX153" si="114">SUM(AU132:AW132)</f>
        <v>1.479679808313147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-1.2710188457276673E-13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382.55387448074327</v>
      </c>
      <c r="T133" s="59">
        <f t="shared" ref="T133:T196" si="142">$T$3</f>
        <v>476.29465646955543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1.4624689277011977</v>
      </c>
      <c r="AA133" s="21">
        <f>EXP(-LN(2)/25)*AA132+(1-EXP(-LN(2)/25))/(LN(2)/25)*Calculateur!V133*Calculateur!X133*VLOOKUP('Données projet'!$B$9,Paramètres!$A$1:$I$89,3,0)*0.475*44/12</f>
        <v>1.1629790639400814</v>
      </c>
      <c r="AB133" s="21">
        <f>EXP(-LN(2)/2)*AB132+(1-EXP(-LN(2)/2))/(LN(2)/2)*V133*Y133*VLOOKUP('Données projet'!$B$9,Paramètres!$A$1:$I$89,3,0)*0.475*44/12</f>
        <v>8.217632408257899E-15</v>
      </c>
      <c r="AC133" s="22">
        <f t="shared" si="111"/>
        <v>2.6254479916412876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0</v>
      </c>
      <c r="AO133" s="59">
        <f t="shared" ref="AO133:AO196" si="144">$AO$3</f>
        <v>0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1.032160239023153</v>
      </c>
      <c r="AV133" s="21">
        <f>EXP(-LN(2)/25)*AV132+(1-EXP(-LN(2)/25))/(LN(2)/25)*Calculateur!AQ133*Calculateur!AS133*VLOOKUP('Données projet'!$B$10,Paramètres!$A$1:$I$89,3,0)*0.475*44/12</f>
        <v>0.41520179211805613</v>
      </c>
      <c r="AW133" s="21">
        <f>EXP(-LN(2)/2)*AW132+(1-EXP(-LN(2)/2))/(LN(2)/2)*AQ133*AT133*VLOOKUP('Données projet'!$B$10,Paramètres!$A$1:$I$89,3,0)*0.475*44/12</f>
        <v>7.0368897426185148E-15</v>
      </c>
      <c r="AX133" s="21">
        <f t="shared" si="114"/>
        <v>1.4473620311412163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-1.2710188457276673E-13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382.55387448074327</v>
      </c>
      <c r="T134" s="59">
        <f t="shared" si="142"/>
        <v>476.29465646955543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1.4337908040469436</v>
      </c>
      <c r="AA134" s="21">
        <f>EXP(-LN(2)/25)*AA133+(1-EXP(-LN(2)/25))/(LN(2)/25)*Calculateur!V134*Calculateur!X134*VLOOKUP('Données projet'!$B$9,Paramètres!$A$1:$I$89,3,0)*0.475*44/12</f>
        <v>1.131177340278229</v>
      </c>
      <c r="AB134" s="21">
        <f>EXP(-LN(2)/2)*AB133+(1-EXP(-LN(2)/2))/(LN(2)/2)*V134*Y134*VLOOKUP('Données projet'!$B$9,Paramètres!$A$1:$I$89,3,0)*0.475*44/12</f>
        <v>5.8107436011774999E-15</v>
      </c>
      <c r="AC134" s="22">
        <f t="shared" si="111"/>
        <v>2.5649681443251784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0</v>
      </c>
      <c r="AO134" s="59">
        <f t="shared" si="144"/>
        <v>0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1.0119202062914914</v>
      </c>
      <c r="AV134" s="21">
        <f>EXP(-LN(2)/25)*AV133+(1-EXP(-LN(2)/25))/(LN(2)/25)*Calculateur!AQ134*Calculateur!AS134*VLOOKUP('Données projet'!$B$10,Paramètres!$A$1:$I$89,3,0)*0.475*44/12</f>
        <v>0.40384807727807459</v>
      </c>
      <c r="AW134" s="21">
        <f>EXP(-LN(2)/2)*AW133+(1-EXP(-LN(2)/2))/(LN(2)/2)*AQ134*AT134*VLOOKUP('Données projet'!$B$10,Paramètres!$A$1:$I$89,3,0)*0.475*44/12</f>
        <v>4.9758324554676113E-15</v>
      </c>
      <c r="AX134" s="21">
        <f t="shared" si="114"/>
        <v>1.4157682835695709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-1.2710188457276673E-13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382.55387448074327</v>
      </c>
      <c r="T135" s="59">
        <f t="shared" si="142"/>
        <v>476.29465646955543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1.4056750409056211</v>
      </c>
      <c r="AA135" s="21">
        <f>EXP(-LN(2)/25)*AA134+(1-EXP(-LN(2)/25))/(LN(2)/25)*Calculateur!V135*Calculateur!X135*VLOOKUP('Données projet'!$B$9,Paramètres!$A$1:$I$89,3,0)*0.475*44/12</f>
        <v>1.1002452364222899</v>
      </c>
      <c r="AB135" s="21">
        <f>EXP(-LN(2)/2)*AB134+(1-EXP(-LN(2)/2))/(LN(2)/2)*V135*Y135*VLOOKUP('Données projet'!$B$9,Paramètres!$A$1:$I$89,3,0)*0.475*44/12</f>
        <v>4.1088162041289495E-15</v>
      </c>
      <c r="AC135" s="22">
        <f t="shared" si="111"/>
        <v>2.505920277327915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0</v>
      </c>
      <c r="AO135" s="59">
        <f t="shared" si="144"/>
        <v>0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0.99207706825649655</v>
      </c>
      <c r="AV135" s="21">
        <f>EXP(-LN(2)/25)*AV134+(1-EXP(-LN(2)/25))/(LN(2)/25)*Calculateur!AQ135*Calculateur!AS135*VLOOKUP('Données projet'!$B$10,Paramètres!$A$1:$I$89,3,0)*0.475*44/12</f>
        <v>0.39280483036745828</v>
      </c>
      <c r="AW135" s="21">
        <f>EXP(-LN(2)/2)*AW134+(1-EXP(-LN(2)/2))/(LN(2)/2)*AQ135*AT135*VLOOKUP('Données projet'!$B$10,Paramètres!$A$1:$I$89,3,0)*0.475*44/12</f>
        <v>3.5184448713092578E-15</v>
      </c>
      <c r="AX135" s="21">
        <f t="shared" si="114"/>
        <v>1.3848818986239584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-1.2710188457276673E-13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382.55387448074327</v>
      </c>
      <c r="T136" s="59">
        <f t="shared" si="142"/>
        <v>476.29465646955543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1.3781106107305778</v>
      </c>
      <c r="AA136" s="21">
        <f>EXP(-LN(2)/25)*AA135+(1-EXP(-LN(2)/25))/(LN(2)/25)*Calculateur!V136*Calculateur!X136*VLOOKUP('Données projet'!$B$9,Paramètres!$A$1:$I$89,3,0)*0.475*44/12</f>
        <v>1.0701589725729401</v>
      </c>
      <c r="AB136" s="21">
        <f>EXP(-LN(2)/2)*AB135+(1-EXP(-LN(2)/2))/(LN(2)/2)*V136*Y136*VLOOKUP('Données projet'!$B$9,Paramètres!$A$1:$I$89,3,0)*0.475*44/12</f>
        <v>2.90537180058875E-15</v>
      </c>
      <c r="AC136" s="22">
        <f t="shared" si="111"/>
        <v>2.4482695833035213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0</v>
      </c>
      <c r="AO136" s="59">
        <f t="shared" si="144"/>
        <v>0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0.97262304205524897</v>
      </c>
      <c r="AV136" s="21">
        <f>EXP(-LN(2)/25)*AV135+(1-EXP(-LN(2)/25))/(LN(2)/25)*Calculateur!AQ136*Calculateur!AS136*VLOOKUP('Données projet'!$B$10,Paramètres!$A$1:$I$89,3,0)*0.475*44/12</f>
        <v>0.38206356162435184</v>
      </c>
      <c r="AW136" s="21">
        <f>EXP(-LN(2)/2)*AW135+(1-EXP(-LN(2)/2))/(LN(2)/2)*AQ136*AT136*VLOOKUP('Données projet'!$B$10,Paramètres!$A$1:$I$89,3,0)*0.475*44/12</f>
        <v>2.487916227733806E-15</v>
      </c>
      <c r="AX136" s="21">
        <f t="shared" si="114"/>
        <v>1.3546866036796033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-1.2710188457276673E-13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382.55387448074327</v>
      </c>
      <c r="T137" s="59">
        <f t="shared" si="142"/>
        <v>476.29465646955543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1.3510867022186248</v>
      </c>
      <c r="AA137" s="21">
        <f>EXP(-LN(2)/25)*AA136+(1-EXP(-LN(2)/25))/(LN(2)/25)*Calculateur!V137*Calculateur!X137*VLOOKUP('Données projet'!$B$9,Paramètres!$A$1:$I$89,3,0)*0.475*44/12</f>
        <v>1.0408954191907185</v>
      </c>
      <c r="AB137" s="21">
        <f>EXP(-LN(2)/2)*AB136+(1-EXP(-LN(2)/2))/(LN(2)/2)*V137*Y137*VLOOKUP('Données projet'!$B$9,Paramètres!$A$1:$I$89,3,0)*0.475*44/12</f>
        <v>2.0544081020644748E-15</v>
      </c>
      <c r="AC137" s="22">
        <f t="shared" si="111"/>
        <v>2.3919821214093457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0</v>
      </c>
      <c r="AO137" s="59">
        <f t="shared" si="144"/>
        <v>0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0.95355049744202347</v>
      </c>
      <c r="AV137" s="21">
        <f>EXP(-LN(2)/25)*AV136+(1-EXP(-LN(2)/25))/(LN(2)/25)*Calculateur!AQ137*Calculateur!AS137*VLOOKUP('Données projet'!$B$10,Paramètres!$A$1:$I$89,3,0)*0.475*44/12</f>
        <v>0.37161601343988443</v>
      </c>
      <c r="AW137" s="21">
        <f>EXP(-LN(2)/2)*AW136+(1-EXP(-LN(2)/2))/(LN(2)/2)*AQ137*AT137*VLOOKUP('Données projet'!$B$10,Paramètres!$A$1:$I$89,3,0)*0.475*44/12</f>
        <v>1.7592224356546293E-15</v>
      </c>
      <c r="AX137" s="21">
        <f t="shared" si="114"/>
        <v>1.3251665108819097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-1.2710188457276673E-13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382.55387448074327</v>
      </c>
      <c r="T138" s="59">
        <f t="shared" si="142"/>
        <v>476.29465646955543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1.3245927160696347</v>
      </c>
      <c r="AA138" s="21">
        <f>EXP(-LN(2)/25)*AA137+(1-EXP(-LN(2)/25))/(LN(2)/25)*Calculateur!V138*Calculateur!X138*VLOOKUP('Données projet'!$B$9,Paramètres!$A$1:$I$89,3,0)*0.475*44/12</f>
        <v>1.0124320792146373</v>
      </c>
      <c r="AB138" s="21">
        <f>EXP(-LN(2)/2)*AB137+(1-EXP(-LN(2)/2))/(LN(2)/2)*V138*Y138*VLOOKUP('Données projet'!$B$9,Paramètres!$A$1:$I$89,3,0)*0.475*44/12</f>
        <v>1.452685900294375E-15</v>
      </c>
      <c r="AC138" s="22">
        <f t="shared" si="111"/>
        <v>2.3370247952842731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0</v>
      </c>
      <c r="AO138" s="59">
        <f t="shared" si="144"/>
        <v>0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0.93485195379555974</v>
      </c>
      <c r="AV138" s="21">
        <f>EXP(-LN(2)/25)*AV137+(1-EXP(-LN(2)/25))/(LN(2)/25)*Calculateur!AQ138*Calculateur!AS138*VLOOKUP('Données projet'!$B$10,Paramètres!$A$1:$I$89,3,0)*0.475*44/12</f>
        <v>0.36145415400993397</v>
      </c>
      <c r="AW138" s="21">
        <f>EXP(-LN(2)/2)*AW137+(1-EXP(-LN(2)/2))/(LN(2)/2)*AQ138*AT138*VLOOKUP('Données projet'!$B$10,Paramètres!$A$1:$I$89,3,0)*0.475*44/12</f>
        <v>1.2439581138669032E-15</v>
      </c>
      <c r="AX138" s="21">
        <f t="shared" si="114"/>
        <v>1.2963061078054952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-1.2710188457276673E-13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382.55387448074327</v>
      </c>
      <c r="T139" s="59">
        <f t="shared" si="142"/>
        <v>476.29465646955543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1.2986182608292902</v>
      </c>
      <c r="AA139" s="21">
        <f>EXP(-LN(2)/25)*AA138+(1-EXP(-LN(2)/25))/(LN(2)/25)*Calculateur!V139*Calculateur!X139*VLOOKUP('Données projet'!$B$9,Paramètres!$A$1:$I$89,3,0)*0.475*44/12</f>
        <v>0.98474707076702395</v>
      </c>
      <c r="AB139" s="21">
        <f>EXP(-LN(2)/2)*AB138+(1-EXP(-LN(2)/2))/(LN(2)/2)*V139*Y139*VLOOKUP('Données projet'!$B$9,Paramètres!$A$1:$I$89,3,0)*0.475*44/12</f>
        <v>1.0272040510322374E-15</v>
      </c>
      <c r="AC139" s="22">
        <f t="shared" si="111"/>
        <v>2.2833653315963152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0</v>
      </c>
      <c r="AO139" s="59">
        <f t="shared" si="144"/>
        <v>0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0.91652007718501771</v>
      </c>
      <c r="AV139" s="21">
        <f>EXP(-LN(2)/25)*AV138+(1-EXP(-LN(2)/25))/(LN(2)/25)*Calculateur!AQ139*Calculateur!AS139*VLOOKUP('Données projet'!$B$10,Paramètres!$A$1:$I$89,3,0)*0.475*44/12</f>
        <v>0.3515701711604845</v>
      </c>
      <c r="AW139" s="21">
        <f>EXP(-LN(2)/2)*AW138+(1-EXP(-LN(2)/2))/(LN(2)/2)*AQ139*AT139*VLOOKUP('Données projet'!$B$10,Paramètres!$A$1:$I$89,3,0)*0.475*44/12</f>
        <v>8.7961121782731475E-16</v>
      </c>
      <c r="AX139" s="21">
        <f t="shared" si="114"/>
        <v>1.2680902483455032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-1.2710188457276673E-13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382.55387448074327</v>
      </c>
      <c r="T140" s="59">
        <f t="shared" si="142"/>
        <v>476.29465646955543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1.2731531488133556</v>
      </c>
      <c r="AA140" s="21">
        <f>EXP(-LN(2)/25)*AA139+(1-EXP(-LN(2)/25))/(LN(2)/25)*Calculateur!V140*Calculateur!X140*VLOOKUP('Données projet'!$B$9,Paramètres!$A$1:$I$89,3,0)*0.475*44/12</f>
        <v>0.95781911033130185</v>
      </c>
      <c r="AB140" s="21">
        <f>EXP(-LN(2)/2)*AB139+(1-EXP(-LN(2)/2))/(LN(2)/2)*V140*Y140*VLOOKUP('Données projet'!$B$9,Paramètres!$A$1:$I$89,3,0)*0.475*44/12</f>
        <v>7.2634295014718749E-16</v>
      </c>
      <c r="AC140" s="22">
        <f t="shared" si="111"/>
        <v>2.2309722591446581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0</v>
      </c>
      <c r="AO140" s="59">
        <f t="shared" si="144"/>
        <v>0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0.89854767749346776</v>
      </c>
      <c r="AV140" s="21">
        <f>EXP(-LN(2)/25)*AV139+(1-EXP(-LN(2)/25))/(LN(2)/25)*Calculateur!AQ140*Calculateur!AS140*VLOOKUP('Données projet'!$B$10,Paramètres!$A$1:$I$89,3,0)*0.475*44/12</f>
        <v>0.3419564663418293</v>
      </c>
      <c r="AW140" s="21">
        <f>EXP(-LN(2)/2)*AW139+(1-EXP(-LN(2)/2))/(LN(2)/2)*AQ140*AT140*VLOOKUP('Données projet'!$B$10,Paramètres!$A$1:$I$89,3,0)*0.475*44/12</f>
        <v>6.2197905693345171E-16</v>
      </c>
      <c r="AX140" s="21">
        <f t="shared" si="114"/>
        <v>1.2405041438352977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-1.2710188457276673E-13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382.55387448074327</v>
      </c>
      <c r="T141" s="59">
        <f t="shared" si="142"/>
        <v>476.29465646955543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1.2481873921118689</v>
      </c>
      <c r="AA141" s="21">
        <f>EXP(-LN(2)/25)*AA140+(1-EXP(-LN(2)/25))/(LN(2)/25)*Calculateur!V141*Calculateur!X141*VLOOKUP('Données projet'!$B$9,Paramètres!$A$1:$I$89,3,0)*0.475*44/12</f>
        <v>0.93162749638977449</v>
      </c>
      <c r="AB141" s="21">
        <f>EXP(-LN(2)/2)*AB140+(1-EXP(-LN(2)/2))/(LN(2)/2)*V141*Y141*VLOOKUP('Données projet'!$B$9,Paramètres!$A$1:$I$89,3,0)*0.475*44/12</f>
        <v>5.1360202551611869E-16</v>
      </c>
      <c r="AC141" s="22">
        <f t="shared" si="111"/>
        <v>2.1798148885016437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0</v>
      </c>
      <c r="AO141" s="59">
        <f t="shared" si="144"/>
        <v>0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0.88092770559778766</v>
      </c>
      <c r="AV141" s="21">
        <f>EXP(-LN(2)/25)*AV140+(1-EXP(-LN(2)/25))/(LN(2)/25)*Calculateur!AQ141*Calculateur!AS141*VLOOKUP('Données projet'!$B$10,Paramètres!$A$1:$I$89,3,0)*0.475*44/12</f>
        <v>0.33260564878700294</v>
      </c>
      <c r="AW141" s="21">
        <f>EXP(-LN(2)/2)*AW140+(1-EXP(-LN(2)/2))/(LN(2)/2)*AQ141*AT141*VLOOKUP('Données projet'!$B$10,Paramètres!$A$1:$I$89,3,0)*0.475*44/12</f>
        <v>4.3980560891365747E-16</v>
      </c>
      <c r="AX141" s="21">
        <f t="shared" si="114"/>
        <v>1.213533354384791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-1.2710188457276673E-13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382.55387448074327</v>
      </c>
      <c r="T142" s="59">
        <f t="shared" si="142"/>
        <v>476.29465646955543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1.2237111986716904</v>
      </c>
      <c r="AA142" s="21">
        <f>EXP(-LN(2)/25)*AA141+(1-EXP(-LN(2)/25))/(LN(2)/25)*Calculateur!V142*Calculateur!X142*VLOOKUP('Données projet'!$B$9,Paramètres!$A$1:$I$89,3,0)*0.475*44/12</f>
        <v>0.9061520935088353</v>
      </c>
      <c r="AB142" s="21">
        <f>EXP(-LN(2)/2)*AB141+(1-EXP(-LN(2)/2))/(LN(2)/2)*V142*Y142*VLOOKUP('Données projet'!$B$9,Paramètres!$A$1:$I$89,3,0)*0.475*44/12</f>
        <v>3.6317147507359374E-16</v>
      </c>
      <c r="AC142" s="22">
        <f t="shared" si="111"/>
        <v>2.1298632921805263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0</v>
      </c>
      <c r="AO142" s="59">
        <f t="shared" si="144"/>
        <v>0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0.86365325060386022</v>
      </c>
      <c r="AV142" s="21">
        <f>EXP(-LN(2)/25)*AV141+(1-EXP(-LN(2)/25))/(LN(2)/25)*Calculateur!AQ142*Calculateur!AS142*VLOOKUP('Données projet'!$B$10,Paramètres!$A$1:$I$89,3,0)*0.475*44/12</f>
        <v>0.32351052982995143</v>
      </c>
      <c r="AW142" s="21">
        <f>EXP(-LN(2)/2)*AW141+(1-EXP(-LN(2)/2))/(LN(2)/2)*AQ142*AT142*VLOOKUP('Données projet'!$B$10,Paramètres!$A$1:$I$89,3,0)*0.475*44/12</f>
        <v>3.109895284667259E-16</v>
      </c>
      <c r="AX142" s="21">
        <f t="shared" si="114"/>
        <v>1.187163780433812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-1.2710188457276673E-13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382.55387448074327</v>
      </c>
      <c r="T143" s="59">
        <f t="shared" si="142"/>
        <v>476.29465646955543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1.1997149684558699</v>
      </c>
      <c r="AA143" s="21">
        <f>EXP(-LN(2)/25)*AA142+(1-EXP(-LN(2)/25))/(LN(2)/25)*Calculateur!V143*Calculateur!X143*VLOOKUP('Données projet'!$B$9,Paramètres!$A$1:$I$89,3,0)*0.475*44/12</f>
        <v>0.88137331685936859</v>
      </c>
      <c r="AB143" s="21">
        <f>EXP(-LN(2)/2)*AB142+(1-EXP(-LN(2)/2))/(LN(2)/2)*V143*Y143*VLOOKUP('Données projet'!$B$9,Paramètres!$A$1:$I$89,3,0)*0.475*44/12</f>
        <v>2.5680101275805935E-16</v>
      </c>
      <c r="AC143" s="22">
        <f t="shared" si="111"/>
        <v>2.0810882853152388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0</v>
      </c>
      <c r="AO143" s="59">
        <f t="shared" si="144"/>
        <v>0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0.84671753713598652</v>
      </c>
      <c r="AV143" s="21">
        <f>EXP(-LN(2)/25)*AV142+(1-EXP(-LN(2)/25))/(LN(2)/25)*Calculateur!AQ143*Calculateur!AS143*VLOOKUP('Données projet'!$B$10,Paramètres!$A$1:$I$89,3,0)*0.475*44/12</f>
        <v>0.31466411737907202</v>
      </c>
      <c r="AW143" s="21">
        <f>EXP(-LN(2)/2)*AW142+(1-EXP(-LN(2)/2))/(LN(2)/2)*AQ143*AT143*VLOOKUP('Données projet'!$B$10,Paramètres!$A$1:$I$89,3,0)*0.475*44/12</f>
        <v>2.1990280445682876E-16</v>
      </c>
      <c r="AX143" s="21">
        <f t="shared" si="114"/>
        <v>1.1613816545150588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-1.2710188457276673E-13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382.55387448074327</v>
      </c>
      <c r="T144" s="59">
        <f t="shared" si="142"/>
        <v>476.29465646955543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1.1761892896783264</v>
      </c>
      <c r="AA144" s="21">
        <f>EXP(-LN(2)/25)*AA143+(1-EXP(-LN(2)/25))/(LN(2)/25)*Calculateur!V144*Calculateur!X144*VLOOKUP('Données projet'!$B$9,Paramètres!$A$1:$I$89,3,0)*0.475*44/12</f>
        <v>0.85727211716044083</v>
      </c>
      <c r="AB144" s="21">
        <f>EXP(-LN(2)/2)*AB143+(1-EXP(-LN(2)/2))/(LN(2)/2)*V144*Y144*VLOOKUP('Données projet'!$B$9,Paramètres!$A$1:$I$89,3,0)*0.475*44/12</f>
        <v>1.8158573753679687E-16</v>
      </c>
      <c r="AC144" s="22">
        <f t="shared" si="111"/>
        <v>2.0334614068387671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0</v>
      </c>
      <c r="AO144" s="59">
        <f t="shared" si="144"/>
        <v>0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0.83011392267945261</v>
      </c>
      <c r="AV144" s="21">
        <f>EXP(-LN(2)/25)*AV143+(1-EXP(-LN(2)/25))/(LN(2)/25)*Calculateur!AQ144*Calculateur!AS144*VLOOKUP('Données projet'!$B$10,Paramètres!$A$1:$I$89,3,0)*0.475*44/12</f>
        <v>0.30605961054187453</v>
      </c>
      <c r="AW144" s="21">
        <f>EXP(-LN(2)/2)*AW143+(1-EXP(-LN(2)/2))/(LN(2)/2)*AQ144*AT144*VLOOKUP('Données projet'!$B$10,Paramètres!$A$1:$I$89,3,0)*0.475*44/12</f>
        <v>1.5549476423336298E-16</v>
      </c>
      <c r="AX144" s="21">
        <f t="shared" si="114"/>
        <v>1.1361735332213274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-1.2710188457276673E-13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382.55387448074327</v>
      </c>
      <c r="T145" s="59">
        <f t="shared" si="142"/>
        <v>476.29465646955543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1.1531249351123634</v>
      </c>
      <c r="AA145" s="21">
        <f>EXP(-LN(2)/25)*AA144+(1-EXP(-LN(2)/25))/(LN(2)/25)*Calculateur!V145*Calculateur!X145*VLOOKUP('Données projet'!$B$9,Paramètres!$A$1:$I$89,3,0)*0.475*44/12</f>
        <v>0.83382996603470727</v>
      </c>
      <c r="AB145" s="21">
        <f>EXP(-LN(2)/2)*AB144+(1-EXP(-LN(2)/2))/(LN(2)/2)*V145*Y145*VLOOKUP('Données projet'!$B$9,Paramètres!$A$1:$I$89,3,0)*0.475*44/12</f>
        <v>1.2840050637902967E-16</v>
      </c>
      <c r="AC145" s="22">
        <f t="shared" si="111"/>
        <v>1.9869549011470709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0</v>
      </c>
      <c r="AO145" s="59">
        <f t="shared" si="144"/>
        <v>0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0.81383589497520648</v>
      </c>
      <c r="AV145" s="21">
        <f>EXP(-LN(2)/25)*AV144+(1-EXP(-LN(2)/25))/(LN(2)/25)*Calculateur!AQ145*Calculateur!AS145*VLOOKUP('Données projet'!$B$10,Paramètres!$A$1:$I$89,3,0)*0.475*44/12</f>
        <v>0.29769039439663159</v>
      </c>
      <c r="AW145" s="21">
        <f>EXP(-LN(2)/2)*AW144+(1-EXP(-LN(2)/2))/(LN(2)/2)*AQ145*AT145*VLOOKUP('Données projet'!$B$10,Paramètres!$A$1:$I$89,3,0)*0.475*44/12</f>
        <v>1.0995140222841439E-16</v>
      </c>
      <c r="AX145" s="21">
        <f t="shared" si="114"/>
        <v>1.1115262893718381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-1.2710188457276673E-13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382.55387448074327</v>
      </c>
      <c r="T146" s="59">
        <f t="shared" si="142"/>
        <v>476.29465646955543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1.1305128584715716</v>
      </c>
      <c r="AA146" s="21">
        <f>EXP(-LN(2)/25)*AA145+(1-EXP(-LN(2)/25))/(LN(2)/25)*Calculateur!V146*Calculateur!X146*VLOOKUP('Données projet'!$B$9,Paramètres!$A$1:$I$89,3,0)*0.475*44/12</f>
        <v>0.81102884176427603</v>
      </c>
      <c r="AB146" s="21">
        <f>EXP(-LN(2)/2)*AB145+(1-EXP(-LN(2)/2))/(LN(2)/2)*V146*Y146*VLOOKUP('Données projet'!$B$9,Paramètres!$A$1:$I$89,3,0)*0.475*44/12</f>
        <v>9.0792868768398436E-17</v>
      </c>
      <c r="AC146" s="22">
        <f t="shared" si="111"/>
        <v>1.9415417002358475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0</v>
      </c>
      <c r="AO146" s="59">
        <f t="shared" si="144"/>
        <v>0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0.79787706946562409</v>
      </c>
      <c r="AV146" s="21">
        <f>EXP(-LN(2)/25)*AV145+(1-EXP(-LN(2)/25))/(LN(2)/25)*Calculateur!AQ146*Calculateur!AS146*VLOOKUP('Données projet'!$B$10,Paramètres!$A$1:$I$89,3,0)*0.475*44/12</f>
        <v>0.28955003490699821</v>
      </c>
      <c r="AW146" s="21">
        <f>EXP(-LN(2)/2)*AW145+(1-EXP(-LN(2)/2))/(LN(2)/2)*AQ146*AT146*VLOOKUP('Données projet'!$B$10,Paramètres!$A$1:$I$89,3,0)*0.475*44/12</f>
        <v>7.77473821166815E-17</v>
      </c>
      <c r="AX146" s="21">
        <f t="shared" si="114"/>
        <v>1.0874271043726222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-1.2710188457276673E-13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382.55387448074327</v>
      </c>
      <c r="T147" s="59">
        <f t="shared" si="142"/>
        <v>476.29465646955543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1.1083441908617009</v>
      </c>
      <c r="AA147" s="21">
        <f>EXP(-LN(2)/25)*AA146+(1-EXP(-LN(2)/25))/(LN(2)/25)*Calculateur!V147*Calculateur!X147*VLOOKUP('Données projet'!$B$9,Paramètres!$A$1:$I$89,3,0)*0.475*44/12</f>
        <v>0.78885121543607872</v>
      </c>
      <c r="AB147" s="21">
        <f>EXP(-LN(2)/2)*AB146+(1-EXP(-LN(2)/2))/(LN(2)/2)*V147*Y147*VLOOKUP('Données projet'!$B$9,Paramètres!$A$1:$I$89,3,0)*0.475*44/12</f>
        <v>6.4200253189514836E-17</v>
      </c>
      <c r="AC147" s="22">
        <f t="shared" si="111"/>
        <v>1.8971954062977796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0</v>
      </c>
      <c r="AO147" s="59">
        <f t="shared" si="144"/>
        <v>0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0.78223118679036219</v>
      </c>
      <c r="AV147" s="21">
        <f>EXP(-LN(2)/25)*AV146+(1-EXP(-LN(2)/25))/(LN(2)/25)*Calculateur!AQ147*Calculateur!AS147*VLOOKUP('Données projet'!$B$10,Paramètres!$A$1:$I$89,3,0)*0.475*44/12</f>
        <v>0.28163227397569179</v>
      </c>
      <c r="AW147" s="21">
        <f>EXP(-LN(2)/2)*AW146+(1-EXP(-LN(2)/2))/(LN(2)/2)*AQ147*AT147*VLOOKUP('Données projet'!$B$10,Paramètres!$A$1:$I$89,3,0)*0.475*44/12</f>
        <v>5.4975701114207209E-17</v>
      </c>
      <c r="AX147" s="21">
        <f t="shared" si="114"/>
        <v>1.063863460766054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-1.2710188457276673E-13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382.55387448074327</v>
      </c>
      <c r="T148" s="59">
        <f t="shared" si="142"/>
        <v>476.29465646955543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1.0866102373021076</v>
      </c>
      <c r="AA148" s="21">
        <f>EXP(-LN(2)/25)*AA147+(1-EXP(-LN(2)/25))/(LN(2)/25)*Calculateur!V148*Calculateur!X148*VLOOKUP('Données projet'!$B$9,Paramètres!$A$1:$I$89,3,0)*0.475*44/12</f>
        <v>0.76728003746609663</v>
      </c>
      <c r="AB148" s="21">
        <f>EXP(-LN(2)/2)*AB147+(1-EXP(-LN(2)/2))/(LN(2)/2)*V148*Y148*VLOOKUP('Données projet'!$B$9,Paramètres!$A$1:$I$89,3,0)*0.475*44/12</f>
        <v>4.5396434384199218E-17</v>
      </c>
      <c r="AC148" s="22">
        <f t="shared" si="111"/>
        <v>1.8538902747682042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0</v>
      </c>
      <c r="AO148" s="59">
        <f t="shared" si="144"/>
        <v>0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0.76689211033131599</v>
      </c>
      <c r="AV148" s="21">
        <f>EXP(-LN(2)/25)*AV147+(1-EXP(-LN(2)/25))/(LN(2)/25)*Calculateur!AQ148*Calculateur!AS148*VLOOKUP('Données projet'!$B$10,Paramètres!$A$1:$I$89,3,0)*0.475*44/12</f>
        <v>0.27393102463342889</v>
      </c>
      <c r="AW148" s="21">
        <f>EXP(-LN(2)/2)*AW147+(1-EXP(-LN(2)/2))/(LN(2)/2)*AQ148*AT148*VLOOKUP('Données projet'!$B$10,Paramètres!$A$1:$I$89,3,0)*0.475*44/12</f>
        <v>3.8873691058340756E-17</v>
      </c>
      <c r="AX148" s="21">
        <f t="shared" si="114"/>
        <v>1.0408231349647448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-1.2710188457276673E-13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382.55387448074327</v>
      </c>
      <c r="T149" s="59">
        <f t="shared" si="142"/>
        <v>476.29465646955543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1.0653024733154153</v>
      </c>
      <c r="AA149" s="21">
        <f>EXP(-LN(2)/25)*AA148+(1-EXP(-LN(2)/25))/(LN(2)/25)*Calculateur!V149*Calculateur!X149*VLOOKUP('Données projet'!$B$9,Paramètres!$A$1:$I$89,3,0)*0.475*44/12</f>
        <v>0.74629872449208268</v>
      </c>
      <c r="AB149" s="21">
        <f>EXP(-LN(2)/2)*AB148+(1-EXP(-LN(2)/2))/(LN(2)/2)*V149*Y149*VLOOKUP('Données projet'!$B$9,Paramètres!$A$1:$I$89,3,0)*0.475*44/12</f>
        <v>3.2100126594757418E-17</v>
      </c>
      <c r="AC149" s="22">
        <f t="shared" si="111"/>
        <v>1.811601197807498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0</v>
      </c>
      <c r="AO149" s="59">
        <f t="shared" si="144"/>
        <v>0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0.75185382380571897</v>
      </c>
      <c r="AV149" s="21">
        <f>EXP(-LN(2)/25)*AV148+(1-EXP(-LN(2)/25))/(LN(2)/25)*Calculateur!AQ149*Calculateur!AS149*VLOOKUP('Données projet'!$B$10,Paramètres!$A$1:$I$89,3,0)*0.475*44/12</f>
        <v>0.26644036635942125</v>
      </c>
      <c r="AW149" s="21">
        <f>EXP(-LN(2)/2)*AW148+(1-EXP(-LN(2)/2))/(LN(2)/2)*AQ149*AT149*VLOOKUP('Données projet'!$B$10,Paramètres!$A$1:$I$89,3,0)*0.475*44/12</f>
        <v>2.7487850557103607E-17</v>
      </c>
      <c r="AX149" s="21">
        <f t="shared" si="114"/>
        <v>1.0182941901651401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-1.2710188457276673E-13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382.55387448074327</v>
      </c>
      <c r="T150" s="59">
        <f t="shared" si="142"/>
        <v>476.29465646955543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1.0444125415840493</v>
      </c>
      <c r="AA150" s="21">
        <f>EXP(-LN(2)/25)*AA149+(1-EXP(-LN(2)/25))/(LN(2)/25)*Calculateur!V150*Calculateur!X150*VLOOKUP('Données projet'!$B$9,Paramètres!$A$1:$I$89,3,0)*0.475*44/12</f>
        <v>0.72589114662470244</v>
      </c>
      <c r="AB150" s="21">
        <f>EXP(-LN(2)/2)*AB149+(1-EXP(-LN(2)/2))/(LN(2)/2)*V150*Y150*VLOOKUP('Données projet'!$B$9,Paramètres!$A$1:$I$89,3,0)*0.475*44/12</f>
        <v>2.2698217192099609E-17</v>
      </c>
      <c r="AC150" s="22">
        <f t="shared" si="111"/>
        <v>1.7703036882087517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0</v>
      </c>
      <c r="AO150" s="59">
        <f t="shared" si="144"/>
        <v>0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0.73711042890643974</v>
      </c>
      <c r="AV150" s="21">
        <f>EXP(-LN(2)/25)*AV149+(1-EXP(-LN(2)/25))/(LN(2)/25)*Calculateur!AQ150*Calculateur!AS150*VLOOKUP('Données projet'!$B$10,Paramètres!$A$1:$I$89,3,0)*0.475*44/12</f>
        <v>0.25915454052983294</v>
      </c>
      <c r="AW150" s="21">
        <f>EXP(-LN(2)/2)*AW149+(1-EXP(-LN(2)/2))/(LN(2)/2)*AQ150*AT150*VLOOKUP('Données projet'!$B$10,Paramètres!$A$1:$I$89,3,0)*0.475*44/12</f>
        <v>1.9436845529170381E-17</v>
      </c>
      <c r="AX150" s="21">
        <f t="shared" si="114"/>
        <v>0.99626496943627263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-1.2710188457276673E-13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382.55387448074327</v>
      </c>
      <c r="T151" s="59">
        <f t="shared" si="142"/>
        <v>476.29465646955543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1.023932248672335</v>
      </c>
      <c r="AA151" s="21">
        <f>EXP(-LN(2)/25)*AA150+(1-EXP(-LN(2)/25))/(LN(2)/25)*Calculateur!V151*Calculateur!X151*VLOOKUP('Données projet'!$B$9,Paramètres!$A$1:$I$89,3,0)*0.475*44/12</f>
        <v>0.70604161504729357</v>
      </c>
      <c r="AB151" s="21">
        <f>EXP(-LN(2)/2)*AB150+(1-EXP(-LN(2)/2))/(LN(2)/2)*V151*Y151*VLOOKUP('Données projet'!$B$9,Paramètres!$A$1:$I$89,3,0)*0.475*44/12</f>
        <v>1.6050063297378709E-17</v>
      </c>
      <c r="AC151" s="22">
        <f t="shared" si="111"/>
        <v>1.7299738637196285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0</v>
      </c>
      <c r="AO151" s="59">
        <f t="shared" si="144"/>
        <v>0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0.72265614298855252</v>
      </c>
      <c r="AV151" s="21">
        <f>EXP(-LN(2)/25)*AV150+(1-EXP(-LN(2)/25))/(LN(2)/25)*Calculateur!AQ151*Calculateur!AS151*VLOOKUP('Données projet'!$B$10,Paramètres!$A$1:$I$89,3,0)*0.475*44/12</f>
        <v>0.2520679459906997</v>
      </c>
      <c r="AW151" s="21">
        <f>EXP(-LN(2)/2)*AW150+(1-EXP(-LN(2)/2))/(LN(2)/2)*AQ151*AT151*VLOOKUP('Données projet'!$B$10,Paramètres!$A$1:$I$89,3,0)*0.475*44/12</f>
        <v>1.3743925278551807E-17</v>
      </c>
      <c r="AX151" s="21">
        <f t="shared" si="114"/>
        <v>0.97472408897925222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-1.2710188457276673E-13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382.55387448074327</v>
      </c>
      <c r="T152" s="59">
        <f t="shared" si="142"/>
        <v>476.29465646955543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1.0038535618128743</v>
      </c>
      <c r="AA152" s="21">
        <f>EXP(-LN(2)/25)*AA151+(1-EXP(-LN(2)/25))/(LN(2)/25)*Calculateur!V152*Calculateur!X152*VLOOKUP('Données projet'!$B$9,Paramètres!$A$1:$I$89,3,0)*0.475*44/12</f>
        <v>0.68673486995471045</v>
      </c>
      <c r="AB152" s="21">
        <f>EXP(-LN(2)/2)*AB151+(1-EXP(-LN(2)/2))/(LN(2)/2)*V152*Y152*VLOOKUP('Données projet'!$B$9,Paramètres!$A$1:$I$89,3,0)*0.475*44/12</f>
        <v>1.1349108596049805E-17</v>
      </c>
      <c r="AC152" s="22">
        <f t="shared" si="111"/>
        <v>1.6905884317675848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0</v>
      </c>
      <c r="AO152" s="59">
        <f t="shared" si="144"/>
        <v>0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0.70848529680127115</v>
      </c>
      <c r="AV152" s="21">
        <f>EXP(-LN(2)/25)*AV151+(1-EXP(-LN(2)/25))/(LN(2)/25)*Calculateur!AQ152*Calculateur!AS152*VLOOKUP('Données projet'!$B$10,Paramètres!$A$1:$I$89,3,0)*0.475*44/12</f>
        <v>0.24517513475190686</v>
      </c>
      <c r="AW152" s="21">
        <f>EXP(-LN(2)/2)*AW151+(1-EXP(-LN(2)/2))/(LN(2)/2)*AQ152*AT152*VLOOKUP('Données projet'!$B$10,Paramètres!$A$1:$I$89,3,0)*0.475*44/12</f>
        <v>9.7184227645851922E-18</v>
      </c>
      <c r="AX152" s="21">
        <f t="shared" si="114"/>
        <v>0.95366043155317803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-1.2710188457276673E-13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382.55387448074327</v>
      </c>
      <c r="T153" s="59">
        <f t="shared" si="142"/>
        <v>476.29465646955543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0.9841686057559379</v>
      </c>
      <c r="AA153" s="21">
        <f>EXP(-LN(2)/25)*AA152+(1-EXP(-LN(2)/25))/(LN(2)/25)*Calculateur!V153*Calculateur!X153*VLOOKUP('Données projet'!$B$9,Paramètres!$A$1:$I$89,3,0)*0.475*44/12</f>
        <v>0.66795606882198166</v>
      </c>
      <c r="AB153" s="21">
        <f>EXP(-LN(2)/2)*AB152+(1-EXP(-LN(2)/2))/(LN(2)/2)*V153*Y153*VLOOKUP('Données projet'!$B$9,Paramètres!$A$1:$I$89,3,0)*0.475*44/12</f>
        <v>8.0250316486893545E-18</v>
      </c>
      <c r="AC153" s="22">
        <f t="shared" si="111"/>
        <v>1.6521246745779194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0</v>
      </c>
      <c r="AO153" s="59">
        <f t="shared" si="144"/>
        <v>0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0.69459233226435968</v>
      </c>
      <c r="AV153" s="21">
        <f>EXP(-LN(2)/25)*AV152+(1-EXP(-LN(2)/25))/(LN(2)/25)*Calculateur!AQ153*Calculateur!AS153*VLOOKUP('Données projet'!$B$10,Paramètres!$A$1:$I$89,3,0)*0.475*44/12</f>
        <v>0.238470807798916</v>
      </c>
      <c r="AW153" s="21">
        <f>EXP(-LN(2)/2)*AW152+(1-EXP(-LN(2)/2))/(LN(2)/2)*AQ153*AT153*VLOOKUP('Données projet'!$B$10,Paramètres!$A$1:$I$89,3,0)*0.475*44/12</f>
        <v>6.8719626392759042E-18</v>
      </c>
      <c r="AX153" s="21">
        <f t="shared" si="114"/>
        <v>0.93306314006327562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-1.2710188457276673E-13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382.55387448074327</v>
      </c>
      <c r="T154" s="59">
        <f t="shared" si="142"/>
        <v>476.29465646955543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0.96486965968064042</v>
      </c>
      <c r="AA154" s="21">
        <f>EXP(-LN(2)/25)*AA153+(1-EXP(-LN(2)/25))/(LN(2)/25)*Calculateur!V154*Calculateur!X154*VLOOKUP('Données projet'!$B$9,Paramètres!$A$1:$I$89,3,0)*0.475*44/12</f>
        <v>0.6496907749937616</v>
      </c>
      <c r="AB154" s="21">
        <f>EXP(-LN(2)/2)*AB153+(1-EXP(-LN(2)/2))/(LN(2)/2)*V154*Y154*VLOOKUP('Données projet'!$B$9,Paramètres!$A$1:$I$89,3,0)*0.475*44/12</f>
        <v>5.6745542980249023E-18</v>
      </c>
      <c r="AC154" s="22">
        <f t="shared" ref="AC154:AC203" si="163">SUM(Z154:AB154)</f>
        <v>1.614560434674402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0</v>
      </c>
      <c r="AO154" s="59">
        <f t="shared" si="144"/>
        <v>0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0.68097180028814541</v>
      </c>
      <c r="AV154" s="21">
        <f>EXP(-LN(2)/25)*AV153+(1-EXP(-LN(2)/25))/(LN(2)/25)*Calculateur!AQ154*Calculateur!AS154*VLOOKUP('Données projet'!$B$10,Paramètres!$A$1:$I$89,3,0)*0.475*44/12</f>
        <v>0.23194981101901987</v>
      </c>
      <c r="AW154" s="21">
        <f>EXP(-LN(2)/2)*AW153+(1-EXP(-LN(2)/2))/(LN(2)/2)*AQ154*AT154*VLOOKUP('Données projet'!$B$10,Paramètres!$A$1:$I$89,3,0)*0.475*44/12</f>
        <v>4.8592113822925969E-18</v>
      </c>
      <c r="AX154" s="21">
        <f t="shared" ref="AX154:AX203" si="166">SUM(AU154:AW154)</f>
        <v>0.91292161130716531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-1.2710188457276673E-13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382.55387448074327</v>
      </c>
      <c r="T155" s="59">
        <f t="shared" si="142"/>
        <v>476.29465646955543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0.94594915416668468</v>
      </c>
      <c r="AA155" s="21">
        <f>EXP(-LN(2)/25)*AA154+(1-EXP(-LN(2)/25))/(LN(2)/25)*Calculateur!V155*Calculateur!X155*VLOOKUP('Données projet'!$B$9,Paramètres!$A$1:$I$89,3,0)*0.475*44/12</f>
        <v>0.63192494658580423</v>
      </c>
      <c r="AB155" s="21">
        <f>EXP(-LN(2)/2)*AB154+(1-EXP(-LN(2)/2))/(LN(2)/2)*V155*Y155*VLOOKUP('Données projet'!$B$9,Paramètres!$A$1:$I$89,3,0)*0.475*44/12</f>
        <v>4.0125158243446773E-18</v>
      </c>
      <c r="AC155" s="22">
        <f t="shared" si="163"/>
        <v>1.577874100752489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0</v>
      </c>
      <c r="AO155" s="59">
        <f t="shared" si="144"/>
        <v>0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0.6676183586362805</v>
      </c>
      <c r="AV155" s="21">
        <f>EXP(-LN(2)/25)*AV154+(1-EXP(-LN(2)/25))/(LN(2)/25)*Calculateur!AQ155*Calculateur!AS155*VLOOKUP('Données projet'!$B$10,Paramètres!$A$1:$I$89,3,0)*0.475*44/12</f>
        <v>0.22560713123899434</v>
      </c>
      <c r="AW155" s="21">
        <f>EXP(-LN(2)/2)*AW154+(1-EXP(-LN(2)/2))/(LN(2)/2)*AQ155*AT155*VLOOKUP('Données projet'!$B$10,Paramètres!$A$1:$I$89,3,0)*0.475*44/12</f>
        <v>3.4359813196379525E-18</v>
      </c>
      <c r="AX155" s="21">
        <f t="shared" si="166"/>
        <v>0.89322548987527484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-1.2710188457276673E-13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382.55387448074327</v>
      </c>
      <c r="T156" s="59">
        <f t="shared" si="142"/>
        <v>476.29465646955543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0.9273996682254888</v>
      </c>
      <c r="AA156" s="21">
        <f>EXP(-LN(2)/25)*AA155+(1-EXP(-LN(2)/25))/(LN(2)/25)*Calculateur!V156*Calculateur!X156*VLOOKUP('Données projet'!$B$9,Paramètres!$A$1:$I$89,3,0)*0.475*44/12</f>
        <v>0.61464492568992679</v>
      </c>
      <c r="AB156" s="21">
        <f>EXP(-LN(2)/2)*AB155+(1-EXP(-LN(2)/2))/(LN(2)/2)*V156*Y156*VLOOKUP('Données projet'!$B$9,Paramètres!$A$1:$I$89,3,0)*0.475*44/12</f>
        <v>2.8372771490124511E-18</v>
      </c>
      <c r="AC156" s="22">
        <f t="shared" si="163"/>
        <v>1.5420445939154157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0</v>
      </c>
      <c r="AO156" s="59">
        <f t="shared" si="144"/>
        <v>0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0.65452676983041347</v>
      </c>
      <c r="AV156" s="21">
        <f>EXP(-LN(2)/25)*AV155+(1-EXP(-LN(2)/25))/(LN(2)/25)*Calculateur!AQ156*Calculateur!AS156*VLOOKUP('Données projet'!$B$10,Paramètres!$A$1:$I$89,3,0)*0.475*44/12</f>
        <v>0.21943789237110065</v>
      </c>
      <c r="AW156" s="21">
        <f>EXP(-LN(2)/2)*AW155+(1-EXP(-LN(2)/2))/(LN(2)/2)*AQ156*AT156*VLOOKUP('Données projet'!$B$10,Paramètres!$A$1:$I$89,3,0)*0.475*44/12</f>
        <v>2.4296056911462988E-18</v>
      </c>
      <c r="AX156" s="21">
        <f t="shared" si="166"/>
        <v>0.87396466220151414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-1.2710188457276673E-13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382.55387448074327</v>
      </c>
      <c r="T157" s="59">
        <f t="shared" si="142"/>
        <v>476.29465646955543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0.90921392638953047</v>
      </c>
      <c r="AA157" s="21">
        <f>EXP(-LN(2)/25)*AA156+(1-EXP(-LN(2)/25))/(LN(2)/25)*Calculateur!V157*Calculateur!X157*VLOOKUP('Données projet'!$B$9,Paramètres!$A$1:$I$89,3,0)*0.475*44/12</f>
        <v>0.59783742787416394</v>
      </c>
      <c r="AB157" s="21">
        <f>EXP(-LN(2)/2)*AB156+(1-EXP(-LN(2)/2))/(LN(2)/2)*V157*Y157*VLOOKUP('Données projet'!$B$9,Paramètres!$A$1:$I$89,3,0)*0.475*44/12</f>
        <v>2.0062579121723386E-18</v>
      </c>
      <c r="AC157" s="22">
        <f t="shared" si="163"/>
        <v>1.5070513542636945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0</v>
      </c>
      <c r="AO157" s="59">
        <f t="shared" si="144"/>
        <v>0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0.64169189909594881</v>
      </c>
      <c r="AV157" s="21">
        <f>EXP(-LN(2)/25)*AV156+(1-EXP(-LN(2)/25))/(LN(2)/25)*Calculateur!AQ157*Calculateur!AS157*VLOOKUP('Données projet'!$B$10,Paramètres!$A$1:$I$89,3,0)*0.475*44/12</f>
        <v>0.21343735166447567</v>
      </c>
      <c r="AW157" s="21">
        <f>EXP(-LN(2)/2)*AW156+(1-EXP(-LN(2)/2))/(LN(2)/2)*AQ157*AT157*VLOOKUP('Données projet'!$B$10,Paramètres!$A$1:$I$89,3,0)*0.475*44/12</f>
        <v>1.7179906598189766E-18</v>
      </c>
      <c r="AX157" s="21">
        <f t="shared" si="166"/>
        <v>0.85512925076042445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-1.2710188457276673E-13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382.55387448074327</v>
      </c>
      <c r="T158" s="59">
        <f t="shared" si="142"/>
        <v>476.29465646955543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0.89138479585876806</v>
      </c>
      <c r="AA158" s="21">
        <f>EXP(-LN(2)/25)*AA157+(1-EXP(-LN(2)/25))/(LN(2)/25)*Calculateur!V158*Calculateur!X158*VLOOKUP('Données projet'!$B$9,Paramètres!$A$1:$I$89,3,0)*0.475*44/12</f>
        <v>0.58148953197004094</v>
      </c>
      <c r="AB158" s="21">
        <f>EXP(-LN(2)/2)*AB157+(1-EXP(-LN(2)/2))/(LN(2)/2)*V158*Y158*VLOOKUP('Données projet'!$B$9,Paramètres!$A$1:$I$89,3,0)*0.475*44/12</f>
        <v>1.4186385745062256E-18</v>
      </c>
      <c r="AC158" s="22">
        <f t="shared" si="163"/>
        <v>1.472874327828809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0</v>
      </c>
      <c r="AO158" s="59">
        <f t="shared" si="144"/>
        <v>0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0.62910871234808885</v>
      </c>
      <c r="AV158" s="21">
        <f>EXP(-LN(2)/25)*AV157+(1-EXP(-LN(2)/25))/(LN(2)/25)*Calculateur!AQ158*Calculateur!AS158*VLOOKUP('Données projet'!$B$10,Paramètres!$A$1:$I$89,3,0)*0.475*44/12</f>
        <v>0.20760089605902807</v>
      </c>
      <c r="AW158" s="21">
        <f>EXP(-LN(2)/2)*AW157+(1-EXP(-LN(2)/2))/(LN(2)/2)*AQ158*AT158*VLOOKUP('Données projet'!$B$10,Paramètres!$A$1:$I$89,3,0)*0.475*44/12</f>
        <v>1.2148028455731496E-18</v>
      </c>
      <c r="AX158" s="21">
        <f t="shared" si="166"/>
        <v>0.83670960840711694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-1.2710188457276673E-13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382.55387448074327</v>
      </c>
      <c r="T159" s="59">
        <f t="shared" si="142"/>
        <v>476.29465646955543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0.87390528370301801</v>
      </c>
      <c r="AA159" s="21">
        <f>EXP(-LN(2)/25)*AA158+(1-EXP(-LN(2)/25))/(LN(2)/25)*Calculateur!V159*Calculateur!X159*VLOOKUP('Données projet'!$B$9,Paramètres!$A$1:$I$89,3,0)*0.475*44/12</f>
        <v>0.56558867013911474</v>
      </c>
      <c r="AB159" s="21">
        <f>EXP(-LN(2)/2)*AB158+(1-EXP(-LN(2)/2))/(LN(2)/2)*V159*Y159*VLOOKUP('Données projet'!$B$9,Paramètres!$A$1:$I$89,3,0)*0.475*44/12</f>
        <v>1.0031289560861693E-18</v>
      </c>
      <c r="AC159" s="22">
        <f t="shared" si="163"/>
        <v>1.4394939538421327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0</v>
      </c>
      <c r="AO159" s="59">
        <f t="shared" si="144"/>
        <v>0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0.61677227421736835</v>
      </c>
      <c r="AV159" s="21">
        <f>EXP(-LN(2)/25)*AV158+(1-EXP(-LN(2)/25))/(LN(2)/25)*Calculateur!AQ159*Calculateur!AS159*VLOOKUP('Données projet'!$B$10,Paramètres!$A$1:$I$89,3,0)*0.475*44/12</f>
        <v>0.2019240386390373</v>
      </c>
      <c r="AW159" s="21">
        <f>EXP(-LN(2)/2)*AW158+(1-EXP(-LN(2)/2))/(LN(2)/2)*AQ159*AT159*VLOOKUP('Données projet'!$B$10,Paramètres!$A$1:$I$89,3,0)*0.475*44/12</f>
        <v>8.589953299094884E-19</v>
      </c>
      <c r="AX159" s="21">
        <f t="shared" si="166"/>
        <v>0.81869631285640565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-1.2710188457276673E-13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382.55387448074327</v>
      </c>
      <c r="T160" s="59">
        <f t="shared" si="142"/>
        <v>476.29465646955543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0.85676853411919263</v>
      </c>
      <c r="AA160" s="21">
        <f>EXP(-LN(2)/25)*AA159+(1-EXP(-LN(2)/25))/(LN(2)/25)*Calculateur!V160*Calculateur!X160*VLOOKUP('Données projet'!$B$9,Paramètres!$A$1:$I$89,3,0)*0.475*44/12</f>
        <v>0.55012261821114516</v>
      </c>
      <c r="AB160" s="21">
        <f>EXP(-LN(2)/2)*AB159+(1-EXP(-LN(2)/2))/(LN(2)/2)*V160*Y160*VLOOKUP('Données projet'!$B$9,Paramètres!$A$1:$I$89,3,0)*0.475*44/12</f>
        <v>7.0931928725311278E-19</v>
      </c>
      <c r="AC160" s="22">
        <f t="shared" si="163"/>
        <v>1.4068911523303378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0</v>
      </c>
      <c r="AO160" s="59">
        <f t="shared" si="144"/>
        <v>0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0.60467774611390701</v>
      </c>
      <c r="AV160" s="21">
        <f>EXP(-LN(2)/25)*AV159+(1-EXP(-LN(2)/25))/(LN(2)/25)*Calculateur!AQ160*Calculateur!AS160*VLOOKUP('Données projet'!$B$10,Paramètres!$A$1:$I$89,3,0)*0.475*44/12</f>
        <v>0.19640241518372914</v>
      </c>
      <c r="AW160" s="21">
        <f>EXP(-LN(2)/2)*AW159+(1-EXP(-LN(2)/2))/(LN(2)/2)*AQ160*AT160*VLOOKUP('Données projet'!$B$10,Paramètres!$A$1:$I$89,3,0)*0.475*44/12</f>
        <v>6.074014227865749E-19</v>
      </c>
      <c r="AX160" s="21">
        <f t="shared" si="166"/>
        <v>0.80108016129763615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-1.2710188457276673E-13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382.55387448074327</v>
      </c>
      <c r="T161" s="59">
        <f t="shared" si="142"/>
        <v>476.29465646955543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0.83996782574232087</v>
      </c>
      <c r="AA161" s="21">
        <f>EXP(-LN(2)/25)*AA160+(1-EXP(-LN(2)/25))/(LN(2)/25)*Calculateur!V161*Calculateur!X161*VLOOKUP('Données projet'!$B$9,Paramètres!$A$1:$I$89,3,0)*0.475*44/12</f>
        <v>0.53507948628647028</v>
      </c>
      <c r="AB161" s="21">
        <f>EXP(-LN(2)/2)*AB160+(1-EXP(-LN(2)/2))/(LN(2)/2)*V161*Y161*VLOOKUP('Données projet'!$B$9,Paramètres!$A$1:$I$89,3,0)*0.475*44/12</f>
        <v>5.0156447804308466E-19</v>
      </c>
      <c r="AC161" s="22">
        <f t="shared" si="163"/>
        <v>1.3750473120287912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0</v>
      </c>
      <c r="AO161" s="59">
        <f t="shared" si="144"/>
        <v>0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0.59282038432962081</v>
      </c>
      <c r="AV161" s="21">
        <f>EXP(-LN(2)/25)*AV160+(1-EXP(-LN(2)/25))/(LN(2)/25)*Calculateur!AQ161*Calculateur!AS161*VLOOKUP('Données projet'!$B$10,Paramètres!$A$1:$I$89,3,0)*0.475*44/12</f>
        <v>0.19103178081217592</v>
      </c>
      <c r="AW161" s="21">
        <f>EXP(-LN(2)/2)*AW160+(1-EXP(-LN(2)/2))/(LN(2)/2)*AQ161*AT161*VLOOKUP('Données projet'!$B$10,Paramètres!$A$1:$I$89,3,0)*0.475*44/12</f>
        <v>4.294976649547443E-19</v>
      </c>
      <c r="AX161" s="21">
        <f t="shared" si="166"/>
        <v>0.78385216514179668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-1.2710188457276673E-13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382.55387448074327</v>
      </c>
      <c r="T162" s="59">
        <f t="shared" si="142"/>
        <v>476.29465646955543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0.82349656900929935</v>
      </c>
      <c r="AA162" s="21">
        <f>EXP(-LN(2)/25)*AA161+(1-EXP(-LN(2)/25))/(LN(2)/25)*Calculateur!V162*Calculateur!X162*VLOOKUP('Données projet'!$B$9,Paramètres!$A$1:$I$89,3,0)*0.475*44/12</f>
        <v>0.52044770959535946</v>
      </c>
      <c r="AB162" s="21">
        <f>EXP(-LN(2)/2)*AB161+(1-EXP(-LN(2)/2))/(LN(2)/2)*V162*Y162*VLOOKUP('Données projet'!$B$9,Paramètres!$A$1:$I$89,3,0)*0.475*44/12</f>
        <v>3.5465964362655639E-19</v>
      </c>
      <c r="AC162" s="22">
        <f t="shared" si="163"/>
        <v>1.3439442786046589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0</v>
      </c>
      <c r="AO162" s="59">
        <f t="shared" si="144"/>
        <v>0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0.58119553817764791</v>
      </c>
      <c r="AV162" s="21">
        <f>EXP(-LN(2)/25)*AV161+(1-EXP(-LN(2)/25))/(LN(2)/25)*Calculateur!AQ162*Calculateur!AS162*VLOOKUP('Données projet'!$B$10,Paramètres!$A$1:$I$89,3,0)*0.475*44/12</f>
        <v>0.18580800671994221</v>
      </c>
      <c r="AW162" s="21">
        <f>EXP(-LN(2)/2)*AW161+(1-EXP(-LN(2)/2))/(LN(2)/2)*AQ162*AT162*VLOOKUP('Données projet'!$B$10,Paramètres!$A$1:$I$89,3,0)*0.475*44/12</f>
        <v>3.037007113932875E-19</v>
      </c>
      <c r="AX162" s="21">
        <f t="shared" si="166"/>
        <v>0.76700354489759015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-1.2710188457276673E-13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382.55387448074327</v>
      </c>
      <c r="T163" s="59">
        <f t="shared" si="142"/>
        <v>476.29465646955543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0.80734830357433773</v>
      </c>
      <c r="AA163" s="21">
        <f>EXP(-LN(2)/25)*AA162+(1-EXP(-LN(2)/25))/(LN(2)/25)*Calculateur!V163*Calculateur!X163*VLOOKUP('Données projet'!$B$9,Paramètres!$A$1:$I$89,3,0)*0.475*44/12</f>
        <v>0.50621603960731876</v>
      </c>
      <c r="AB163" s="21">
        <f>EXP(-LN(2)/2)*AB162+(1-EXP(-LN(2)/2))/(LN(2)/2)*V163*Y163*VLOOKUP('Données projet'!$B$9,Paramètres!$A$1:$I$89,3,0)*0.475*44/12</f>
        <v>2.5078223902154233E-19</v>
      </c>
      <c r="AC163" s="22">
        <f t="shared" si="163"/>
        <v>1.3135643431816564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0</v>
      </c>
      <c r="AO163" s="59">
        <f t="shared" si="144"/>
        <v>0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0.56979864816825909</v>
      </c>
      <c r="AV163" s="21">
        <f>EXP(-LN(2)/25)*AV162+(1-EXP(-LN(2)/25))/(LN(2)/25)*Calculateur!AQ163*Calculateur!AS163*VLOOKUP('Données projet'!$B$10,Paramètres!$A$1:$I$89,3,0)*0.475*44/12</f>
        <v>0.18072707700496699</v>
      </c>
      <c r="AW163" s="21">
        <f>EXP(-LN(2)/2)*AW162+(1-EXP(-LN(2)/2))/(LN(2)/2)*AQ163*AT163*VLOOKUP('Données projet'!$B$10,Paramètres!$A$1:$I$89,3,0)*0.475*44/12</f>
        <v>2.1474883247737217E-19</v>
      </c>
      <c r="AX163" s="21">
        <f t="shared" si="166"/>
        <v>0.75052572517322602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-1.2710188457276673E-13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382.55387448074327</v>
      </c>
      <c r="T164" s="59">
        <f t="shared" si="142"/>
        <v>476.29465646955543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0.79151669577508632</v>
      </c>
      <c r="AA164" s="21">
        <f>EXP(-LN(2)/25)*AA163+(1-EXP(-LN(2)/25))/(LN(2)/25)*Calculateur!V164*Calculateur!X164*VLOOKUP('Données projet'!$B$9,Paramètres!$A$1:$I$89,3,0)*0.475*44/12</f>
        <v>0.49237353538351208</v>
      </c>
      <c r="AB164" s="21">
        <f>EXP(-LN(2)/2)*AB163+(1-EXP(-LN(2)/2))/(LN(2)/2)*V164*Y164*VLOOKUP('Données projet'!$B$9,Paramètres!$A$1:$I$89,3,0)*0.475*44/12</f>
        <v>1.773298218132782E-19</v>
      </c>
      <c r="AC164" s="22">
        <f t="shared" si="163"/>
        <v>1.2838902311585985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0</v>
      </c>
      <c r="AO164" s="59">
        <f t="shared" si="144"/>
        <v>0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0.55862524422053794</v>
      </c>
      <c r="AV164" s="21">
        <f>EXP(-LN(2)/25)*AV163+(1-EXP(-LN(2)/25))/(LN(2)/25)*Calculateur!AQ164*Calculateur!AS164*VLOOKUP('Données projet'!$B$10,Paramètres!$A$1:$I$89,3,0)*0.475*44/12</f>
        <v>0.17578508558024225</v>
      </c>
      <c r="AW164" s="21">
        <f>EXP(-LN(2)/2)*AW163+(1-EXP(-LN(2)/2))/(LN(2)/2)*AQ164*AT164*VLOOKUP('Données projet'!$B$10,Paramètres!$A$1:$I$89,3,0)*0.475*44/12</f>
        <v>1.5185035569664377E-19</v>
      </c>
      <c r="AX164" s="21">
        <f t="shared" si="166"/>
        <v>0.73441032980078025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-1.2710188457276673E-13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382.55387448074327</v>
      </c>
      <c r="T165" s="59">
        <f t="shared" si="142"/>
        <v>476.29465646955543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0.77599553614845096</v>
      </c>
      <c r="AA165" s="21">
        <f>EXP(-LN(2)/25)*AA164+(1-EXP(-LN(2)/25))/(LN(2)/25)*Calculateur!V165*Calculateur!X165*VLOOKUP('Données projet'!$B$9,Paramètres!$A$1:$I$89,3,0)*0.475*44/12</f>
        <v>0.47890955516565104</v>
      </c>
      <c r="AB165" s="21">
        <f>EXP(-LN(2)/2)*AB164+(1-EXP(-LN(2)/2))/(LN(2)/2)*V165*Y165*VLOOKUP('Données projet'!$B$9,Paramètres!$A$1:$I$89,3,0)*0.475*44/12</f>
        <v>1.2539111951077116E-19</v>
      </c>
      <c r="AC165" s="22">
        <f t="shared" si="163"/>
        <v>1.254905091314102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0</v>
      </c>
      <c r="AO165" s="59">
        <f t="shared" si="144"/>
        <v>0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0.54767094390912807</v>
      </c>
      <c r="AV165" s="21">
        <f>EXP(-LN(2)/25)*AV164+(1-EXP(-LN(2)/25))/(LN(2)/25)*Calculateur!AQ165*Calculateur!AS165*VLOOKUP('Données projet'!$B$10,Paramètres!$A$1:$I$89,3,0)*0.475*44/12</f>
        <v>0.17097823317091465</v>
      </c>
      <c r="AW165" s="21">
        <f>EXP(-LN(2)/2)*AW164+(1-EXP(-LN(2)/2))/(LN(2)/2)*AQ165*AT165*VLOOKUP('Données projet'!$B$10,Paramètres!$A$1:$I$89,3,0)*0.475*44/12</f>
        <v>1.0737441623868611E-19</v>
      </c>
      <c r="AX165" s="21">
        <f t="shared" si="166"/>
        <v>0.71864917708004272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-1.2710188457276673E-13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382.55387448074327</v>
      </c>
      <c r="T166" s="59">
        <f t="shared" si="142"/>
        <v>476.29465646955543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0.76077873699512133</v>
      </c>
      <c r="AA166" s="21">
        <f>EXP(-LN(2)/25)*AA165+(1-EXP(-LN(2)/25))/(LN(2)/25)*Calculateur!V166*Calculateur!X166*VLOOKUP('Données projet'!$B$9,Paramètres!$A$1:$I$89,3,0)*0.475*44/12</f>
        <v>0.46581374819488736</v>
      </c>
      <c r="AB166" s="21">
        <f>EXP(-LN(2)/2)*AB165+(1-EXP(-LN(2)/2))/(LN(2)/2)*V166*Y166*VLOOKUP('Données projet'!$B$9,Paramètres!$A$1:$I$89,3,0)*0.475*44/12</f>
        <v>8.8664910906639098E-20</v>
      </c>
      <c r="AC166" s="22">
        <f t="shared" si="163"/>
        <v>1.2265924851900087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0</v>
      </c>
      <c r="AO166" s="59">
        <f t="shared" si="144"/>
        <v>0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0.53693145074536153</v>
      </c>
      <c r="AV166" s="21">
        <f>EXP(-LN(2)/25)*AV165+(1-EXP(-LN(2)/25))/(LN(2)/25)*Calculateur!AQ166*Calculateur!AS166*VLOOKUP('Données projet'!$B$10,Paramètres!$A$1:$I$89,3,0)*0.475*44/12</f>
        <v>0.16630282439350147</v>
      </c>
      <c r="AW166" s="21">
        <f>EXP(-LN(2)/2)*AW165+(1-EXP(-LN(2)/2))/(LN(2)/2)*AQ166*AT166*VLOOKUP('Données projet'!$B$10,Paramètres!$A$1:$I$89,3,0)*0.475*44/12</f>
        <v>7.5925177848321898E-20</v>
      </c>
      <c r="AX166" s="21">
        <f t="shared" si="166"/>
        <v>0.70323427513886294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-1.2710188457276673E-13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382.55387448074327</v>
      </c>
      <c r="T167" s="59">
        <f t="shared" si="142"/>
        <v>476.29465646955543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0.74586032999185747</v>
      </c>
      <c r="AA167" s="21">
        <f>EXP(-LN(2)/25)*AA166+(1-EXP(-LN(2)/25))/(LN(2)/25)*Calculateur!V167*Calculateur!X167*VLOOKUP('Données projet'!$B$9,Paramètres!$A$1:$I$89,3,0)*0.475*44/12</f>
        <v>0.45307604675441776</v>
      </c>
      <c r="AB167" s="21">
        <f>EXP(-LN(2)/2)*AB166+(1-EXP(-LN(2)/2))/(LN(2)/2)*V167*Y167*VLOOKUP('Données projet'!$B$9,Paramètres!$A$1:$I$89,3,0)*0.475*44/12</f>
        <v>6.2695559755385582E-20</v>
      </c>
      <c r="AC167" s="22">
        <f t="shared" si="163"/>
        <v>1.1989363767462753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0</v>
      </c>
      <c r="AO167" s="59">
        <f t="shared" si="144"/>
        <v>0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0.52640255249209245</v>
      </c>
      <c r="AV167" s="21">
        <f>EXP(-LN(2)/25)*AV166+(1-EXP(-LN(2)/25))/(LN(2)/25)*Calculateur!AQ167*Calculateur!AS167*VLOOKUP('Données projet'!$B$10,Paramètres!$A$1:$I$89,3,0)*0.475*44/12</f>
        <v>0.16175526491497572</v>
      </c>
      <c r="AW167" s="21">
        <f>EXP(-LN(2)/2)*AW166+(1-EXP(-LN(2)/2))/(LN(2)/2)*AQ167*AT167*VLOOKUP('Données projet'!$B$10,Paramètres!$A$1:$I$89,3,0)*0.475*44/12</f>
        <v>5.3687208119343061E-20</v>
      </c>
      <c r="AX167" s="21">
        <f t="shared" si="166"/>
        <v>0.68815781740706816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-1.2710188457276673E-13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382.55387448074327</v>
      </c>
      <c r="T168" s="59">
        <f t="shared" si="142"/>
        <v>476.29465646955543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0.73123446385059787</v>
      </c>
      <c r="AA168" s="21">
        <f>EXP(-LN(2)/25)*AA167+(1-EXP(-LN(2)/25))/(LN(2)/25)*Calculateur!V168*Calculateur!X168*VLOOKUP('Données projet'!$B$9,Paramètres!$A$1:$I$89,3,0)*0.475*44/12</f>
        <v>0.44068665842968441</v>
      </c>
      <c r="AB168" s="21">
        <f>EXP(-LN(2)/2)*AB167+(1-EXP(-LN(2)/2))/(LN(2)/2)*V168*Y168*VLOOKUP('Données projet'!$B$9,Paramètres!$A$1:$I$89,3,0)*0.475*44/12</f>
        <v>4.4332455453319549E-20</v>
      </c>
      <c r="AC168" s="22">
        <f t="shared" si="163"/>
        <v>1.1719211222802823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0</v>
      </c>
      <c r="AO168" s="59">
        <f t="shared" si="144"/>
        <v>0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0.51608011951157617</v>
      </c>
      <c r="AV168" s="21">
        <f>EXP(-LN(2)/25)*AV167+(1-EXP(-LN(2)/25))/(LN(2)/25)*Calculateur!AQ168*Calculateur!AS168*VLOOKUP('Données projet'!$B$10,Paramètres!$A$1:$I$89,3,0)*0.475*44/12</f>
        <v>0.15733205868953601</v>
      </c>
      <c r="AW168" s="21">
        <f>EXP(-LN(2)/2)*AW167+(1-EXP(-LN(2)/2))/(LN(2)/2)*AQ168*AT168*VLOOKUP('Données projet'!$B$10,Paramètres!$A$1:$I$89,3,0)*0.475*44/12</f>
        <v>3.7962588924160955E-20</v>
      </c>
      <c r="AX168" s="21">
        <f t="shared" si="166"/>
        <v>0.67341217820111221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-1.2710188457276673E-13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382.55387448074327</v>
      </c>
      <c r="T169" s="59">
        <f t="shared" si="142"/>
        <v>476.29465646955543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0.71689540202347091</v>
      </c>
      <c r="AA169" s="21">
        <f>EXP(-LN(2)/25)*AA168+(1-EXP(-LN(2)/25))/(LN(2)/25)*Calculateur!V169*Calculateur!X169*VLOOKUP('Données projet'!$B$9,Paramètres!$A$1:$I$89,3,0)*0.475*44/12</f>
        <v>0.42863605858022052</v>
      </c>
      <c r="AB169" s="21">
        <f>EXP(-LN(2)/2)*AB168+(1-EXP(-LN(2)/2))/(LN(2)/2)*V169*Y169*VLOOKUP('Données projet'!$B$9,Paramètres!$A$1:$I$89,3,0)*0.475*44/12</f>
        <v>3.1347779877692791E-20</v>
      </c>
      <c r="AC169" s="22">
        <f t="shared" si="163"/>
        <v>1.1455314606036915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0</v>
      </c>
      <c r="AO169" s="59">
        <f t="shared" si="144"/>
        <v>0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0.50596010314574535</v>
      </c>
      <c r="AV169" s="21">
        <f>EXP(-LN(2)/25)*AV168+(1-EXP(-LN(2)/25))/(LN(2)/25)*Calculateur!AQ169*Calculateur!AS169*VLOOKUP('Données projet'!$B$10,Paramètres!$A$1:$I$89,3,0)*0.475*44/12</f>
        <v>0.15302980527093726</v>
      </c>
      <c r="AW169" s="21">
        <f>EXP(-LN(2)/2)*AW168+(1-EXP(-LN(2)/2))/(LN(2)/2)*AQ169*AT169*VLOOKUP('Données projet'!$B$10,Paramètres!$A$1:$I$89,3,0)*0.475*44/12</f>
        <v>2.6843604059671534E-20</v>
      </c>
      <c r="AX169" s="21">
        <f t="shared" si="166"/>
        <v>0.65898990841668259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-1.2710188457276673E-13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382.55387448074327</v>
      </c>
      <c r="T170" s="59">
        <f t="shared" si="142"/>
        <v>476.29465646955543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0.70283752045280978</v>
      </c>
      <c r="AA170" s="21">
        <f>EXP(-LN(2)/25)*AA169+(1-EXP(-LN(2)/25))/(LN(2)/25)*Calculateur!V170*Calculateur!X170*VLOOKUP('Données projet'!$B$9,Paramètres!$A$1:$I$89,3,0)*0.475*44/12</f>
        <v>0.41691498301735375</v>
      </c>
      <c r="AB170" s="21">
        <f>EXP(-LN(2)/2)*AB169+(1-EXP(-LN(2)/2))/(LN(2)/2)*V170*Y170*VLOOKUP('Données projet'!$B$9,Paramètres!$A$1:$I$89,3,0)*0.475*44/12</f>
        <v>2.2166227726659774E-20</v>
      </c>
      <c r="AC170" s="22">
        <f t="shared" si="163"/>
        <v>1.1197525034701634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0</v>
      </c>
      <c r="AO170" s="59">
        <f t="shared" si="144"/>
        <v>0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0.496038534128248</v>
      </c>
      <c r="AV170" s="21">
        <f>EXP(-LN(2)/25)*AV169+(1-EXP(-LN(2)/25))/(LN(2)/25)*Calculateur!AQ170*Calculateur!AS170*VLOOKUP('Données projet'!$B$10,Paramètres!$A$1:$I$89,3,0)*0.475*44/12</f>
        <v>0.14884519719831579</v>
      </c>
      <c r="AW170" s="21">
        <f>EXP(-LN(2)/2)*AW169+(1-EXP(-LN(2)/2))/(LN(2)/2)*AQ170*AT170*VLOOKUP('Données projet'!$B$10,Paramètres!$A$1:$I$89,3,0)*0.475*44/12</f>
        <v>1.8981294462080481E-20</v>
      </c>
      <c r="AX170" s="21">
        <f t="shared" si="166"/>
        <v>0.64488373132656385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-1.2710188457276673E-13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382.55387448074327</v>
      </c>
      <c r="T171" s="59">
        <f t="shared" si="142"/>
        <v>476.29465646955543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0.68905530536528814</v>
      </c>
      <c r="AA171" s="21">
        <f>EXP(-LN(2)/25)*AA170+(1-EXP(-LN(2)/25))/(LN(2)/25)*Calculateur!V171*Calculateur!X171*VLOOKUP('Données projet'!$B$9,Paramètres!$A$1:$I$89,3,0)*0.475*44/12</f>
        <v>0.40551442088213813</v>
      </c>
      <c r="AB171" s="21">
        <f>EXP(-LN(2)/2)*AB170+(1-EXP(-LN(2)/2))/(LN(2)/2)*V171*Y171*VLOOKUP('Données projet'!$B$9,Paramètres!$A$1:$I$89,3,0)*0.475*44/12</f>
        <v>1.5673889938846396E-20</v>
      </c>
      <c r="AC171" s="22">
        <f t="shared" si="163"/>
        <v>1.0945697262474263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0</v>
      </c>
      <c r="AO171" s="59">
        <f t="shared" si="144"/>
        <v>0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0.48631152102762421</v>
      </c>
      <c r="AV171" s="21">
        <f>EXP(-LN(2)/25)*AV170+(1-EXP(-LN(2)/25))/(LN(2)/25)*Calculateur!AQ171*Calculateur!AS171*VLOOKUP('Données projet'!$B$10,Paramètres!$A$1:$I$89,3,0)*0.475*44/12</f>
        <v>0.14477501745349911</v>
      </c>
      <c r="AW171" s="21">
        <f>EXP(-LN(2)/2)*AW170+(1-EXP(-LN(2)/2))/(LN(2)/2)*AQ171*AT171*VLOOKUP('Données projet'!$B$10,Paramètres!$A$1:$I$89,3,0)*0.475*44/12</f>
        <v>1.342180202983577E-20</v>
      </c>
      <c r="AX171" s="21">
        <f t="shared" si="166"/>
        <v>0.63108653848112328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-1.2710188457276673E-13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382.55387448074327</v>
      </c>
      <c r="T172" s="59">
        <f t="shared" si="142"/>
        <v>476.29465646955543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0.67554335110931174</v>
      </c>
      <c r="AA172" s="21">
        <f>EXP(-LN(2)/25)*AA171+(1-EXP(-LN(2)/25))/(LN(2)/25)*Calculateur!V172*Calculateur!X172*VLOOKUP('Données projet'!$B$9,Paramètres!$A$1:$I$89,3,0)*0.475*44/12</f>
        <v>0.39442560771803947</v>
      </c>
      <c r="AB172" s="21">
        <f>EXP(-LN(2)/2)*AB171+(1-EXP(-LN(2)/2))/(LN(2)/2)*V172*Y172*VLOOKUP('Données projet'!$B$9,Paramètres!$A$1:$I$89,3,0)*0.475*44/12</f>
        <v>1.1083113863329887E-20</v>
      </c>
      <c r="AC172" s="22">
        <f t="shared" si="163"/>
        <v>1.0699689588273511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0</v>
      </c>
      <c r="AO172" s="59">
        <f t="shared" si="144"/>
        <v>0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0.47677524872101146</v>
      </c>
      <c r="AV172" s="21">
        <f>EXP(-LN(2)/25)*AV171+(1-EXP(-LN(2)/25))/(LN(2)/25)*Calculateur!AQ172*Calculateur!AS172*VLOOKUP('Données projet'!$B$10,Paramètres!$A$1:$I$89,3,0)*0.475*44/12</f>
        <v>0.1408161369878459</v>
      </c>
      <c r="AW172" s="21">
        <f>EXP(-LN(2)/2)*AW171+(1-EXP(-LN(2)/2))/(LN(2)/2)*AQ172*AT172*VLOOKUP('Données projet'!$B$10,Paramètres!$A$1:$I$89,3,0)*0.475*44/12</f>
        <v>9.4906472310402418E-21</v>
      </c>
      <c r="AX172" s="21">
        <f t="shared" si="166"/>
        <v>0.6175913857088573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-1.2710188457276673E-13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382.55387448074327</v>
      </c>
      <c r="T173" s="59">
        <f t="shared" si="142"/>
        <v>476.29465646955543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0.66229635803481668</v>
      </c>
      <c r="AA173" s="21">
        <f>EXP(-LN(2)/25)*AA172+(1-EXP(-LN(2)/25))/(LN(2)/25)*Calculateur!V173*Calculateur!X173*VLOOKUP('Données projet'!$B$9,Paramètres!$A$1:$I$89,3,0)*0.475*44/12</f>
        <v>0.38364001873304843</v>
      </c>
      <c r="AB173" s="21">
        <f>EXP(-LN(2)/2)*AB172+(1-EXP(-LN(2)/2))/(LN(2)/2)*V173*Y173*VLOOKUP('Données projet'!$B$9,Paramètres!$A$1:$I$89,3,0)*0.475*44/12</f>
        <v>7.8369449694231978E-21</v>
      </c>
      <c r="AC173" s="22">
        <f t="shared" si="163"/>
        <v>1.0459363767678651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0</v>
      </c>
      <c r="AO173" s="59">
        <f t="shared" si="144"/>
        <v>0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0.46742597689777959</v>
      </c>
      <c r="AV173" s="21">
        <f>EXP(-LN(2)/25)*AV172+(1-EXP(-LN(2)/25))/(LN(2)/25)*Calculateur!AQ173*Calculateur!AS173*VLOOKUP('Données projet'!$B$10,Paramètres!$A$1:$I$89,3,0)*0.475*44/12</f>
        <v>0.13696551231671444</v>
      </c>
      <c r="AW173" s="21">
        <f>EXP(-LN(2)/2)*AW172+(1-EXP(-LN(2)/2))/(LN(2)/2)*AQ173*AT173*VLOOKUP('Données projet'!$B$10,Paramètres!$A$1:$I$89,3,0)*0.475*44/12</f>
        <v>6.7109010149178857E-21</v>
      </c>
      <c r="AX173" s="21">
        <f t="shared" si="166"/>
        <v>0.60439148921449404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-1.2710188457276673E-13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382.55387448074327</v>
      </c>
      <c r="T174" s="59">
        <f t="shared" si="142"/>
        <v>476.29465646955543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0.64930913041464455</v>
      </c>
      <c r="AA174" s="21">
        <f>EXP(-LN(2)/25)*AA173+(1-EXP(-LN(2)/25))/(LN(2)/25)*Calculateur!V174*Calculateur!X174*VLOOKUP('Données projet'!$B$9,Paramètres!$A$1:$I$89,3,0)*0.475*44/12</f>
        <v>0.37314936224604145</v>
      </c>
      <c r="AB174" s="21">
        <f>EXP(-LN(2)/2)*AB173+(1-EXP(-LN(2)/2))/(LN(2)/2)*V174*Y174*VLOOKUP('Données projet'!$B$9,Paramètres!$A$1:$I$89,3,0)*0.475*44/12</f>
        <v>5.5415569316649436E-21</v>
      </c>
      <c r="AC174" s="22">
        <f t="shared" si="163"/>
        <v>1.0224584926606859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0</v>
      </c>
      <c r="AO174" s="59">
        <f t="shared" si="144"/>
        <v>0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0.45826003859250858</v>
      </c>
      <c r="AV174" s="21">
        <f>EXP(-LN(2)/25)*AV173+(1-EXP(-LN(2)/25))/(LN(2)/25)*Calculateur!AQ174*Calculateur!AS174*VLOOKUP('Données projet'!$B$10,Paramètres!$A$1:$I$89,3,0)*0.475*44/12</f>
        <v>0.13322018317971063</v>
      </c>
      <c r="AW174" s="21">
        <f>EXP(-LN(2)/2)*AW173+(1-EXP(-LN(2)/2))/(LN(2)/2)*AQ174*AT174*VLOOKUP('Données projet'!$B$10,Paramètres!$A$1:$I$89,3,0)*0.475*44/12</f>
        <v>4.7453236155201216E-21</v>
      </c>
      <c r="AX174" s="21">
        <f t="shared" si="166"/>
        <v>0.59148022177221926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-1.2710188457276673E-13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382.55387448074327</v>
      </c>
      <c r="T175" s="59">
        <f t="shared" si="142"/>
        <v>476.29465646955543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0.63657657440667725</v>
      </c>
      <c r="AA175" s="21">
        <f>EXP(-LN(2)/25)*AA174+(1-EXP(-LN(2)/25))/(LN(2)/25)*Calculateur!V175*Calculateur!X175*VLOOKUP('Données projet'!$B$9,Paramètres!$A$1:$I$89,3,0)*0.475*44/12</f>
        <v>0.36294557331235133</v>
      </c>
      <c r="AB175" s="21">
        <f>EXP(-LN(2)/2)*AB174+(1-EXP(-LN(2)/2))/(LN(2)/2)*V175*Y175*VLOOKUP('Données projet'!$B$9,Paramètres!$A$1:$I$89,3,0)*0.475*44/12</f>
        <v>3.9184724847115989E-21</v>
      </c>
      <c r="AC175" s="22">
        <f t="shared" si="163"/>
        <v>0.99952214771902859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0</v>
      </c>
      <c r="AO175" s="59">
        <f t="shared" si="144"/>
        <v>0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0.4492738387467336</v>
      </c>
      <c r="AV175" s="21">
        <f>EXP(-LN(2)/25)*AV174+(1-EXP(-LN(2)/25))/(LN(2)/25)*Calculateur!AQ175*Calculateur!AS175*VLOOKUP('Données projet'!$B$10,Paramètres!$A$1:$I$89,3,0)*0.475*44/12</f>
        <v>0.12957727026491647</v>
      </c>
      <c r="AW175" s="21">
        <f>EXP(-LN(2)/2)*AW174+(1-EXP(-LN(2)/2))/(LN(2)/2)*AQ175*AT175*VLOOKUP('Données projet'!$B$10,Paramètres!$A$1:$I$89,3,0)*0.475*44/12</f>
        <v>3.3554505074589436E-21</v>
      </c>
      <c r="AX175" s="21">
        <f t="shared" si="166"/>
        <v>0.57885110901165004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-1.2710188457276673E-13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382.55387448074327</v>
      </c>
      <c r="T176" s="59">
        <f t="shared" si="142"/>
        <v>476.29465646955543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0.6240936960559339</v>
      </c>
      <c r="AA176" s="21">
        <f>EXP(-LN(2)/25)*AA175+(1-EXP(-LN(2)/25))/(LN(2)/25)*Calculateur!V176*Calculateur!X176*VLOOKUP('Données projet'!$B$9,Paramètres!$A$1:$I$89,3,0)*0.475*44/12</f>
        <v>0.3530208075236469</v>
      </c>
      <c r="AB176" s="21">
        <f>EXP(-LN(2)/2)*AB175+(1-EXP(-LN(2)/2))/(LN(2)/2)*V176*Y176*VLOOKUP('Données projet'!$B$9,Paramètres!$A$1:$I$89,3,0)*0.475*44/12</f>
        <v>2.7707784658324718E-21</v>
      </c>
      <c r="AC176" s="22">
        <f t="shared" si="163"/>
        <v>0.97711450357958074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0</v>
      </c>
      <c r="AO176" s="59">
        <f t="shared" si="144"/>
        <v>0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0.44046385279889355</v>
      </c>
      <c r="AV176" s="21">
        <f>EXP(-LN(2)/25)*AV175+(1-EXP(-LN(2)/25))/(LN(2)/25)*Calculateur!AQ176*Calculateur!AS176*VLOOKUP('Données projet'!$B$10,Paramètres!$A$1:$I$89,3,0)*0.475*44/12</f>
        <v>0.12603397299534985</v>
      </c>
      <c r="AW176" s="21">
        <f>EXP(-LN(2)/2)*AW175+(1-EXP(-LN(2)/2))/(LN(2)/2)*AQ176*AT176*VLOOKUP('Données projet'!$B$10,Paramètres!$A$1:$I$89,3,0)*0.475*44/12</f>
        <v>2.3726618077600612E-21</v>
      </c>
      <c r="AX176" s="21">
        <f t="shared" si="166"/>
        <v>0.56649782579424346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-1.2710188457276673E-13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382.55387448074327</v>
      </c>
      <c r="T177" s="59">
        <f t="shared" si="142"/>
        <v>476.29465646955543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0.61185559933584466</v>
      </c>
      <c r="AA177" s="21">
        <f>EXP(-LN(2)/25)*AA176+(1-EXP(-LN(2)/25))/(LN(2)/25)*Calculateur!V177*Calculateur!X177*VLOOKUP('Données projet'!$B$9,Paramètres!$A$1:$I$89,3,0)*0.475*44/12</f>
        <v>0.34336743497735533</v>
      </c>
      <c r="AB177" s="21">
        <f>EXP(-LN(2)/2)*AB176+(1-EXP(-LN(2)/2))/(LN(2)/2)*V177*Y177*VLOOKUP('Données projet'!$B$9,Paramètres!$A$1:$I$89,3,0)*0.475*44/12</f>
        <v>1.9592362423557994E-21</v>
      </c>
      <c r="AC177" s="22">
        <f t="shared" si="163"/>
        <v>0.95522303431319999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0</v>
      </c>
      <c r="AO177" s="59">
        <f t="shared" si="144"/>
        <v>0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0.43182662530192983</v>
      </c>
      <c r="AV177" s="21">
        <f>EXP(-LN(2)/25)*AV176+(1-EXP(-LN(2)/25))/(LN(2)/25)*Calculateur!AQ177*Calculateur!AS177*VLOOKUP('Données projet'!$B$10,Paramètres!$A$1:$I$89,3,0)*0.475*44/12</f>
        <v>0.12258756737595343</v>
      </c>
      <c r="AW177" s="21">
        <f>EXP(-LN(2)/2)*AW176+(1-EXP(-LN(2)/2))/(LN(2)/2)*AQ177*AT177*VLOOKUP('Données projet'!$B$10,Paramètres!$A$1:$I$89,3,0)*0.475*44/12</f>
        <v>1.677725253729472E-21</v>
      </c>
      <c r="AX177" s="21">
        <f t="shared" si="166"/>
        <v>0.55441419267788328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-1.2710188457276673E-13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382.55387448074327</v>
      </c>
      <c r="T178" s="59">
        <f t="shared" si="142"/>
        <v>476.29465646955543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0.59985748422793439</v>
      </c>
      <c r="AA178" s="21">
        <f>EXP(-LN(2)/25)*AA177+(1-EXP(-LN(2)/25))/(LN(2)/25)*Calculateur!V178*Calculateur!X178*VLOOKUP('Données projet'!$B$9,Paramètres!$A$1:$I$89,3,0)*0.475*44/12</f>
        <v>0.33397803441099094</v>
      </c>
      <c r="AB178" s="21">
        <f>EXP(-LN(2)/2)*AB177+(1-EXP(-LN(2)/2))/(LN(2)/2)*V178*Y178*VLOOKUP('Données projet'!$B$9,Paramètres!$A$1:$I$89,3,0)*0.475*44/12</f>
        <v>1.3853892329162359E-21</v>
      </c>
      <c r="AC178" s="22">
        <f t="shared" si="163"/>
        <v>0.93383551863892533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0</v>
      </c>
      <c r="AO178" s="59">
        <f t="shared" si="144"/>
        <v>0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0.42335876856799298</v>
      </c>
      <c r="AV178" s="21">
        <f>EXP(-LN(2)/25)*AV177+(1-EXP(-LN(2)/25))/(LN(2)/25)*Calculateur!AQ178*Calculateur!AS178*VLOOKUP('Données projet'!$B$10,Paramètres!$A$1:$I$89,3,0)*0.475*44/12</f>
        <v>0.119235403899458</v>
      </c>
      <c r="AW178" s="21">
        <f>EXP(-LN(2)/2)*AW177+(1-EXP(-LN(2)/2))/(LN(2)/2)*AQ178*AT178*VLOOKUP('Données projet'!$B$10,Paramètres!$A$1:$I$89,3,0)*0.475*44/12</f>
        <v>1.1863309038800308E-21</v>
      </c>
      <c r="AX178" s="21">
        <f t="shared" si="166"/>
        <v>0.54259417246745101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-1.2710188457276673E-13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382.55387448074327</v>
      </c>
      <c r="T179" s="59">
        <f t="shared" si="142"/>
        <v>476.29465646955543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0.58809464483916263</v>
      </c>
      <c r="AA179" s="21">
        <f>EXP(-LN(2)/25)*AA178+(1-EXP(-LN(2)/25))/(LN(2)/25)*Calculateur!V179*Calculateur!X179*VLOOKUP('Données projet'!$B$9,Paramètres!$A$1:$I$89,3,0)*0.475*44/12</f>
        <v>0.32484538749688086</v>
      </c>
      <c r="AB179" s="21">
        <f>EXP(-LN(2)/2)*AB178+(1-EXP(-LN(2)/2))/(LN(2)/2)*V179*Y179*VLOOKUP('Données projet'!$B$9,Paramètres!$A$1:$I$89,3,0)*0.475*44/12</f>
        <v>9.7961812117789972E-22</v>
      </c>
      <c r="AC179" s="22">
        <f t="shared" si="163"/>
        <v>0.91294003233604348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0</v>
      </c>
      <c r="AO179" s="59">
        <f t="shared" si="144"/>
        <v>0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0.41505696133972603</v>
      </c>
      <c r="AV179" s="21">
        <f>EXP(-LN(2)/25)*AV178+(1-EXP(-LN(2)/25))/(LN(2)/25)*Calculateur!AQ179*Calculateur!AS179*VLOOKUP('Données projet'!$B$10,Paramètres!$A$1:$I$89,3,0)*0.475*44/12</f>
        <v>0.11597490550950994</v>
      </c>
      <c r="AW179" s="21">
        <f>EXP(-LN(2)/2)*AW178+(1-EXP(-LN(2)/2))/(LN(2)/2)*AQ179*AT179*VLOOKUP('Données projet'!$B$10,Paramètres!$A$1:$I$89,3,0)*0.475*44/12</f>
        <v>8.3886262686473609E-22</v>
      </c>
      <c r="AX179" s="21">
        <f t="shared" si="166"/>
        <v>0.53103186684923598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-1.2710188457276673E-13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382.55387448074327</v>
      </c>
      <c r="T180" s="59">
        <f t="shared" si="142"/>
        <v>476.29465646955543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0.57656246755618112</v>
      </c>
      <c r="AA180" s="21">
        <f>EXP(-LN(2)/25)*AA179+(1-EXP(-LN(2)/25))/(LN(2)/25)*Calculateur!V180*Calculateur!X180*VLOOKUP('Données projet'!$B$9,Paramètres!$A$1:$I$89,3,0)*0.475*44/12</f>
        <v>0.31596247329290217</v>
      </c>
      <c r="AB180" s="21">
        <f>EXP(-LN(2)/2)*AB179+(1-EXP(-LN(2)/2))/(LN(2)/2)*V180*Y180*VLOOKUP('Données projet'!$B$9,Paramètres!$A$1:$I$89,3,0)*0.475*44/12</f>
        <v>6.9269461645811795E-22</v>
      </c>
      <c r="AC180" s="22">
        <f t="shared" si="163"/>
        <v>0.89252494084908329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0</v>
      </c>
      <c r="AO180" s="59">
        <f t="shared" si="144"/>
        <v>0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0.40691794748760296</v>
      </c>
      <c r="AV180" s="21">
        <f>EXP(-LN(2)/25)*AV179+(1-EXP(-LN(2)/25))/(LN(2)/25)*Calculateur!AQ180*Calculateur!AS180*VLOOKUP('Données projet'!$B$10,Paramètres!$A$1:$I$89,3,0)*0.475*44/12</f>
        <v>0.11280356561949717</v>
      </c>
      <c r="AW180" s="21">
        <f>EXP(-LN(2)/2)*AW179+(1-EXP(-LN(2)/2))/(LN(2)/2)*AQ180*AT180*VLOOKUP('Données projet'!$B$10,Paramètres!$A$1:$I$89,3,0)*0.475*44/12</f>
        <v>5.9316545194001549E-22</v>
      </c>
      <c r="AX180" s="21">
        <f t="shared" si="166"/>
        <v>0.51972151310710013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-1.2710188457276673E-13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382.55387448074327</v>
      </c>
      <c r="T181" s="59">
        <f t="shared" si="142"/>
        <v>476.29465646955543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0.56525642923578523</v>
      </c>
      <c r="AA181" s="21">
        <f>EXP(-LN(2)/25)*AA180+(1-EXP(-LN(2)/25))/(LN(2)/25)*Calculateur!V181*Calculateur!X181*VLOOKUP('Données projet'!$B$9,Paramètres!$A$1:$I$89,3,0)*0.475*44/12</f>
        <v>0.30732246284496345</v>
      </c>
      <c r="AB181" s="21">
        <f>EXP(-LN(2)/2)*AB180+(1-EXP(-LN(2)/2))/(LN(2)/2)*V181*Y181*VLOOKUP('Données projet'!$B$9,Paramètres!$A$1:$I$89,3,0)*0.475*44/12</f>
        <v>4.8980906058894986E-22</v>
      </c>
      <c r="AC181" s="22">
        <f t="shared" si="163"/>
        <v>0.87257889208074868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0</v>
      </c>
      <c r="AO181" s="59">
        <f t="shared" si="144"/>
        <v>0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0.39893853473281177</v>
      </c>
      <c r="AV181" s="21">
        <f>EXP(-LN(2)/25)*AV180+(1-EXP(-LN(2)/25))/(LN(2)/25)*Calculateur!AQ181*Calculateur!AS181*VLOOKUP('Données projet'!$B$10,Paramètres!$A$1:$I$89,3,0)*0.475*44/12</f>
        <v>0.10971894618555032</v>
      </c>
      <c r="AW181" s="21">
        <f>EXP(-LN(2)/2)*AW180+(1-EXP(-LN(2)/2))/(LN(2)/2)*AQ181*AT181*VLOOKUP('Données projet'!$B$10,Paramètres!$A$1:$I$89,3,0)*0.475*44/12</f>
        <v>4.1943131343236814E-22</v>
      </c>
      <c r="AX181" s="21">
        <f t="shared" si="166"/>
        <v>0.50865748091836205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-1.2710188457276673E-13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382.55387448074327</v>
      </c>
      <c r="T182" s="59">
        <f t="shared" si="142"/>
        <v>476.29465646955543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0.55417209543084989</v>
      </c>
      <c r="AA182" s="21">
        <f>EXP(-LN(2)/25)*AA181+(1-EXP(-LN(2)/25))/(LN(2)/25)*Calculateur!V182*Calculateur!X182*VLOOKUP('Données projet'!$B$9,Paramètres!$A$1:$I$89,3,0)*0.475*44/12</f>
        <v>0.29891871393708203</v>
      </c>
      <c r="AB182" s="21">
        <f>EXP(-LN(2)/2)*AB181+(1-EXP(-LN(2)/2))/(LN(2)/2)*V182*Y182*VLOOKUP('Données projet'!$B$9,Paramètres!$A$1:$I$89,3,0)*0.475*44/12</f>
        <v>3.4634730822905898E-22</v>
      </c>
      <c r="AC182" s="22">
        <f t="shared" si="163"/>
        <v>0.85309080936793191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0</v>
      </c>
      <c r="AO182" s="59">
        <f t="shared" si="144"/>
        <v>0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0.39111559339518082</v>
      </c>
      <c r="AV182" s="21">
        <f>EXP(-LN(2)/25)*AV181+(1-EXP(-LN(2)/25))/(LN(2)/25)*Calculateur!AQ182*Calculateur!AS182*VLOOKUP('Données projet'!$B$10,Paramètres!$A$1:$I$89,3,0)*0.475*44/12</f>
        <v>0.10671867583223783</v>
      </c>
      <c r="AW182" s="21">
        <f>EXP(-LN(2)/2)*AW181+(1-EXP(-LN(2)/2))/(LN(2)/2)*AQ182*AT182*VLOOKUP('Données projet'!$B$10,Paramètres!$A$1:$I$89,3,0)*0.475*44/12</f>
        <v>2.9658272597000779E-22</v>
      </c>
      <c r="AX182" s="21">
        <f t="shared" si="166"/>
        <v>0.49783426922741864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-1.2710188457276673E-13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382.55387448074327</v>
      </c>
      <c r="T183" s="59">
        <f t="shared" si="142"/>
        <v>476.29465646955543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0.54330511865105324</v>
      </c>
      <c r="AA183" s="21">
        <f>EXP(-LN(2)/25)*AA182+(1-EXP(-LN(2)/25))/(LN(2)/25)*Calculateur!V183*Calculateur!X183*VLOOKUP('Données projet'!$B$9,Paramètres!$A$1:$I$89,3,0)*0.475*44/12</f>
        <v>0.29074476598502053</v>
      </c>
      <c r="AB183" s="21">
        <f>EXP(-LN(2)/2)*AB182+(1-EXP(-LN(2)/2))/(LN(2)/2)*V183*Y183*VLOOKUP('Données projet'!$B$9,Paramètres!$A$1:$I$89,3,0)*0.475*44/12</f>
        <v>2.4490453029447493E-22</v>
      </c>
      <c r="AC183" s="22">
        <f t="shared" si="163"/>
        <v>0.83404988463607377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0</v>
      </c>
      <c r="AO183" s="59">
        <f t="shared" si="144"/>
        <v>0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0.38344605516565777</v>
      </c>
      <c r="AV183" s="21">
        <f>EXP(-LN(2)/25)*AV182+(1-EXP(-LN(2)/25))/(LN(2)/25)*Calculateur!AQ183*Calculateur!AS183*VLOOKUP('Données projet'!$B$10,Paramètres!$A$1:$I$89,3,0)*0.475*44/12</f>
        <v>0.10380044802951403</v>
      </c>
      <c r="AW183" s="21">
        <f>EXP(-LN(2)/2)*AW182+(1-EXP(-LN(2)/2))/(LN(2)/2)*AQ183*AT183*VLOOKUP('Données projet'!$B$10,Paramètres!$A$1:$I$89,3,0)*0.475*44/12</f>
        <v>2.0971565671618409E-22</v>
      </c>
      <c r="AX183" s="21">
        <f t="shared" si="166"/>
        <v>0.48724650319517182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-1.2710188457276673E-13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382.55387448074327</v>
      </c>
      <c r="T184" s="59">
        <f t="shared" si="142"/>
        <v>476.29465646955543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0.53265123665770708</v>
      </c>
      <c r="AA184" s="21">
        <f>EXP(-LN(2)/25)*AA183+(1-EXP(-LN(2)/25))/(LN(2)/25)*Calculateur!V184*Calculateur!X184*VLOOKUP('Données projet'!$B$9,Paramètres!$A$1:$I$89,3,0)*0.475*44/12</f>
        <v>0.28279433506955742</v>
      </c>
      <c r="AB184" s="21">
        <f>EXP(-LN(2)/2)*AB183+(1-EXP(-LN(2)/2))/(LN(2)/2)*V184*Y184*VLOOKUP('Données projet'!$B$9,Paramètres!$A$1:$I$89,3,0)*0.475*44/12</f>
        <v>1.7317365411452949E-22</v>
      </c>
      <c r="AC184" s="22">
        <f t="shared" si="163"/>
        <v>0.81544557172726451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0</v>
      </c>
      <c r="AO184" s="59">
        <f t="shared" si="144"/>
        <v>0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0.37592691190285926</v>
      </c>
      <c r="AV184" s="21">
        <f>EXP(-LN(2)/25)*AV183+(1-EXP(-LN(2)/25))/(LN(2)/25)*Calculateur!AQ184*Calculateur!AS184*VLOOKUP('Données projet'!$B$10,Paramètres!$A$1:$I$89,3,0)*0.475*44/12</f>
        <v>0.10096201931951865</v>
      </c>
      <c r="AW184" s="21">
        <f>EXP(-LN(2)/2)*AW183+(1-EXP(-LN(2)/2))/(LN(2)/2)*AQ184*AT184*VLOOKUP('Données projet'!$B$10,Paramètres!$A$1:$I$89,3,0)*0.475*44/12</f>
        <v>1.4829136298500392E-22</v>
      </c>
      <c r="AX184" s="21">
        <f t="shared" si="166"/>
        <v>0.47688893122237791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-1.2710188457276673E-13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382.55387448074327</v>
      </c>
      <c r="T185" s="59">
        <f t="shared" si="142"/>
        <v>476.29465646955543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0.52220627079202409</v>
      </c>
      <c r="AA185" s="21">
        <f>EXP(-LN(2)/25)*AA184+(1-EXP(-LN(2)/25))/(LN(2)/25)*Calculateur!V185*Calculateur!X185*VLOOKUP('Données projet'!$B$9,Paramètres!$A$1:$I$89,3,0)*0.475*44/12</f>
        <v>0.27506130910557264</v>
      </c>
      <c r="AB185" s="21">
        <f>EXP(-LN(2)/2)*AB184+(1-EXP(-LN(2)/2))/(LN(2)/2)*V185*Y185*VLOOKUP('Données projet'!$B$9,Paramètres!$A$1:$I$89,3,0)*0.475*44/12</f>
        <v>1.2245226514723747E-22</v>
      </c>
      <c r="AC185" s="22">
        <f t="shared" si="163"/>
        <v>0.79726757989759678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0</v>
      </c>
      <c r="AO185" s="59">
        <f t="shared" si="144"/>
        <v>0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0.36855521445321965</v>
      </c>
      <c r="AV185" s="21">
        <f>EXP(-LN(2)/25)*AV184+(1-EXP(-LN(2)/25))/(LN(2)/25)*Calculateur!AQ185*Calculateur!AS185*VLOOKUP('Données projet'!$B$10,Paramètres!$A$1:$I$89,3,0)*0.475*44/12</f>
        <v>9.820120759186457E-2</v>
      </c>
      <c r="AW185" s="21">
        <f>EXP(-LN(2)/2)*AW184+(1-EXP(-LN(2)/2))/(LN(2)/2)*AQ185*AT185*VLOOKUP('Données projet'!$B$10,Paramètres!$A$1:$I$89,3,0)*0.475*44/12</f>
        <v>1.0485782835809207E-22</v>
      </c>
      <c r="AX185" s="21">
        <f t="shared" si="166"/>
        <v>0.46675642204508422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-1.2710188457276673E-13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382.55387448074327</v>
      </c>
      <c r="T186" s="59">
        <f t="shared" si="142"/>
        <v>476.29465646955543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0.51196612433616695</v>
      </c>
      <c r="AA186" s="21">
        <f>EXP(-LN(2)/25)*AA185+(1-EXP(-LN(2)/25))/(LN(2)/25)*Calculateur!V186*Calculateur!X186*VLOOKUP('Données projet'!$B$9,Paramètres!$A$1:$I$89,3,0)*0.475*44/12</f>
        <v>0.26753974314323514</v>
      </c>
      <c r="AB186" s="21">
        <f>EXP(-LN(2)/2)*AB185+(1-EXP(-LN(2)/2))/(LN(2)/2)*V186*Y186*VLOOKUP('Données projet'!$B$9,Paramètres!$A$1:$I$89,3,0)*0.475*44/12</f>
        <v>8.6586827057264744E-23</v>
      </c>
      <c r="AC186" s="22">
        <f t="shared" si="163"/>
        <v>0.77950586747940209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0</v>
      </c>
      <c r="AO186" s="59">
        <f t="shared" si="144"/>
        <v>0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0.36132807149427604</v>
      </c>
      <c r="AV186" s="21">
        <f>EXP(-LN(2)/25)*AV185+(1-EXP(-LN(2)/25))/(LN(2)/25)*Calculateur!AQ186*Calculateur!AS186*VLOOKUP('Données projet'!$B$10,Paramètres!$A$1:$I$89,3,0)*0.475*44/12</f>
        <v>9.5515890406087961E-2</v>
      </c>
      <c r="AW186" s="21">
        <f>EXP(-LN(2)/2)*AW185+(1-EXP(-LN(2)/2))/(LN(2)/2)*AQ186*AT186*VLOOKUP('Données projet'!$B$10,Paramètres!$A$1:$I$89,3,0)*0.475*44/12</f>
        <v>7.4145681492501971E-23</v>
      </c>
      <c r="AX186" s="21">
        <f t="shared" si="166"/>
        <v>0.45684396190036403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-1.2710188457276673E-13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382.55387448074327</v>
      </c>
      <c r="T187" s="59">
        <f t="shared" si="142"/>
        <v>476.29465646955543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0.50192678090643661</v>
      </c>
      <c r="AA187" s="21">
        <f>EXP(-LN(2)/25)*AA186+(1-EXP(-LN(2)/25))/(LN(2)/25)*Calculateur!V187*Calculateur!X187*VLOOKUP('Données projet'!$B$9,Paramètres!$A$1:$I$89,3,0)*0.475*44/12</f>
        <v>0.26022385479767973</v>
      </c>
      <c r="AB187" s="21">
        <f>EXP(-LN(2)/2)*AB186+(1-EXP(-LN(2)/2))/(LN(2)/2)*V187*Y187*VLOOKUP('Données projet'!$B$9,Paramètres!$A$1:$I$89,3,0)*0.475*44/12</f>
        <v>6.1226132573618733E-23</v>
      </c>
      <c r="AC187" s="22">
        <f t="shared" si="163"/>
        <v>0.76215063570411634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0</v>
      </c>
      <c r="AO187" s="59">
        <f t="shared" si="144"/>
        <v>0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0.35424264840063535</v>
      </c>
      <c r="AV187" s="21">
        <f>EXP(-LN(2)/25)*AV186+(1-EXP(-LN(2)/25))/(LN(2)/25)*Calculateur!AQ187*Calculateur!AS187*VLOOKUP('Données projet'!$B$10,Paramètres!$A$1:$I$89,3,0)*0.475*44/12</f>
        <v>9.2904003359971107E-2</v>
      </c>
      <c r="AW187" s="21">
        <f>EXP(-LN(2)/2)*AW186+(1-EXP(-LN(2)/2))/(LN(2)/2)*AQ187*AT187*VLOOKUP('Données projet'!$B$10,Paramètres!$A$1:$I$89,3,0)*0.475*44/12</f>
        <v>5.2428914179046041E-23</v>
      </c>
      <c r="AX187" s="21">
        <f t="shared" si="166"/>
        <v>0.44714665176060647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-1.2710188457276673E-13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382.55387448074327</v>
      </c>
      <c r="T188" s="59">
        <f t="shared" si="142"/>
        <v>476.29465646955543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0.49208430287796845</v>
      </c>
      <c r="AA188" s="21">
        <f>EXP(-LN(2)/25)*AA187+(1-EXP(-LN(2)/25))/(LN(2)/25)*Calculateur!V188*Calculateur!X188*VLOOKUP('Données projet'!$B$9,Paramètres!$A$1:$I$89,3,0)*0.475*44/12</f>
        <v>0.25310801980365938</v>
      </c>
      <c r="AB188" s="21">
        <f>EXP(-LN(2)/2)*AB187+(1-EXP(-LN(2)/2))/(LN(2)/2)*V188*Y188*VLOOKUP('Données projet'!$B$9,Paramètres!$A$1:$I$89,3,0)*0.475*44/12</f>
        <v>4.3293413528632372E-23</v>
      </c>
      <c r="AC188" s="22">
        <f t="shared" si="163"/>
        <v>0.74519232268162783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0</v>
      </c>
      <c r="AO188" s="59">
        <f t="shared" si="144"/>
        <v>0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0.34729616613217962</v>
      </c>
      <c r="AV188" s="21">
        <f>EXP(-LN(2)/25)*AV187+(1-EXP(-LN(2)/25))/(LN(2)/25)*Calculateur!AQ188*Calculateur!AS188*VLOOKUP('Données projet'!$B$10,Paramètres!$A$1:$I$89,3,0)*0.475*44/12</f>
        <v>9.0363538502483493E-2</v>
      </c>
      <c r="AW188" s="21">
        <f>EXP(-LN(2)/2)*AW187+(1-EXP(-LN(2)/2))/(LN(2)/2)*AQ188*AT188*VLOOKUP('Données projet'!$B$10,Paramètres!$A$1:$I$89,3,0)*0.475*44/12</f>
        <v>3.7072840746250991E-23</v>
      </c>
      <c r="AX188" s="21">
        <f t="shared" si="166"/>
        <v>0.43765970463466308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-1.2710188457276673E-13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382.55387448074327</v>
      </c>
      <c r="T189" s="59">
        <f t="shared" si="142"/>
        <v>476.29465646955543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0.48243482984031971</v>
      </c>
      <c r="AA189" s="21">
        <f>EXP(-LN(2)/25)*AA188+(1-EXP(-LN(2)/25))/(LN(2)/25)*Calculateur!V189*Calculateur!X189*VLOOKUP('Données projet'!$B$9,Paramètres!$A$1:$I$89,3,0)*0.475*44/12</f>
        <v>0.24618676769175604</v>
      </c>
      <c r="AB189" s="21">
        <f>EXP(-LN(2)/2)*AB188+(1-EXP(-LN(2)/2))/(LN(2)/2)*V189*Y189*VLOOKUP('Données projet'!$B$9,Paramètres!$A$1:$I$89,3,0)*0.475*44/12</f>
        <v>3.0613066286809366E-23</v>
      </c>
      <c r="AC189" s="22">
        <f t="shared" si="163"/>
        <v>0.72862159753207578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0</v>
      </c>
      <c r="AO189" s="59">
        <f t="shared" si="144"/>
        <v>0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0.34048590014407248</v>
      </c>
      <c r="AV189" s="21">
        <f>EXP(-LN(2)/25)*AV188+(1-EXP(-LN(2)/25))/(LN(2)/25)*Calculateur!AQ189*Calculateur!AS189*VLOOKUP('Données projet'!$B$10,Paramètres!$A$1:$I$89,3,0)*0.475*44/12</f>
        <v>8.7892542790121125E-2</v>
      </c>
      <c r="AW189" s="21">
        <f>EXP(-LN(2)/2)*AW188+(1-EXP(-LN(2)/2))/(LN(2)/2)*AQ189*AT189*VLOOKUP('Données projet'!$B$10,Paramètres!$A$1:$I$89,3,0)*0.475*44/12</f>
        <v>2.6214457089523026E-23</v>
      </c>
      <c r="AX189" s="21">
        <f t="shared" si="166"/>
        <v>0.42837844293419358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-1.2710188457276673E-13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382.55387448074327</v>
      </c>
      <c r="T190" s="59">
        <f t="shared" si="142"/>
        <v>476.29465646955543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0.47297457708334184</v>
      </c>
      <c r="AA190" s="21">
        <f>EXP(-LN(2)/25)*AA189+(1-EXP(-LN(2)/25))/(LN(2)/25)*Calculateur!V190*Calculateur!X190*VLOOKUP('Données projet'!$B$9,Paramètres!$A$1:$I$89,3,0)*0.475*44/12</f>
        <v>0.23945477758282552</v>
      </c>
      <c r="AB190" s="21">
        <f>EXP(-LN(2)/2)*AB189+(1-EXP(-LN(2)/2))/(LN(2)/2)*V190*Y190*VLOOKUP('Données projet'!$B$9,Paramètres!$A$1:$I$89,3,0)*0.475*44/12</f>
        <v>2.1646706764316186E-23</v>
      </c>
      <c r="AC190" s="22">
        <f t="shared" si="163"/>
        <v>0.7124293546661673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0</v>
      </c>
      <c r="AO190" s="59">
        <f t="shared" si="144"/>
        <v>0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0.33380917931814003</v>
      </c>
      <c r="AV190" s="21">
        <f>EXP(-LN(2)/25)*AV189+(1-EXP(-LN(2)/25))/(LN(2)/25)*Calculateur!AQ190*Calculateur!AS190*VLOOKUP('Données projet'!$B$10,Paramètres!$A$1:$I$89,3,0)*0.475*44/12</f>
        <v>8.5489116585457325E-2</v>
      </c>
      <c r="AW190" s="21">
        <f>EXP(-LN(2)/2)*AW189+(1-EXP(-LN(2)/2))/(LN(2)/2)*AQ190*AT190*VLOOKUP('Données projet'!$B$10,Paramètres!$A$1:$I$89,3,0)*0.475*44/12</f>
        <v>1.8536420373125499E-23</v>
      </c>
      <c r="AX190" s="21">
        <f t="shared" si="166"/>
        <v>0.41929829590359735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-1.2710188457276673E-13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382.55387448074327</v>
      </c>
      <c r="T191" s="59">
        <f t="shared" si="142"/>
        <v>476.29465646955543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0.4636998341127439</v>
      </c>
      <c r="AA191" s="21">
        <f>EXP(-LN(2)/25)*AA190+(1-EXP(-LN(2)/25))/(LN(2)/25)*Calculateur!V191*Calculateur!X191*VLOOKUP('Données projet'!$B$9,Paramètres!$A$1:$I$89,3,0)*0.475*44/12</f>
        <v>0.23290687409744368</v>
      </c>
      <c r="AB191" s="21">
        <f>EXP(-LN(2)/2)*AB190+(1-EXP(-LN(2)/2))/(LN(2)/2)*V191*Y191*VLOOKUP('Données projet'!$B$9,Paramètres!$A$1:$I$89,3,0)*0.475*44/12</f>
        <v>1.5306533143404683E-23</v>
      </c>
      <c r="AC191" s="22">
        <f t="shared" si="163"/>
        <v>0.69660670821018755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0</v>
      </c>
      <c r="AO191" s="59">
        <f t="shared" si="144"/>
        <v>0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0.32726338491520651</v>
      </c>
      <c r="AV191" s="21">
        <f>EXP(-LN(2)/25)*AV190+(1-EXP(-LN(2)/25))/(LN(2)/25)*Calculateur!AQ191*Calculateur!AS191*VLOOKUP('Données projet'!$B$10,Paramètres!$A$1:$I$89,3,0)*0.475*44/12</f>
        <v>8.3151412196750735E-2</v>
      </c>
      <c r="AW191" s="21">
        <f>EXP(-LN(2)/2)*AW190+(1-EXP(-LN(2)/2))/(LN(2)/2)*AQ191*AT191*VLOOKUP('Données projet'!$B$10,Paramètres!$A$1:$I$89,3,0)*0.475*44/12</f>
        <v>1.3107228544761515E-23</v>
      </c>
      <c r="AX191" s="21">
        <f t="shared" si="166"/>
        <v>0.41041479711195727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-1.2710188457276673E-13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382.55387448074327</v>
      </c>
      <c r="T192" s="59">
        <f t="shared" si="142"/>
        <v>476.29465646955543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0.45460696319476473</v>
      </c>
      <c r="AA192" s="21">
        <f>EXP(-LN(2)/25)*AA191+(1-EXP(-LN(2)/25))/(LN(2)/25)*Calculateur!V192*Calculateur!X192*VLOOKUP('Données projet'!$B$9,Paramètres!$A$1:$I$89,3,0)*0.475*44/12</f>
        <v>0.22653802337720888</v>
      </c>
      <c r="AB192" s="21">
        <f>EXP(-LN(2)/2)*AB191+(1-EXP(-LN(2)/2))/(LN(2)/2)*V192*Y192*VLOOKUP('Données projet'!$B$9,Paramètres!$A$1:$I$89,3,0)*0.475*44/12</f>
        <v>1.0823353382158093E-23</v>
      </c>
      <c r="AC192" s="22">
        <f t="shared" si="163"/>
        <v>0.68114498657197364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0</v>
      </c>
      <c r="AO192" s="59">
        <f t="shared" si="144"/>
        <v>0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0.32084594954797419</v>
      </c>
      <c r="AV192" s="21">
        <f>EXP(-LN(2)/25)*AV191+(1-EXP(-LN(2)/25))/(LN(2)/25)*Calculateur!AQ192*Calculateur!AS192*VLOOKUP('Données projet'!$B$10,Paramètres!$A$1:$I$89,3,0)*0.475*44/12</f>
        <v>8.0877632457487858E-2</v>
      </c>
      <c r="AW192" s="21">
        <f>EXP(-LN(2)/2)*AW191+(1-EXP(-LN(2)/2))/(LN(2)/2)*AQ192*AT192*VLOOKUP('Données projet'!$B$10,Paramètres!$A$1:$I$89,3,0)*0.475*44/12</f>
        <v>9.2682101865627508E-24</v>
      </c>
      <c r="AX192" s="21">
        <f t="shared" si="166"/>
        <v>0.40172358200546204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-1.2710188457276673E-13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382.55387448074327</v>
      </c>
      <c r="T193" s="59">
        <f t="shared" si="142"/>
        <v>476.29465646955543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0.44569239792938353</v>
      </c>
      <c r="AA193" s="21">
        <f>EXP(-LN(2)/25)*AA192+(1-EXP(-LN(2)/25))/(LN(2)/25)*Calculateur!V193*Calculateur!X193*VLOOKUP('Données projet'!$B$9,Paramètres!$A$1:$I$89,3,0)*0.475*44/12</f>
        <v>0.2203433292148422</v>
      </c>
      <c r="AB193" s="21">
        <f>EXP(-LN(2)/2)*AB192+(1-EXP(-LN(2)/2))/(LN(2)/2)*V193*Y193*VLOOKUP('Données projet'!$B$9,Paramètres!$A$1:$I$89,3,0)*0.475*44/12</f>
        <v>7.6532665717023416E-24</v>
      </c>
      <c r="AC193" s="22">
        <f t="shared" si="163"/>
        <v>0.66603572714422576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0</v>
      </c>
      <c r="AO193" s="59">
        <f t="shared" si="144"/>
        <v>0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0.3145543561740442</v>
      </c>
      <c r="AV193" s="21">
        <f>EXP(-LN(2)/25)*AV192+(1-EXP(-LN(2)/25))/(LN(2)/25)*Calculateur!AQ193*Calculateur!AS193*VLOOKUP('Données projet'!$B$10,Paramètres!$A$1:$I$89,3,0)*0.475*44/12</f>
        <v>7.8666029344768004E-2</v>
      </c>
      <c r="AW193" s="21">
        <f>EXP(-LN(2)/2)*AW192+(1-EXP(-LN(2)/2))/(LN(2)/2)*AQ193*AT193*VLOOKUP('Données projet'!$B$10,Paramètres!$A$1:$I$89,3,0)*0.475*44/12</f>
        <v>6.553614272380758E-24</v>
      </c>
      <c r="AX193" s="21">
        <f t="shared" si="166"/>
        <v>0.39322038551881222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-1.2710188457276673E-13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382.55387448074327</v>
      </c>
      <c r="T194" s="59">
        <f t="shared" si="142"/>
        <v>476.29465646955543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0.43695264185150856</v>
      </c>
      <c r="AA194" s="21">
        <f>EXP(-LN(2)/25)*AA193+(1-EXP(-LN(2)/25))/(LN(2)/25)*Calculateur!V194*Calculateur!X194*VLOOKUP('Données projet'!$B$9,Paramètres!$A$1:$I$89,3,0)*0.475*44/12</f>
        <v>0.21431802929011026</v>
      </c>
      <c r="AB194" s="21">
        <f>EXP(-LN(2)/2)*AB193+(1-EXP(-LN(2)/2))/(LN(2)/2)*V194*Y194*VLOOKUP('Données projet'!$B$9,Paramètres!$A$1:$I$89,3,0)*0.475*44/12</f>
        <v>5.4116766910790465E-24</v>
      </c>
      <c r="AC194" s="22">
        <f t="shared" si="163"/>
        <v>0.65127067114161885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0</v>
      </c>
      <c r="AO194" s="59">
        <f t="shared" si="144"/>
        <v>0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0.30838613710868396</v>
      </c>
      <c r="AV194" s="21">
        <f>EXP(-LN(2)/25)*AV193+(1-EXP(-LN(2)/25))/(LN(2)/25)*Calculateur!AQ194*Calculateur!AS194*VLOOKUP('Données projet'!$B$10,Paramètres!$A$1:$I$89,3,0)*0.475*44/12</f>
        <v>7.6514902635468632E-2</v>
      </c>
      <c r="AW194" s="21">
        <f>EXP(-LN(2)/2)*AW193+(1-EXP(-LN(2)/2))/(LN(2)/2)*AQ194*AT194*VLOOKUP('Données projet'!$B$10,Paramètres!$A$1:$I$89,3,0)*0.475*44/12</f>
        <v>4.6341050932813761E-24</v>
      </c>
      <c r="AX194" s="21">
        <f t="shared" si="166"/>
        <v>0.38490103974415257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-1.2710188457276673E-13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382.55387448074327</v>
      </c>
      <c r="T195" s="59">
        <f t="shared" si="142"/>
        <v>476.29465646955543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0.42838426705959587</v>
      </c>
      <c r="AA195" s="21">
        <f>EXP(-LN(2)/25)*AA194+(1-EXP(-LN(2)/25))/(LN(2)/25)*Calculateur!V195*Calculateur!X195*VLOOKUP('Données projet'!$B$9,Paramètres!$A$1:$I$89,3,0)*0.475*44/12</f>
        <v>0.20845749150867687</v>
      </c>
      <c r="AB195" s="21">
        <f>EXP(-LN(2)/2)*AB194+(1-EXP(-LN(2)/2))/(LN(2)/2)*V195*Y195*VLOOKUP('Données projet'!$B$9,Paramètres!$A$1:$I$89,3,0)*0.475*44/12</f>
        <v>3.8266332858511708E-24</v>
      </c>
      <c r="AC195" s="22">
        <f t="shared" si="163"/>
        <v>0.63684175856827274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0</v>
      </c>
      <c r="AO195" s="59">
        <f t="shared" si="144"/>
        <v>0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0.30233887305695328</v>
      </c>
      <c r="AV195" s="21">
        <f>EXP(-LN(2)/25)*AV194+(1-EXP(-LN(2)/25))/(LN(2)/25)*Calculateur!AQ195*Calculateur!AS195*VLOOKUP('Données projet'!$B$10,Paramètres!$A$1:$I$89,3,0)*0.475*44/12</f>
        <v>7.4422598599157896E-2</v>
      </c>
      <c r="AW195" s="21">
        <f>EXP(-LN(2)/2)*AW194+(1-EXP(-LN(2)/2))/(LN(2)/2)*AQ195*AT195*VLOOKUP('Données projet'!$B$10,Paramètres!$A$1:$I$89,3,0)*0.475*44/12</f>
        <v>3.2768071361903797E-24</v>
      </c>
      <c r="AX195" s="21">
        <f t="shared" si="166"/>
        <v>0.37676147165611118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-1.2710188457276673E-13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382.55387448074327</v>
      </c>
      <c r="T196" s="59">
        <f t="shared" si="142"/>
        <v>476.29465646955543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0.41998391287115999</v>
      </c>
      <c r="AA196" s="21">
        <f>EXP(-LN(2)/25)*AA195+(1-EXP(-LN(2)/25))/(LN(2)/25)*Calculateur!V196*Calculateur!X196*VLOOKUP('Données projet'!$B$9,Paramètres!$A$1:$I$89,3,0)*0.475*44/12</f>
        <v>0.20275721044106906</v>
      </c>
      <c r="AB196" s="21">
        <f>EXP(-LN(2)/2)*AB195+(1-EXP(-LN(2)/2))/(LN(2)/2)*V196*Y196*VLOOKUP('Données projet'!$B$9,Paramètres!$A$1:$I$89,3,0)*0.475*44/12</f>
        <v>2.7058383455395232E-24</v>
      </c>
      <c r="AC196" s="22">
        <f t="shared" si="163"/>
        <v>0.62274112331222908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0</v>
      </c>
      <c r="AO196" s="59">
        <f t="shared" si="144"/>
        <v>0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0.29641019216481018</v>
      </c>
      <c r="AV196" s="21">
        <f>EXP(-LN(2)/25)*AV195+(1-EXP(-LN(2)/25))/(LN(2)/25)*Calculateur!AQ196*Calculateur!AS196*VLOOKUP('Données projet'!$B$10,Paramètres!$A$1:$I$89,3,0)*0.475*44/12</f>
        <v>7.2387508726749553E-2</v>
      </c>
      <c r="AW196" s="21">
        <f>EXP(-LN(2)/2)*AW195+(1-EXP(-LN(2)/2))/(LN(2)/2)*AQ196*AT196*VLOOKUP('Données projet'!$B$10,Paramètres!$A$1:$I$89,3,0)*0.475*44/12</f>
        <v>2.3170525466406884E-24</v>
      </c>
      <c r="AX196" s="21">
        <f t="shared" si="166"/>
        <v>0.36879770089155972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-1.2710188457276673E-13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382.55387448074327</v>
      </c>
      <c r="T197" s="59">
        <f t="shared" ref="T197:T203" si="204">$T$3</f>
        <v>476.29465646955543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0.41174828450464923</v>
      </c>
      <c r="AA197" s="21">
        <f>EXP(-LN(2)/25)*AA196+(1-EXP(-LN(2)/25))/(LN(2)/25)*Calculateur!V197*Calculateur!X197*VLOOKUP('Données projet'!$B$9,Paramètres!$A$1:$I$89,3,0)*0.475*44/12</f>
        <v>0.19721280385901974</v>
      </c>
      <c r="AB197" s="21">
        <f>EXP(-LN(2)/2)*AB196+(1-EXP(-LN(2)/2))/(LN(2)/2)*V197*Y197*VLOOKUP('Données projet'!$B$9,Paramètres!$A$1:$I$89,3,0)*0.475*44/12</f>
        <v>1.9133166429255854E-24</v>
      </c>
      <c r="AC197" s="22">
        <f t="shared" si="163"/>
        <v>0.60896108836366891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0</v>
      </c>
      <c r="AO197" s="59">
        <f t="shared" ref="AO197:AO203" si="205">$AO$3</f>
        <v>0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0.29059776908882373</v>
      </c>
      <c r="AV197" s="21">
        <f>EXP(-LN(2)/25)*AV196+(1-EXP(-LN(2)/25))/(LN(2)/25)*Calculateur!AQ197*Calculateur!AS197*VLOOKUP('Données projet'!$B$10,Paramètres!$A$1:$I$89,3,0)*0.475*44/12</f>
        <v>7.0408068493922948E-2</v>
      </c>
      <c r="AW197" s="21">
        <f>EXP(-LN(2)/2)*AW196+(1-EXP(-LN(2)/2))/(LN(2)/2)*AQ197*AT197*VLOOKUP('Données projet'!$B$10,Paramètres!$A$1:$I$89,3,0)*0.475*44/12</f>
        <v>1.6384035680951901E-24</v>
      </c>
      <c r="AX197" s="21">
        <f t="shared" si="166"/>
        <v>0.36100583758274668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-1.2710188457276673E-13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382.55387448074327</v>
      </c>
      <c r="T198" s="59">
        <f t="shared" si="204"/>
        <v>476.29465646955543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0.40367415178716842</v>
      </c>
      <c r="AA198" s="21">
        <f>EXP(-LN(2)/25)*AA197+(1-EXP(-LN(2)/25))/(LN(2)/25)*Calculateur!V198*Calculateur!X198*VLOOKUP('Données projet'!$B$9,Paramètres!$A$1:$I$89,3,0)*0.475*44/12</f>
        <v>0.19182000936652421</v>
      </c>
      <c r="AB198" s="21">
        <f>EXP(-LN(2)/2)*AB197+(1-EXP(-LN(2)/2))/(LN(2)/2)*V198*Y198*VLOOKUP('Données projet'!$B$9,Paramètres!$A$1:$I$89,3,0)*0.475*44/12</f>
        <v>1.3529191727697616E-24</v>
      </c>
      <c r="AC198" s="22">
        <f t="shared" si="163"/>
        <v>0.59549416115369258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0</v>
      </c>
      <c r="AO198" s="59">
        <f t="shared" si="205"/>
        <v>0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0.28489932408412932</v>
      </c>
      <c r="AV198" s="21">
        <f>EXP(-LN(2)/25)*AV197+(1-EXP(-LN(2)/25))/(LN(2)/25)*Calculateur!AQ198*Calculateur!AS198*VLOOKUP('Données projet'!$B$10,Paramètres!$A$1:$I$89,3,0)*0.475*44/12</f>
        <v>6.8482756158357222E-2</v>
      </c>
      <c r="AW198" s="21">
        <f>EXP(-LN(2)/2)*AW197+(1-EXP(-LN(2)/2))/(LN(2)/2)*AQ198*AT198*VLOOKUP('Données projet'!$B$10,Paramètres!$A$1:$I$89,3,0)*0.475*44/12</f>
        <v>1.1585262733203444E-24</v>
      </c>
      <c r="AX198" s="21">
        <f t="shared" si="166"/>
        <v>0.35338208024248652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-1.2710188457276673E-13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382.55387448074327</v>
      </c>
      <c r="T199" s="59">
        <f t="shared" si="204"/>
        <v>476.29465646955543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0.39575834788754272</v>
      </c>
      <c r="AA199" s="21">
        <f>EXP(-LN(2)/25)*AA198+(1-EXP(-LN(2)/25))/(LN(2)/25)*Calculateur!V199*Calculateur!X199*VLOOKUP('Données projet'!$B$9,Paramètres!$A$1:$I$89,3,0)*0.475*44/12</f>
        <v>0.18657468112302072</v>
      </c>
      <c r="AB199" s="21">
        <f>EXP(-LN(2)/2)*AB198+(1-EXP(-LN(2)/2))/(LN(2)/2)*V199*Y199*VLOOKUP('Données projet'!$B$9,Paramètres!$A$1:$I$89,3,0)*0.475*44/12</f>
        <v>9.566583214627927E-25</v>
      </c>
      <c r="AC199" s="22">
        <f t="shared" si="163"/>
        <v>0.5823330290105635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0</v>
      </c>
      <c r="AO199" s="59">
        <f t="shared" si="205"/>
        <v>0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0.27931262211026875</v>
      </c>
      <c r="AV199" s="21">
        <f>EXP(-LN(2)/25)*AV198+(1-EXP(-LN(2)/25))/(LN(2)/25)*Calculateur!AQ199*Calculateur!AS199*VLOOKUP('Données projet'!$B$10,Paramètres!$A$1:$I$89,3,0)*0.475*44/12</f>
        <v>6.6610091589855314E-2</v>
      </c>
      <c r="AW199" s="21">
        <f>EXP(-LN(2)/2)*AW198+(1-EXP(-LN(2)/2))/(LN(2)/2)*AQ199*AT199*VLOOKUP('Données projet'!$B$10,Paramètres!$A$1:$I$89,3,0)*0.475*44/12</f>
        <v>8.1920178404759521E-25</v>
      </c>
      <c r="AX199" s="21">
        <f t="shared" si="166"/>
        <v>0.34592271370012406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-1.2710188457276673E-13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382.55387448074327</v>
      </c>
      <c r="T200" s="59">
        <f t="shared" si="204"/>
        <v>476.29465646955543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0.38799776807422504</v>
      </c>
      <c r="AA200" s="21">
        <f>EXP(-LN(2)/25)*AA199+(1-EXP(-LN(2)/25))/(LN(2)/25)*Calculateur!V200*Calculateur!X200*VLOOKUP('Données projet'!$B$9,Paramètres!$A$1:$I$89,3,0)*0.475*44/12</f>
        <v>0.18147278665617567</v>
      </c>
      <c r="AB200" s="21">
        <f>EXP(-LN(2)/2)*AB199+(1-EXP(-LN(2)/2))/(LN(2)/2)*V200*Y200*VLOOKUP('Données projet'!$B$9,Paramètres!$A$1:$I$89,3,0)*0.475*44/12</f>
        <v>6.7645958638488081E-25</v>
      </c>
      <c r="AC200" s="22">
        <f t="shared" si="163"/>
        <v>0.56947055473040065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0</v>
      </c>
      <c r="AO200" s="59">
        <f t="shared" si="205"/>
        <v>0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0.27383547195456381</v>
      </c>
      <c r="AV200" s="21">
        <f>EXP(-LN(2)/25)*AV199+(1-EXP(-LN(2)/25))/(LN(2)/25)*Calculateur!AQ200*Calculateur!AS200*VLOOKUP('Données projet'!$B$10,Paramètres!$A$1:$I$89,3,0)*0.475*44/12</f>
        <v>6.4788635132458236E-2</v>
      </c>
      <c r="AW200" s="21">
        <f>EXP(-LN(2)/2)*AW199+(1-EXP(-LN(2)/2))/(LN(2)/2)*AQ200*AT200*VLOOKUP('Données projet'!$B$10,Paramètres!$A$1:$I$89,3,0)*0.475*44/12</f>
        <v>5.7926313666017229E-25</v>
      </c>
      <c r="AX200" s="21">
        <f t="shared" si="166"/>
        <v>0.33862410708702206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-1.2710188457276673E-13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382.55387448074327</v>
      </c>
      <c r="T201" s="59">
        <f t="shared" si="204"/>
        <v>476.29465646955543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0.38038936849756022</v>
      </c>
      <c r="AA201" s="21">
        <f>EXP(-LN(2)/25)*AA200+(1-EXP(-LN(2)/25))/(LN(2)/25)*Calculateur!V201*Calculateur!X201*VLOOKUP('Données projet'!$B$9,Paramètres!$A$1:$I$89,3,0)*0.475*44/12</f>
        <v>0.17651040376182345</v>
      </c>
      <c r="AB201" s="21">
        <f>EXP(-LN(2)/2)*AB200+(1-EXP(-LN(2)/2))/(LN(2)/2)*V201*Y201*VLOOKUP('Données projet'!$B$9,Paramètres!$A$1:$I$89,3,0)*0.475*44/12</f>
        <v>4.7832916073139635E-25</v>
      </c>
      <c r="AC201" s="22">
        <f t="shared" si="163"/>
        <v>0.5568997722593837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0</v>
      </c>
      <c r="AO201" s="59">
        <f t="shared" si="205"/>
        <v>0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0.26846572537268054</v>
      </c>
      <c r="AV201" s="21">
        <f>EXP(-LN(2)/25)*AV200+(1-EXP(-LN(2)/25))/(LN(2)/25)*Calculateur!AQ201*Calculateur!AS201*VLOOKUP('Données projet'!$B$10,Paramètres!$A$1:$I$89,3,0)*0.475*44/12</f>
        <v>6.3016986497674926E-2</v>
      </c>
      <c r="AW201" s="21">
        <f>EXP(-LN(2)/2)*AW200+(1-EXP(-LN(2)/2))/(LN(2)/2)*AQ201*AT201*VLOOKUP('Données projet'!$B$10,Paramètres!$A$1:$I$89,3,0)*0.475*44/12</f>
        <v>4.0960089202379765E-25</v>
      </c>
      <c r="AX201" s="21">
        <f t="shared" si="166"/>
        <v>0.3314827118703555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-1.2710188457276673E-13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382.55387448074327</v>
      </c>
      <c r="T202" s="59">
        <f t="shared" si="204"/>
        <v>476.29465646955543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0.37293016499592829</v>
      </c>
      <c r="AA202" s="21">
        <f>EXP(-LN(2)/25)*AA201+(1-EXP(-LN(2)/25))/(LN(2)/25)*Calculateur!V202*Calculateur!X202*VLOOKUP('Données projet'!$B$9,Paramètres!$A$1:$I$89,3,0)*0.475*44/12</f>
        <v>0.17168371748867767</v>
      </c>
      <c r="AB202" s="21">
        <f>EXP(-LN(2)/2)*AB201+(1-EXP(-LN(2)/2))/(LN(2)/2)*V202*Y202*VLOOKUP('Données projet'!$B$9,Paramètres!$A$1:$I$89,3,0)*0.475*44/12</f>
        <v>3.3822979319244041E-25</v>
      </c>
      <c r="AC202" s="22">
        <f t="shared" si="163"/>
        <v>0.54461388248460596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0</v>
      </c>
      <c r="AO202" s="59">
        <f t="shared" si="205"/>
        <v>0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0.263201276246046</v>
      </c>
      <c r="AV202" s="21">
        <f>EXP(-LN(2)/25)*AV201+(1-EXP(-LN(2)/25))/(LN(2)/25)*Calculateur!AQ202*Calculateur!AS202*VLOOKUP('Données projet'!$B$10,Paramètres!$A$1:$I$89,3,0)*0.475*44/12</f>
        <v>6.1293783687976715E-2</v>
      </c>
      <c r="AW202" s="21">
        <f>EXP(-LN(2)/2)*AW201+(1-EXP(-LN(2)/2))/(LN(2)/2)*AQ202*AT202*VLOOKUP('Données projet'!$B$10,Paramètres!$A$1:$I$89,3,0)*0.475*44/12</f>
        <v>2.8963156833008619E-25</v>
      </c>
      <c r="AX202" s="21">
        <f t="shared" si="166"/>
        <v>0.32449505993402272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-1.2710188457276673E-13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382.55387448074327</v>
      </c>
      <c r="T203" s="59">
        <f t="shared" si="204"/>
        <v>476.29465646955543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0.36561723192529849</v>
      </c>
      <c r="AA203" s="21">
        <f>EXP(-LN(2)/25)*AA202+(1-EXP(-LN(2)/25))/(LN(2)/25)*Calculateur!V203*Calculateur!X203*VLOOKUP('Données projet'!$B$9,Paramètres!$A$1:$I$89,3,0)*0.475*44/12</f>
        <v>0.16698901720549547</v>
      </c>
      <c r="AB203" s="21">
        <f>EXP(-LN(2)/2)*AB202+(1-EXP(-LN(2)/2))/(LN(2)/2)*V203*Y203*VLOOKUP('Données projet'!$B$9,Paramètres!$A$1:$I$89,3,0)*0.475*44/12</f>
        <v>2.3916458036569817E-25</v>
      </c>
      <c r="AC203" s="22">
        <f t="shared" si="163"/>
        <v>0.53260624913079391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0</v>
      </c>
      <c r="AO203" s="59">
        <f t="shared" si="205"/>
        <v>0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0.25804005975578787</v>
      </c>
      <c r="AV203" s="21">
        <f>EXP(-LN(2)/25)*AV202+(1-EXP(-LN(2)/25))/(LN(2)/25)*Calculateur!AQ203*Calculateur!AS203*VLOOKUP('Données projet'!$B$10,Paramètres!$A$1:$I$89,3,0)*0.475*44/12</f>
        <v>5.9617701949728999E-2</v>
      </c>
      <c r="AW203" s="21">
        <f>EXP(-LN(2)/2)*AW202+(1-EXP(-LN(2)/2))/(LN(2)/2)*AQ203*AT203*VLOOKUP('Données projet'!$B$10,Paramètres!$A$1:$I$89,3,0)*0.475*44/12</f>
        <v>2.0480044601189885E-25</v>
      </c>
      <c r="AX203" s="21">
        <f t="shared" si="166"/>
        <v>0.31765776170551685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1.3070441688874561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1.244502252163008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3.9449999999999998</v>
      </c>
      <c r="C6" s="147">
        <f ca="1">IF(OR('Données projet'!B9="",'Données projet'!C9="",'Données projet'!C9=0%),0,Calculateur!S3)</f>
        <v>382.55387448074327</v>
      </c>
      <c r="D6" s="147">
        <f>IF(OR('Données projet'!B9="",'Données projet'!C9="",'Données projet'!C9=0%),0,Calculateur!T3)</f>
        <v>476.29465646955543</v>
      </c>
      <c r="E6" s="147">
        <f ca="1">MIN(C6,D6)</f>
        <v>382.55387448074327</v>
      </c>
      <c r="F6" s="147">
        <f ca="1">E6*B6</f>
        <v>1509.1750348265321</v>
      </c>
      <c r="G6" s="147">
        <f ca="1">F6*(100%-'Données projet'!$C$24)*(100%-'Données projet'!$C$25)*(100%-'Données projet'!$C$26)*(100%-'Données projet'!$C$27)</f>
        <v>1358.2575313438788</v>
      </c>
      <c r="H6" s="148">
        <f>IF(OR('Données projet'!B9="",'Données projet'!C9="",'Données projet'!C9=0%),0,AVERAGE(Calculateur!$AC$3:$AC$33)*B6)</f>
        <v>17.764984961309125</v>
      </c>
      <c r="I6" s="149">
        <f>H6*(100%-'Données projet'!$C$24)*(100%-'Données projet'!$C$25)*(100%-'Données projet'!$C$26)*(100%-'Données projet'!$C$27)</f>
        <v>15.988486465178212</v>
      </c>
      <c r="J6" s="150">
        <f>IF(OR('Données projet'!B9="",'Données projet'!C9="",'Données projet'!C9=0%),0,SUM(Calculateur!$V$3:$V$33)*VLOOKUP('Données projet'!$B$9,Paramètres!$A$1:$I$89,9,0)*B6)</f>
        <v>183.20579999999998</v>
      </c>
      <c r="K6" s="151">
        <f>J6*(100%-'Données projet'!$C$24)*(100%-'Données projet'!$C$25)*(100%-'Données projet'!$C$26)*(100%-'Données projet'!$C$27)</f>
        <v>164.88521999999998</v>
      </c>
      <c r="L6" s="152">
        <f ca="1">G6+I6+K6</f>
        <v>1539.131237809057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laricio</v>
      </c>
      <c r="B7" s="154">
        <f>'Données projet'!D10</f>
        <v>1.3149999999999999</v>
      </c>
      <c r="C7" s="147">
        <f ca="1"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ca="1" si="0">MIN(C7,D7)</f>
        <v>0</v>
      </c>
      <c r="F7" s="147">
        <f t="shared" ref="F7:F15" ca="1" si="1">E7*B7</f>
        <v>0</v>
      </c>
      <c r="G7" s="147">
        <f ca="1"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3.7993915886082945</v>
      </c>
      <c r="I7" s="149">
        <f>H7*(100%-'Données projet'!$C$24)*(100%-'Données projet'!$C$25)*(100%-'Données projet'!$C$26)*(100%-'Données projet'!$C$27)</f>
        <v>3.4194524297474653</v>
      </c>
      <c r="J7" s="150">
        <f>IF(OR('Données projet'!B10="",'Données projet'!C10="",'Données projet'!C10=0%),0,SUM(Calculateur!$AQ$3:$AQ$33)*VLOOKUP('Données projet'!$B$10,Paramètres!$A$1:$I$89,9,0)*B7)</f>
        <v>37.885149999999996</v>
      </c>
      <c r="K7" s="151">
        <f>J7*(100%-'Données projet'!$C$24)*(100%-'Données projet'!$C$25)*(100%-'Données projet'!$C$26)*(100%-'Données projet'!$C$27)</f>
        <v>34.096634999999999</v>
      </c>
      <c r="L7" s="152">
        <f t="shared" ref="L7:L15" ca="1" si="2">G7+I7+K7</f>
        <v>37.516087429747465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1509.1750348265321</v>
      </c>
      <c r="G16" s="166">
        <f t="shared" ca="1" si="3"/>
        <v>1358.2575313438788</v>
      </c>
      <c r="H16" s="167">
        <f t="shared" si="3"/>
        <v>21.564376549917419</v>
      </c>
      <c r="I16" s="167">
        <f t="shared" si="3"/>
        <v>19.407938894925678</v>
      </c>
      <c r="J16" s="168">
        <f t="shared" si="3"/>
        <v>221.09094999999996</v>
      </c>
      <c r="K16" s="168">
        <f t="shared" si="3"/>
        <v>198.98185499999997</v>
      </c>
      <c r="L16" s="169">
        <f t="shared" ca="1" si="3"/>
        <v>1576.6473252388043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6" zoomScale="80" zoomScaleNormal="80" workbookViewId="0">
      <selection activeCell="G32" sqref="G3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3140.1467927002095</v>
      </c>
      <c r="U10" s="178">
        <f>'Données projet'!D9</f>
        <v>3.9449999999999998</v>
      </c>
      <c r="V10" s="177">
        <f>U10*T10</f>
        <v>12387.879097202325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1047.1163260233498</v>
      </c>
      <c r="U11" s="178">
        <f>'Données projet'!D10</f>
        <v>1.3149999999999999</v>
      </c>
      <c r="V11" s="177">
        <f t="shared" ref="V11" si="0">U11*T11</f>
        <v>1376.9579687207049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60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1300*(0.5+0.58)</f>
        <v>1404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60.000000000000085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15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900.00000000000125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(7128+160+864+2219)/4.32</f>
        <v>2400.6944444444443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450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4</v>
      </c>
      <c r="I22" s="191">
        <v>550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19</v>
      </c>
      <c r="B23" s="181">
        <f>'Données projet'!D36</f>
        <v>0</v>
      </c>
      <c r="C23" s="193">
        <v>0</v>
      </c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-3456.306473448798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25</v>
      </c>
      <c r="B24" s="181">
        <f>'Données projet'!D37</f>
        <v>54</v>
      </c>
      <c r="C24" s="193">
        <v>2</v>
      </c>
      <c r="D24" s="182">
        <f t="shared" ref="D24:D42" si="2">B24*C24</f>
        <v>108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337.48216520102289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54</v>
      </c>
      <c r="C25" s="193">
        <v>2</v>
      </c>
      <c r="D25" s="182">
        <f t="shared" si="2"/>
        <v>108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-3793.7886386498208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35</v>
      </c>
      <c r="B26" s="181">
        <f>'Données projet'!D39</f>
        <v>69</v>
      </c>
      <c r="C26" s="193">
        <v>10</v>
      </c>
      <c r="D26" s="182">
        <f t="shared" si="2"/>
        <v>690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40</v>
      </c>
      <c r="B27" s="181">
        <f>'Données projet'!D40</f>
        <v>72</v>
      </c>
      <c r="C27" s="193">
        <v>10</v>
      </c>
      <c r="D27" s="182">
        <f t="shared" si="2"/>
        <v>720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45</v>
      </c>
      <c r="B28" s="181">
        <f>'Données projet'!D41</f>
        <v>66</v>
      </c>
      <c r="C28" s="193">
        <v>33</v>
      </c>
      <c r="D28" s="182">
        <f t="shared" si="2"/>
        <v>2178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50</v>
      </c>
      <c r="B29" s="181">
        <f>'Données projet'!D42</f>
        <v>48</v>
      </c>
      <c r="C29" s="193">
        <v>33</v>
      </c>
      <c r="D29" s="182">
        <f t="shared" si="2"/>
        <v>1584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55</v>
      </c>
      <c r="B30" s="181">
        <f>'Données projet'!D43</f>
        <v>35</v>
      </c>
      <c r="C30" s="193">
        <v>55</v>
      </c>
      <c r="D30" s="182">
        <f t="shared" si="2"/>
        <v>1925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60</v>
      </c>
      <c r="B31" s="181">
        <f>'Données projet'!D44</f>
        <v>666</v>
      </c>
      <c r="C31" s="193">
        <v>75</v>
      </c>
      <c r="D31" s="182">
        <f t="shared" si="2"/>
        <v>49950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1300*(0.48*0.58)</f>
        <v>361.91999999999996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22</v>
      </c>
      <c r="B54" s="181">
        <f>'Données projet'!D62</f>
        <v>16</v>
      </c>
      <c r="C54" s="191">
        <v>2</v>
      </c>
      <c r="D54" s="179">
        <f>B54*C54</f>
        <v>32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25</v>
      </c>
      <c r="B55" s="181">
        <f>'Données projet'!D63</f>
        <v>17</v>
      </c>
      <c r="C55" s="191">
        <v>1.95</v>
      </c>
      <c r="D55" s="179">
        <f t="shared" ref="D55:D73" si="4">B55*C55</f>
        <v>33.15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30</v>
      </c>
      <c r="B56" s="181">
        <f>'Données projet'!D64</f>
        <v>34</v>
      </c>
      <c r="C56" s="191">
        <v>1.95</v>
      </c>
      <c r="D56" s="179">
        <f t="shared" si="4"/>
        <v>66.3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35</v>
      </c>
      <c r="B57" s="181">
        <f>'Données projet'!D65</f>
        <v>41</v>
      </c>
      <c r="C57" s="191">
        <v>4.4800000000000004</v>
      </c>
      <c r="D57" s="179">
        <f t="shared" si="4"/>
        <v>183.68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40</v>
      </c>
      <c r="B58" s="181">
        <f>'Données projet'!D66</f>
        <v>41</v>
      </c>
      <c r="C58" s="191">
        <v>4.4800000000000004</v>
      </c>
      <c r="D58" s="179">
        <f t="shared" si="4"/>
        <v>183.68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45</v>
      </c>
      <c r="B59" s="181">
        <f>'Données projet'!D67</f>
        <v>53</v>
      </c>
      <c r="C59" s="191">
        <v>4.8</v>
      </c>
      <c r="D59" s="179">
        <f t="shared" si="4"/>
        <v>254.39999999999998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50</v>
      </c>
      <c r="B60" s="181">
        <f>'Données projet'!D68</f>
        <v>53</v>
      </c>
      <c r="C60" s="191">
        <v>4.8</v>
      </c>
      <c r="D60" s="179">
        <f t="shared" si="4"/>
        <v>254.39999999999998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58</v>
      </c>
      <c r="B61" s="181">
        <f>'Données projet'!D69</f>
        <v>78</v>
      </c>
      <c r="C61" s="191">
        <v>27</v>
      </c>
      <c r="D61" s="179">
        <f t="shared" si="4"/>
        <v>2106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66</v>
      </c>
      <c r="B62" s="181">
        <f>'Données projet'!D70</f>
        <v>65</v>
      </c>
      <c r="C62" s="191">
        <v>27</v>
      </c>
      <c r="D62" s="179">
        <f t="shared" si="4"/>
        <v>1755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74</v>
      </c>
      <c r="B63" s="181">
        <f>'Données projet'!D71</f>
        <v>37</v>
      </c>
      <c r="C63" s="191">
        <v>45</v>
      </c>
      <c r="D63" s="179">
        <f t="shared" si="4"/>
        <v>1665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82</v>
      </c>
      <c r="B64" s="181">
        <f>'Données projet'!D72</f>
        <v>567</v>
      </c>
      <c r="C64" s="191">
        <v>60</v>
      </c>
      <c r="D64" s="179">
        <f t="shared" si="4"/>
        <v>34020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2024-04-04T07:50:20Z</dcterms:modified>
</cp:coreProperties>
</file>